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drawings/drawing7.xml" ContentType="application/vnd.openxmlformats-officedocument.drawingml.chartshapes+xml"/>
  <Override PartName="/xl/drawings/drawing13.xml" ContentType="application/vnd.openxmlformats-officedocument.drawingml.chartshapes+xml"/>
  <Override PartName="/xl/workbook.xml" ContentType="application/vnd.ms-excel.sheet.macroEnabled.main+xml"/>
  <Override PartName="/xl/worksheets/sheet6.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vbaProject.bin" ContentType="application/vnd.ms-office.vbaProject"/>
  <Override PartName="/xl/drawings/drawing22.xml" ContentType="application/vnd.openxmlformats-officedocument.drawing+xml"/>
  <Override PartName="/xl/drawings/drawing21.xml" ContentType="application/vnd.openxmlformats-officedocument.drawing+xml"/>
  <Override PartName="/xl/drawings/drawing14.xml" ContentType="application/vnd.openxmlformats-officedocument.drawing+xml"/>
  <Override PartName="/xl/charts/chart6.xml" ContentType="application/vnd.openxmlformats-officedocument.drawingml.chart+xml"/>
  <Override PartName="/xl/worksheets/sheet4.xml" ContentType="application/vnd.openxmlformats-officedocument.spreadsheetml.worksheet+xml"/>
  <Override PartName="/xl/charts/chart5.xml" ContentType="application/vnd.openxmlformats-officedocument.drawingml.chart+xml"/>
  <Override PartName="/xl/drawings/drawing12.xml" ContentType="application/vnd.openxmlformats-officedocument.drawing+xml"/>
  <Override PartName="/xl/drawings/drawing15.xml" ContentType="application/vnd.openxmlformats-officedocument.drawing+xml"/>
  <Override PartName="/xl/charts/chart7.xml" ContentType="application/vnd.openxmlformats-officedocument.drawingml.chart+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17.xml" ContentType="application/vnd.openxmlformats-officedocument.drawing+xml"/>
  <Override PartName="/xl/charts/chart8.xml" ContentType="application/vnd.openxmlformats-officedocument.drawingml.chart+xml"/>
  <Override PartName="/xl/drawings/drawing16.xml" ContentType="application/vnd.openxmlformats-officedocument.drawing+xml"/>
  <Override PartName="/xl/worksheets/sheet1.xml" ContentType="application/vnd.openxmlformats-officedocument.spreadsheetml.worksheet+xml"/>
  <Override PartName="/xl/drawings/drawing3.xml" ContentType="application/vnd.openxmlformats-officedocument.drawing+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1.xml" ContentType="application/vnd.openxmlformats-officedocument.spreadsheetml.worksheet+xml"/>
  <Override PartName="/xl/worksheets/sheet40.xml" ContentType="application/vnd.openxmlformats-officedocument.spreadsheetml.worksheet+xml"/>
  <Override PartName="/xl/worksheets/sheet39.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drawings/drawing2.xml" ContentType="application/vnd.openxmlformats-officedocument.drawing+xml"/>
  <Override PartName="/xl/embeddings/oleObject1.bin" ContentType="application/vnd.openxmlformats-officedocument.oleObject"/>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30.xml" ContentType="application/vnd.openxmlformats-officedocument.spreadsheetml.worksheet+xml"/>
  <Override PartName="/xl/worksheets/sheet36.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drawing4.xml" ContentType="application/vnd.openxmlformats-officedocument.drawing+xml"/>
  <Override PartName="/xl/worksheets/sheet14.xml" ContentType="application/vnd.openxmlformats-officedocument.spreadsheetml.worksheet+xml"/>
  <Override PartName="/xl/drawings/drawing8.xml" ContentType="application/vnd.openxmlformats-officedocument.drawing+xml"/>
  <Override PartName="/xl/worksheets/sheet15.xml" ContentType="application/vnd.openxmlformats-officedocument.spreadsheetml.worksheet+xml"/>
  <Override PartName="/xl/worksheets/sheet16.xml" ContentType="application/vnd.openxmlformats-officedocument.spreadsheetml.worksheet+xml"/>
  <Override PartName="/xl/worksheets/sheet11.xml" ContentType="application/vnd.openxmlformats-officedocument.spreadsheetml.worksheet+xml"/>
  <Override PartName="/xl/charts/chart4.xml" ContentType="application/vnd.openxmlformats-officedocument.drawingml.chart+xml"/>
  <Override PartName="/xl/drawings/drawing11.xml" ContentType="application/vnd.openxmlformats-officedocument.drawing+xml"/>
  <Override PartName="/xl/worksheets/sheet7.xml" ContentType="application/vnd.openxmlformats-officedocument.spreadsheetml.worksheet+xml"/>
  <Override PartName="/xl/drawings/drawing10.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7.xml" ContentType="application/vnd.openxmlformats-officedocument.spreadsheetml.worksheet+xml"/>
  <Override PartName="/xl/drawings/drawing9.xml" ContentType="application/vnd.openxmlformats-officedocument.drawing+xml"/>
  <Override PartName="/xl/charts/chart3.xml" ContentType="application/vnd.openxmlformats-officedocument.drawingml.char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5.xml" ContentType="application/vnd.openxmlformats-officedocument.spreadsheetml.worksheet+xml"/>
  <Override PartName="/xl/worksheets/sheet28.xml" ContentType="application/vnd.openxmlformats-officedocument.spreadsheetml.worksheet+xml"/>
  <Override PartName="/xl/charts/chart1.xml" ContentType="application/vnd.openxmlformats-officedocument.drawingml.chart+xml"/>
  <Override PartName="/xl/worksheets/sheet29.xml" ContentType="application/vnd.openxmlformats-officedocument.spreadsheetml.worksheet+xml"/>
  <Override PartName="/xl/worksheets/sheet22.xml" ContentType="application/vnd.openxmlformats-officedocument.spreadsheetml.worksheet+xml"/>
  <Override PartName="/xl/worksheets/sheet27.xml" ContentType="application/vnd.openxmlformats-officedocument.spreadsheetml.worksheet+xml"/>
  <Override PartName="/xl/worksheets/sheet18.xml" ContentType="application/vnd.openxmlformats-officedocument.spreadsheetml.worksheet+xml"/>
  <Override PartName="/xl/drawings/drawing6.xml" ContentType="application/vnd.openxmlformats-officedocument.drawing+xml"/>
  <Override PartName="/xl/worksheets/sheet19.xml" ContentType="application/vnd.openxmlformats-officedocument.spreadsheetml.worksheet+xml"/>
  <Override PartName="/xl/drawings/drawing5.xml" ContentType="application/vnd.openxmlformats-officedocument.drawing+xml"/>
  <Override PartName="/xl/charts/chart2.xml" ContentType="application/vnd.openxmlformats-officedocument.drawingml.chart+xml"/>
  <Override PartName="/xl/worksheets/sheet20.xml" ContentType="application/vnd.openxmlformats-officedocument.spreadsheetml.worksheet+xml"/>
  <Override PartName="/xl/worksheets/sheet21.xml" ContentType="application/vnd.openxmlformats-officedocument.spreadsheetml.worksheet+xml"/>
  <Override PartName="/xl/tables/table1.xml" ContentType="application/vnd.openxmlformats-officedocument.spreadsheetml.table+xml"/>
  <Override PartName="/xl/calcChain.xml" ContentType="application/vnd.openxmlformats-officedocument.spreadsheetml.calcChain+xml"/>
  <Override PartName="/xl/ctrlProps/ctrlProp34.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70.xml" ContentType="application/vnd.ms-excel.controlproperties+xml"/>
  <Override PartName="/xl/ctrlProps/ctrlProp67.xml" ContentType="application/vnd.ms-excel.controlproperties+xml"/>
  <Override PartName="/xl/ctrlProps/ctrlProp60.xml" ContentType="application/vnd.ms-excel.controlproperties+xml"/>
  <Override PartName="/xl/ctrlProps/ctrlProp66.xml" ContentType="application/vnd.ms-excel.controlproperties+xml"/>
  <Override PartName="/xl/ctrlProps/ctrlProp39.xml" ContentType="application/vnd.ms-excel.controlproperties+xml"/>
  <Override PartName="/xl/ctrlProps/ctrlProp42.xml" ContentType="application/vnd.ms-excel.controlproperties+xml"/>
  <Override PartName="/xl/ctrlProps/ctrlProp41.xml" ContentType="application/vnd.ms-excel.controlproperties+xml"/>
  <Override PartName="/xl/ctrlProps/ctrlProp40.xml" ContentType="application/vnd.ms-excel.controlproperties+xml"/>
  <Override PartName="/xl/ctrlProps/ctrlProp38.xml" ContentType="application/vnd.ms-excel.controlproperties+xml"/>
  <Override PartName="/xl/ctrlProps/ctrlProp65.xml" ContentType="application/vnd.ms-excel.controlproperties+xml"/>
  <Override PartName="/xl/ctrlProps/ctrlProp64.xml" ContentType="application/vnd.ms-excel.controlproperties+xml"/>
  <Override PartName="/xl/ctrlProps/ctrlProp20.xml" ContentType="application/vnd.ms-excel.controlproperties+xml"/>
  <Override PartName="/xl/ctrlProps/ctrlProp15.xml" ContentType="application/vnd.ms-excel.controlproperties+xml"/>
  <Override PartName="/xl/ctrlProps/ctrlProp29.xml" ContentType="application/vnd.ms-excel.controlproperties+xml"/>
  <Override PartName="/xl/ctrlProps/ctrlProp25.xml" ContentType="application/vnd.ms-excel.controlproperties+xml"/>
  <Override PartName="/xl/ctrlProps/ctrlProp14.xml" ContentType="application/vnd.ms-excel.controlproperties+xml"/>
  <Override PartName="/xl/ctrlProps/ctrlProp24.xml" ContentType="application/vnd.ms-excel.controlproperties+xml"/>
  <Override PartName="/xl/ctrlProps/ctrlProp19.xml" ContentType="application/vnd.ms-excel.controlproperties+xml"/>
  <Override PartName="/xl/ctrlProps/ctrlProp28.xml" ContentType="application/vnd.ms-excel.controlproperties+xml"/>
  <Override PartName="/xl/ctrlProps/ctrlProp13.xml" ContentType="application/vnd.ms-excel.controlproperties+xml"/>
  <Override PartName="/xl/ctrlProps/ctrlProp18.xml" ContentType="application/vnd.ms-excel.controlproperties+xml"/>
  <Override PartName="/xl/ctrlProps/ctrlProp26.xml" ContentType="application/vnd.ms-excel.controlproperties+xml"/>
  <Override PartName="/xl/ctrlProps/ctrlProp21.xml" ContentType="application/vnd.ms-excel.controlproperties+xml"/>
  <Override PartName="/xl/ctrlProps/ctrlProp16.xml" ContentType="application/vnd.ms-excel.controlproperties+xml"/>
  <Override PartName="/xl/ctrlProps/ctrlProp72.xml" ContentType="application/vnd.ms-excel.controlproperties+xml"/>
  <Override PartName="/xl/ctrlProps/ctrlProp37.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71.xml" ContentType="application/vnd.ms-excel.controlproperties+xml"/>
  <Override PartName="/xl/ctrlProps/ctrlProp1.xml" ContentType="application/vnd.ms-excel.controlproperties+xml"/>
  <Override PartName="/xl/ctrlProps/ctrlProp17.xml" ContentType="application/vnd.ms-excel.controlproperties+xml"/>
  <Override PartName="/xl/ctrlProps/ctrlProp22.xml" ContentType="application/vnd.ms-excel.controlproperties+xml"/>
  <Override PartName="/xl/ctrlProps/ctrlProp27.xml" ContentType="application/vnd.ms-excel.controlproperties+xml"/>
  <Override PartName="/xl/ctrlProps/ctrlProp30.xml" ContentType="application/vnd.ms-excel.controlproperties+xml"/>
  <Override PartName="/xl/ctrlProps/ctrlProp23.xml" ContentType="application/vnd.ms-excel.controlproperties+xml"/>
  <Override PartName="/xl/ctrlProps/ctrlProp31.xml" ContentType="application/vnd.ms-excel.controlproperties+xml"/>
  <Override PartName="/xl/ctrlProps/ctrlProp36.xml" ContentType="application/vnd.ms-excel.controlproperties+xml"/>
  <Override PartName="/xl/ctrlProps/ctrlProp11.xml" ContentType="application/vnd.ms-excel.controlproperties+xml"/>
  <Override PartName="/xl/ctrlProps/ctrlProp5.xml" ContentType="application/vnd.ms-excel.controlproperties+xml"/>
  <Override PartName="/xl/ctrlProps/ctrlProp10.xml" ContentType="application/vnd.ms-excel.controlproperties+xml"/>
  <Override PartName="/xl/ctrlProps/ctrlProp4.xml" ContentType="application/vnd.ms-excel.controlproperties+xml"/>
  <Override PartName="/xl/ctrlProps/ctrlProp6.xml" ContentType="application/vnd.ms-excel.controlproperties+xml"/>
  <Override PartName="/xl/ctrlProps/ctrlProp12.xml" ContentType="application/vnd.ms-excel.controlproperties+xml"/>
  <Override PartName="/xl/ctrlProps/ctrlProp7.xml" ContentType="application/vnd.ms-excel.controlproperties+xml"/>
  <Override PartName="/xl/ctrlProps/ctrlProp68.xml" ContentType="application/vnd.ms-excel.controlproperties+xml"/>
  <Override PartName="/xl/ctrlProps/ctrlProp63.xml" ContentType="application/vnd.ms-excel.controlproperties+xml"/>
  <Override PartName="/xl/ctrlProps/ctrlProp69.xml" ContentType="application/vnd.ms-excel.controlproperties+xml"/>
  <Override PartName="/xl/ctrlProps/ctrlProp3.xml" ContentType="application/vnd.ms-excel.controlproperties+xml"/>
  <Override PartName="/xl/ctrlProps/ctrlProp9.xml" ContentType="application/vnd.ms-excel.controlproperties+xml"/>
  <Override PartName="/xl/ctrlProps/ctrlProp2.xml" ContentType="application/vnd.ms-excel.controlproperties+xml"/>
  <Override PartName="/xl/ctrlProps/ctrlProp52.xml" ContentType="application/vnd.ms-excel.controlproperties+xml"/>
  <Override PartName="/xl/ctrlProps/ctrlProp57.xml" ContentType="application/vnd.ms-excel.controlproperties+xml"/>
  <Override PartName="/xl/ctrlProps/ctrlProp51.xml" ContentType="application/vnd.ms-excel.controlproperties+xml"/>
  <Override PartName="/xl/ctrlProps/ctrlProp56.xml" ContentType="application/vnd.ms-excel.controlproperties+xml"/>
  <Override PartName="/xl/ctrlProps/ctrlProp58.xml" ContentType="application/vnd.ms-excel.controlproperties+xml"/>
  <Override PartName="/xl/ctrlProps/ctrlProp53.xml" ContentType="application/vnd.ms-excel.controlproperties+xml"/>
  <Override PartName="/xl/ctrlProps/ctrlProp59.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8.xml" ContentType="application/vnd.ms-excel.controlproperties+xml"/>
  <Override PartName="/xl/ctrlProps/ctrlProp35.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showSheetTabs="0" xWindow="12600" yWindow="-15" windowWidth="12645" windowHeight="11685" tabRatio="841" firstSheet="36"/>
  </bookViews>
  <sheets>
    <sheet name="Home" sheetId="189" r:id="rId1"/>
    <sheet name="tblNavHist" sheetId="191" state="veryHidden" r:id="rId2"/>
    <sheet name="SheetNames" sheetId="190" state="veryHidden" r:id="rId3"/>
    <sheet name="uxb_works" sheetId="2" state="veryHidden" r:id="rId4"/>
    <sheet name="tblIndicators" sheetId="1" state="veryHidden" r:id="rId5"/>
    <sheet name="tblIndiSets" sheetId="5" state="veryHidden" r:id="rId6"/>
    <sheet name="tblCategories" sheetId="108" state="veryHidden" r:id="rId7"/>
    <sheet name="tblTerritories" sheetId="4" state="veryHidden" r:id="rId8"/>
    <sheet name="iSummary" sheetId="16" state="veryHidden" r:id="rId9"/>
    <sheet name="iSeries" sheetId="211" state="veryHidden" r:id="rId10"/>
    <sheet name="iMap_Rank" sheetId="168" state="veryHidden" r:id="rId11"/>
    <sheet name="About" sheetId="225" r:id="rId12"/>
    <sheet name="Summary" sheetId="67" r:id="rId13"/>
    <sheet name="CCompare" sheetId="107" r:id="rId14"/>
    <sheet name="1. Map" sheetId="121" r:id="rId15"/>
    <sheet name="3DPlot" sheetId="197" r:id="rId16"/>
    <sheet name="Definiciones" sheetId="223" r:id="rId17"/>
    <sheet name="Resumen_Ciudad" sheetId="224" r:id="rId18"/>
    <sheet name="CDescription" sheetId="213" r:id="rId19"/>
    <sheet name="C_Additional_Desc" sheetId="215" r:id="rId20"/>
    <sheet name="iplot" sheetId="196" state="veryHidden" r:id="rId21"/>
    <sheet name="uxb_regions" sheetId="101" state="veryHidden" r:id="rId22"/>
    <sheet name="uxb_mapdata" sheetId="100" state="veryHidden" r:id="rId23"/>
    <sheet name="iMap_Graph" sheetId="170" state="veryHidden" r:id="rId24"/>
    <sheet name="iScatter3d" sheetId="216" state="veryHidden" r:id="rId25"/>
    <sheet name="Scatter3d" sheetId="218" state="veryHidden" r:id="rId26"/>
    <sheet name="iScatter" sheetId="109" state="veryHidden" r:id="rId27"/>
    <sheet name="Scatter" sheetId="110" state="veryHidden" r:id="rId28"/>
    <sheet name="CProfile" sheetId="194" state="veryHidden" r:id="rId29"/>
    <sheet name="iCountryP" sheetId="88" state="veryHidden" r:id="rId30"/>
    <sheet name="Scores" sheetId="6" state="veryHidden" r:id="rId31"/>
    <sheet name="iCCompSpider" sheetId="124" state="veryHidden" r:id="rId32"/>
    <sheet name="iCCompare" sheetId="105" state="veryHidden" r:id="rId33"/>
    <sheet name="Data" sheetId="7" state="veryHidden" r:id="rId34"/>
    <sheet name="iCity_Description" sheetId="212" state="veryHidden" r:id="rId35"/>
    <sheet name="iCityAddNotes" sheetId="214" state="veryHidden" r:id="rId36"/>
    <sheet name="DataDisplay" sheetId="219" r:id="rId37"/>
    <sheet name="Weights" sheetId="27" r:id="rId38"/>
    <sheet name="lang" sheetId="195" state="veryHidden" r:id="rId39"/>
    <sheet name="iWeights" sheetId="26" state="veryHidden" r:id="rId40"/>
    <sheet name="rScores" sheetId="8" state="veryHidden" r:id="rId41"/>
    <sheet name="Definicion de la ciudad" sheetId="201" state="veryHidden" r:id="rId42"/>
    <sheet name="Results" sheetId="202" state="veryHidden" r:id="rId43"/>
    <sheet name="Justifications" sheetId="203" state="veryHidden" r:id="rId44"/>
    <sheet name="References" sheetId="204" state="veryHidden" r:id="rId45"/>
    <sheet name="Definition" sheetId="205" state="veryHidden" r:id="rId46"/>
    <sheet name="Year" sheetId="206" state="veryHidden" r:id="rId47"/>
    <sheet name="Source" sheetId="207" state="veryHidden" r:id="rId48"/>
    <sheet name="Units" sheetId="208" state="veryHidden" r:id="rId49"/>
    <sheet name="ResultsAdd" sheetId="209" state="veryHidden" r:id="rId50"/>
    <sheet name="Notes" sheetId="210" state="veryHidden" r:id="rId51"/>
    <sheet name="UserDataIn" sheetId="220" r:id="rId52"/>
    <sheet name="iCity_Definitions" sheetId="222" state="veryHidden" r:id="rId53"/>
  </sheets>
  <functionGroups/>
  <definedNames>
    <definedName name="_WeightProfile" hidden="1">OFFSET(iWeights!$A$37,uxb_works!$B$38,0)</definedName>
    <definedName name="aData" hidden="1">Data!$J$5:$AE$55</definedName>
    <definedName name="aJustification" hidden="1">Justifications!$C$3:$N$39</definedName>
    <definedName name="aJustifications" hidden="1">Justifications!$C$3:$N$39</definedName>
    <definedName name="anscount" hidden="1">1</definedName>
    <definedName name="aRank" hidden="1">rScores!$C$163:$X$213</definedName>
    <definedName name="aRankNumbers" hidden="1">rScores!$C$55:$X$105</definedName>
    <definedName name="aRef" hidden="1">References!$C$3:$N$39</definedName>
    <definedName name="aReferences" hidden="1">References!$C$3:$N$39</definedName>
    <definedName name="aResult" hidden="1">Results!$C$3:$N$39</definedName>
    <definedName name="aRoundedScores" hidden="1">rScores!$C$2:$N$52</definedName>
    <definedName name="aScores" hidden="1">Scores!$P$5:$AK$55</definedName>
    <definedName name="aScoresGroup" hidden="1">rScores!$AG$2:$AS$52</definedName>
    <definedName name="firstLabel" hidden="1">iplot!$B$33</definedName>
    <definedName name="firstZ" hidden="1">iplot!$E$33</definedName>
    <definedName name="leg1_txt_max" hidden="1">'1. Map'!$S:$S</definedName>
    <definedName name="limcount" hidden="1">1</definedName>
    <definedName name="lu_comp_regions" hidden="1">OFFSET(luCities,0,1)</definedName>
    <definedName name="lu_indicode" hidden="1">tblIndicators!$D$2:$D$52</definedName>
    <definedName name="luCities" hidden="1">OFFSET(tblTerritories!$C$3,0,0,uxb_works!$D$1,1)</definedName>
    <definedName name="luCityPlusNone" hidden="1">OFFSET(tblTerritories!$C$2,0,0,uxb_works!$D$1+1,1)</definedName>
    <definedName name="luCountry_Status" hidden="1">OFFSET(luCountries,0,1)</definedName>
    <definedName name="luIndicatorsFull" hidden="1">tblIndiSets!$C$12:$C$62</definedName>
    <definedName name="luRegions" hidden="1">tblTerritories!$S$4:$S$8</definedName>
    <definedName name="luRegionsPlusNone" hidden="1">tblTerritories!$S$3:$S$8</definedName>
    <definedName name="map_scale" hidden="1">uxb_mapdata!$V$17:$W$40</definedName>
    <definedName name="Map_Scale_Income" hidden="1">uxb_mapdata!$Y$18:$Z$31</definedName>
    <definedName name="NrPoints" hidden="1">iplot!$H$8</definedName>
    <definedName name="_xlnm.Print_Area" localSheetId="14">'1. Map'!$A$5:$W$50</definedName>
    <definedName name="_xlnm.Print_Area" localSheetId="15">'3DPlot'!$A$4:$V$43</definedName>
    <definedName name="_xlnm.Print_Area" localSheetId="19">C_Additional_Desc!$A$5:$E$22</definedName>
    <definedName name="_xlnm.Print_Area" localSheetId="13">CCompare!$A$4:$AD$60</definedName>
    <definedName name="_xlnm.Print_Area" localSheetId="18">CDescription!$A$5:$F$21</definedName>
    <definedName name="_xlnm.Print_Area" localSheetId="28">CProfile!$A$3:$M$57</definedName>
    <definedName name="_xlnm.Print_Area" localSheetId="33">Data!$H$4:$U$55</definedName>
    <definedName name="_xlnm.Print_Area" localSheetId="36">DataDisplay!$H$5:$U$56</definedName>
    <definedName name="_xlnm.Print_Area" localSheetId="16">Definiciones!$C$5:$D$12</definedName>
    <definedName name="_xlnm.Print_Area" localSheetId="17">Resumen_Ciudad!$E$4:$X$58</definedName>
    <definedName name="_xlnm.Print_Area" localSheetId="27">Scatter!$A$3:$X$37</definedName>
    <definedName name="_xlnm.Print_Area" localSheetId="25">Scatter3d!$A$3:$X$37</definedName>
    <definedName name="_xlnm.Print_Area" localSheetId="30">Scores!$N$4:$AA$55</definedName>
    <definedName name="_xlnm.Print_Area" localSheetId="12">Summary!$A$4:$X$33</definedName>
    <definedName name="_xlnm.Print_Area" localSheetId="51">UserDataIn!$H$5:$S$56</definedName>
    <definedName name="_xlnm.Print_Area" localSheetId="37">Weights!$A$4:$K$79</definedName>
    <definedName name="r_RegionID" hidden="1">uxb_regions!$A$2:$A$14</definedName>
    <definedName name="r_Regions" hidden="1">uxb_regions!$C$2:$C$14</definedName>
    <definedName name="r_Regions_ExChina" hidden="1">uxb_regions!$C$3:$C$14</definedName>
    <definedName name="r_regions_plus_none" hidden="1">uxb_regions!$C$1:$C$14</definedName>
    <definedName name="sencount" hidden="1">1</definedName>
    <definedName name="WeightsValues" localSheetId="11" hidden="1">OFFSET(WeightsCode,0,4)</definedName>
    <definedName name="WeightsValues" hidden="1">OFFSET(WeightsCode,0,4)</definedName>
  </definedNames>
  <calcPr calcId="125725"/>
</workbook>
</file>

<file path=xl/calcChain.xml><?xml version="1.0" encoding="utf-8"?>
<calcChain xmlns="http://schemas.openxmlformats.org/spreadsheetml/2006/main">
  <c r="AF26" i="1"/>
  <c r="AF27"/>
  <c r="AF28"/>
  <c r="AF29"/>
  <c r="AF25"/>
  <c r="E93" i="2"/>
  <c r="D93" s="1"/>
  <c r="E94"/>
  <c r="D94" s="1"/>
  <c r="D3" i="196" s="1"/>
  <c r="E92" i="2"/>
  <c r="D92" s="1"/>
  <c r="D1" i="196" s="1"/>
  <c r="AE44" i="7"/>
  <c r="H44" i="6"/>
  <c r="AD44" i="7"/>
  <c r="AJ44" i="6" s="1"/>
  <c r="W41" i="8" s="1"/>
  <c r="AC44" i="7"/>
  <c r="AB44"/>
  <c r="AA44"/>
  <c r="AG44" i="6" s="1"/>
  <c r="Z44" i="7"/>
  <c r="AF44" i="6"/>
  <c r="Y44" i="7"/>
  <c r="X44"/>
  <c r="W44"/>
  <c r="C1" i="2"/>
  <c r="C4" i="16" s="1"/>
  <c r="E44" i="7"/>
  <c r="V44"/>
  <c r="G44" i="6"/>
  <c r="B50" i="7"/>
  <c r="C50"/>
  <c r="D50"/>
  <c r="H50" s="1"/>
  <c r="E50"/>
  <c r="O50" s="1"/>
  <c r="F50"/>
  <c r="G50"/>
  <c r="I50"/>
  <c r="V50"/>
  <c r="W50"/>
  <c r="X50"/>
  <c r="Y50"/>
  <c r="Z50"/>
  <c r="AA50"/>
  <c r="AB50"/>
  <c r="AC50"/>
  <c r="AD50"/>
  <c r="AJ50" i="6" s="1"/>
  <c r="W47" i="8" s="1"/>
  <c r="AE50" i="7"/>
  <c r="B44"/>
  <c r="C44"/>
  <c r="D44"/>
  <c r="H44" s="1"/>
  <c r="F44"/>
  <c r="G44"/>
  <c r="I44" s="1"/>
  <c r="AT15" i="168"/>
  <c r="AT14"/>
  <c r="AQ14"/>
  <c r="AQ15"/>
  <c r="AN15"/>
  <c r="AN14"/>
  <c r="AW14"/>
  <c r="F3" i="108"/>
  <c r="C10" i="105" s="1"/>
  <c r="A10"/>
  <c r="B5" i="5"/>
  <c r="H6" i="16" s="1"/>
  <c r="F4" i="108"/>
  <c r="C11" i="105" s="1"/>
  <c r="A11"/>
  <c r="F5" i="108"/>
  <c r="C12" i="105" s="1"/>
  <c r="A12"/>
  <c r="F6" i="108"/>
  <c r="C13" i="105" s="1"/>
  <c r="A13"/>
  <c r="F7" i="108"/>
  <c r="C14" i="105" s="1"/>
  <c r="A14"/>
  <c r="F8" i="108"/>
  <c r="C15" i="105" s="1"/>
  <c r="A15"/>
  <c r="F9" i="108"/>
  <c r="C16" i="105" s="1"/>
  <c r="A16"/>
  <c r="F10" i="108"/>
  <c r="C17" i="105" s="1"/>
  <c r="A17"/>
  <c r="F11" i="108"/>
  <c r="C18" i="105" s="1"/>
  <c r="A18"/>
  <c r="F12" i="108"/>
  <c r="C19" i="105" s="1"/>
  <c r="A19"/>
  <c r="F13" i="108"/>
  <c r="C20" i="105" s="1"/>
  <c r="A20"/>
  <c r="F14" i="108"/>
  <c r="C21" i="105" s="1"/>
  <c r="A21"/>
  <c r="F15" i="108"/>
  <c r="C22" i="105" s="1"/>
  <c r="A22"/>
  <c r="F16" i="108"/>
  <c r="C23" i="105" s="1"/>
  <c r="A23"/>
  <c r="F17" i="108"/>
  <c r="C24" i="105" s="1"/>
  <c r="A24"/>
  <c r="F18" i="108"/>
  <c r="C25" i="105" s="1"/>
  <c r="A25"/>
  <c r="F19" i="108"/>
  <c r="C26" i="105" s="1"/>
  <c r="A26"/>
  <c r="F20" i="108"/>
  <c r="C27" i="105" s="1"/>
  <c r="A27"/>
  <c r="F21" i="108"/>
  <c r="C28" i="105" s="1"/>
  <c r="A28"/>
  <c r="F22" i="108"/>
  <c r="C29" i="105" s="1"/>
  <c r="A29"/>
  <c r="F23" i="108"/>
  <c r="C30" i="105" s="1"/>
  <c r="F24" i="108"/>
  <c r="C31" i="105" s="1"/>
  <c r="F25" i="108"/>
  <c r="C32" i="105" s="1"/>
  <c r="F26" i="108"/>
  <c r="C33" i="105" s="1"/>
  <c r="S33" s="1"/>
  <c r="F27" i="108"/>
  <c r="C34" i="105" s="1"/>
  <c r="F28" i="108"/>
  <c r="C35" i="105" s="1"/>
  <c r="F29" i="108"/>
  <c r="C36" i="105"/>
  <c r="S36" s="1"/>
  <c r="F30" i="108"/>
  <c r="C37" i="105" s="1"/>
  <c r="F31" i="108"/>
  <c r="C38" i="105" s="1"/>
  <c r="R38" s="1"/>
  <c r="F32" i="108"/>
  <c r="C39" i="105" s="1"/>
  <c r="F33" i="108"/>
  <c r="C40" i="105" s="1"/>
  <c r="F34" i="108"/>
  <c r="C41" i="105" s="1"/>
  <c r="F35" i="108"/>
  <c r="C42" i="105" s="1"/>
  <c r="F36" i="108"/>
  <c r="C43" i="105" s="1"/>
  <c r="F37" i="108"/>
  <c r="C44" i="105" s="1"/>
  <c r="S44" s="1"/>
  <c r="F38" i="108"/>
  <c r="C45" i="105" s="1"/>
  <c r="F39" i="108"/>
  <c r="C46" i="105" s="1"/>
  <c r="R46" s="1"/>
  <c r="F40" i="108"/>
  <c r="C47" i="105" s="1"/>
  <c r="F41" i="108"/>
  <c r="C48" i="105" s="1"/>
  <c r="R48" s="1"/>
  <c r="F42" i="108"/>
  <c r="C49" i="105" s="1"/>
  <c r="F43" i="108"/>
  <c r="C50" i="105" s="1"/>
  <c r="F44" i="108"/>
  <c r="C51" i="105" s="1"/>
  <c r="F45" i="108"/>
  <c r="C52" i="105" s="1"/>
  <c r="F46" i="108"/>
  <c r="C53" i="105" s="1"/>
  <c r="R53" s="1"/>
  <c r="F47" i="108"/>
  <c r="C54" i="105" s="1"/>
  <c r="F48" i="108"/>
  <c r="C55" i="105" s="1"/>
  <c r="F49" i="108"/>
  <c r="C56" i="105" s="1"/>
  <c r="F50" i="108"/>
  <c r="C57" i="105" s="1"/>
  <c r="S57" s="1"/>
  <c r="F51" i="108"/>
  <c r="C58" i="105" s="1"/>
  <c r="F52" i="108"/>
  <c r="C59" i="105" s="1"/>
  <c r="N11"/>
  <c r="C4" i="108"/>
  <c r="D4" s="1"/>
  <c r="B11" i="105" s="1"/>
  <c r="N12"/>
  <c r="C5" i="108"/>
  <c r="D5" s="1"/>
  <c r="B12" i="105" s="1"/>
  <c r="N13"/>
  <c r="C6" i="108"/>
  <c r="D6" s="1"/>
  <c r="B14" i="124" s="1"/>
  <c r="N14" i="105"/>
  <c r="C7" i="108"/>
  <c r="D7" s="1"/>
  <c r="B14" i="105" s="1"/>
  <c r="N15"/>
  <c r="C8" i="108"/>
  <c r="D8" s="1"/>
  <c r="N16" i="105"/>
  <c r="C9" i="108"/>
  <c r="D9" s="1"/>
  <c r="B16" i="105" s="1"/>
  <c r="N17"/>
  <c r="C10" i="108"/>
  <c r="D10" s="1"/>
  <c r="N18" i="105"/>
  <c r="C11" i="108"/>
  <c r="D11" s="1"/>
  <c r="N19" i="105"/>
  <c r="C12" i="108"/>
  <c r="D12" s="1"/>
  <c r="B19" i="105" s="1"/>
  <c r="N20"/>
  <c r="C13" i="108"/>
  <c r="D13" s="1"/>
  <c r="B21" i="124" s="1"/>
  <c r="S53" i="105"/>
  <c r="N21"/>
  <c r="C14" i="108"/>
  <c r="D14" s="1"/>
  <c r="N22" i="105"/>
  <c r="C15" i="108"/>
  <c r="D15" s="1"/>
  <c r="N23" i="105"/>
  <c r="C16" i="108"/>
  <c r="D16" s="1"/>
  <c r="B23" i="105" s="1"/>
  <c r="N24"/>
  <c r="C17" i="108"/>
  <c r="D17" s="1"/>
  <c r="B24" i="105" s="1"/>
  <c r="N25"/>
  <c r="C18" i="108"/>
  <c r="D18" s="1"/>
  <c r="N26" i="105"/>
  <c r="C19" i="108"/>
  <c r="D19" s="1"/>
  <c r="B26" i="105" s="1"/>
  <c r="N27"/>
  <c r="C20" i="108"/>
  <c r="D20" s="1"/>
  <c r="N28" i="105"/>
  <c r="C21" i="108"/>
  <c r="D21" s="1"/>
  <c r="B28" i="105" s="1"/>
  <c r="N29"/>
  <c r="C22" i="108"/>
  <c r="D22" s="1"/>
  <c r="A30" i="105"/>
  <c r="A31"/>
  <c r="A32"/>
  <c r="A33"/>
  <c r="A34"/>
  <c r="A35"/>
  <c r="A36"/>
  <c r="A37"/>
  <c r="A38"/>
  <c r="A39"/>
  <c r="A40"/>
  <c r="A41"/>
  <c r="A42"/>
  <c r="A43"/>
  <c r="A44"/>
  <c r="A45"/>
  <c r="A46"/>
  <c r="A47"/>
  <c r="A48"/>
  <c r="A49"/>
  <c r="A50"/>
  <c r="A51"/>
  <c r="A52"/>
  <c r="A53"/>
  <c r="A54"/>
  <c r="A55"/>
  <c r="A56"/>
  <c r="A57"/>
  <c r="A58"/>
  <c r="A59"/>
  <c r="N10"/>
  <c r="C3" i="108"/>
  <c r="D3" s="1"/>
  <c r="B10" i="105" s="1"/>
  <c r="H55" i="6"/>
  <c r="K55" s="1"/>
  <c r="I55"/>
  <c r="J55"/>
  <c r="L55" s="1"/>
  <c r="E55" i="7"/>
  <c r="G55" i="6"/>
  <c r="C9" i="195"/>
  <c r="Q35" i="202"/>
  <c r="R35"/>
  <c r="S35"/>
  <c r="T35"/>
  <c r="U35"/>
  <c r="V35"/>
  <c r="W35"/>
  <c r="X35"/>
  <c r="Y35"/>
  <c r="Z35"/>
  <c r="AA35"/>
  <c r="P35"/>
  <c r="A1" i="220"/>
  <c r="A1" i="225"/>
  <c r="D55" i="219"/>
  <c r="H55" s="1"/>
  <c r="D52"/>
  <c r="H52" s="1"/>
  <c r="D51"/>
  <c r="H51" s="1"/>
  <c r="D47"/>
  <c r="H47"/>
  <c r="D44"/>
  <c r="H44" s="1"/>
  <c r="D43"/>
  <c r="H43" s="1"/>
  <c r="D39"/>
  <c r="H39" s="1"/>
  <c r="D35"/>
  <c r="H35" s="1"/>
  <c r="D31"/>
  <c r="H31" s="1"/>
  <c r="AE27" i="1"/>
  <c r="D30" i="219"/>
  <c r="H30" s="1"/>
  <c r="D27"/>
  <c r="H27" s="1"/>
  <c r="D23"/>
  <c r="H23" s="1"/>
  <c r="D19"/>
  <c r="H19"/>
  <c r="D15"/>
  <c r="H15"/>
  <c r="D14"/>
  <c r="H14" s="1"/>
  <c r="D12"/>
  <c r="H12" s="1"/>
  <c r="D11"/>
  <c r="H11" s="1"/>
  <c r="D7"/>
  <c r="H7" s="1"/>
  <c r="N30" i="105"/>
  <c r="N31"/>
  <c r="N32"/>
  <c r="N33"/>
  <c r="N34"/>
  <c r="N35"/>
  <c r="N36"/>
  <c r="N37"/>
  <c r="N38"/>
  <c r="N39"/>
  <c r="N40"/>
  <c r="N41"/>
  <c r="N42"/>
  <c r="N43"/>
  <c r="N44"/>
  <c r="N45"/>
  <c r="N46"/>
  <c r="N47"/>
  <c r="N48"/>
  <c r="N49"/>
  <c r="N50"/>
  <c r="N51"/>
  <c r="N52"/>
  <c r="N53"/>
  <c r="N54"/>
  <c r="N55"/>
  <c r="N56"/>
  <c r="N57"/>
  <c r="N58"/>
  <c r="N59"/>
  <c r="H13" i="6"/>
  <c r="AI13" s="1"/>
  <c r="I13"/>
  <c r="J13"/>
  <c r="H17"/>
  <c r="J17"/>
  <c r="H18"/>
  <c r="AD18" s="1"/>
  <c r="X19" i="219" s="1"/>
  <c r="J18" i="6"/>
  <c r="H22"/>
  <c r="AG22" s="1"/>
  <c r="AA23" i="219" s="1"/>
  <c r="J22" i="6"/>
  <c r="H29"/>
  <c r="J29"/>
  <c r="H34"/>
  <c r="I34"/>
  <c r="J34"/>
  <c r="H40"/>
  <c r="AE40" s="1"/>
  <c r="R37" i="8" s="1"/>
  <c r="J40" i="6"/>
  <c r="H41"/>
  <c r="J41"/>
  <c r="H52"/>
  <c r="I52"/>
  <c r="J52"/>
  <c r="H54"/>
  <c r="I54"/>
  <c r="H9"/>
  <c r="AD9" s="1"/>
  <c r="X10" i="219" s="1"/>
  <c r="J9" i="6"/>
  <c r="H11"/>
  <c r="I11"/>
  <c r="B2" i="212"/>
  <c r="B3"/>
  <c r="B92" i="5"/>
  <c r="B126"/>
  <c r="C126" s="1"/>
  <c r="B90"/>
  <c r="C90" s="1"/>
  <c r="B122"/>
  <c r="B117"/>
  <c r="B4" i="105"/>
  <c r="I12" s="1"/>
  <c r="F24" i="2"/>
  <c r="B5" i="105"/>
  <c r="K24" s="1"/>
  <c r="B3"/>
  <c r="G3" s="1"/>
  <c r="L7" i="107" s="1"/>
  <c r="B2" i="105"/>
  <c r="C49" i="108"/>
  <c r="D49" s="1"/>
  <c r="C45"/>
  <c r="D45" s="1"/>
  <c r="B52" i="105" s="1"/>
  <c r="C41" i="108"/>
  <c r="D41" s="1"/>
  <c r="C37"/>
  <c r="D37" s="1"/>
  <c r="C28"/>
  <c r="D28" s="1"/>
  <c r="C30"/>
  <c r="D30" s="1"/>
  <c r="AE14" i="1"/>
  <c r="C23" i="108"/>
  <c r="D23" s="1"/>
  <c r="W11" i="7"/>
  <c r="W10"/>
  <c r="E5" i="224"/>
  <c r="A1"/>
  <c r="B1" i="222"/>
  <c r="G4" s="1"/>
  <c r="C12" i="223" s="1"/>
  <c r="A1" i="222"/>
  <c r="F11" i="223"/>
  <c r="B11"/>
  <c r="F10"/>
  <c r="F8"/>
  <c r="B8"/>
  <c r="A1"/>
  <c r="B23" i="4"/>
  <c r="C23" s="1"/>
  <c r="B18"/>
  <c r="C18" s="1"/>
  <c r="C23" i="16" s="1"/>
  <c r="B19" i="4"/>
  <c r="C19" s="1"/>
  <c r="B20"/>
  <c r="C20" s="1"/>
  <c r="B21"/>
  <c r="C21" s="1"/>
  <c r="B22"/>
  <c r="C22" s="1"/>
  <c r="C27" i="16" s="1"/>
  <c r="B24" i="4"/>
  <c r="C24" s="1"/>
  <c r="AE5" i="219" s="1"/>
  <c r="K4" i="220"/>
  <c r="B16" i="4"/>
  <c r="C16" s="1"/>
  <c r="W5" i="219" s="1"/>
  <c r="L4" i="220"/>
  <c r="B17" i="4"/>
  <c r="C17" s="1"/>
  <c r="X5" i="219" s="1"/>
  <c r="M4" i="220"/>
  <c r="N4"/>
  <c r="O4"/>
  <c r="P4"/>
  <c r="Q4"/>
  <c r="R4"/>
  <c r="S4"/>
  <c r="J4"/>
  <c r="B15" i="4" s="1"/>
  <c r="C15" s="1"/>
  <c r="R2" i="220"/>
  <c r="Q2"/>
  <c r="P2"/>
  <c r="O2"/>
  <c r="N2"/>
  <c r="M2"/>
  <c r="L2"/>
  <c r="K2"/>
  <c r="J2"/>
  <c r="S2"/>
  <c r="E2" i="4"/>
  <c r="E14" s="1"/>
  <c r="A59" i="196"/>
  <c r="A60"/>
  <c r="A61"/>
  <c r="A62"/>
  <c r="A63"/>
  <c r="A64"/>
  <c r="A65"/>
  <c r="A66"/>
  <c r="A67"/>
  <c r="A68"/>
  <c r="A69"/>
  <c r="A70"/>
  <c r="A71"/>
  <c r="A72"/>
  <c r="A73"/>
  <c r="A74"/>
  <c r="A75"/>
  <c r="A76"/>
  <c r="A77"/>
  <c r="A78"/>
  <c r="A79"/>
  <c r="B6" i="124"/>
  <c r="BH77" s="1"/>
  <c r="AW3" i="16"/>
  <c r="AW4"/>
  <c r="AP3"/>
  <c r="AP4"/>
  <c r="AO3"/>
  <c r="AO4"/>
  <c r="AL3"/>
  <c r="AL4"/>
  <c r="AE3"/>
  <c r="AE4"/>
  <c r="AD3"/>
  <c r="AD4"/>
  <c r="AA3"/>
  <c r="AA4"/>
  <c r="T3"/>
  <c r="T4"/>
  <c r="S3"/>
  <c r="S4"/>
  <c r="P4"/>
  <c r="P3"/>
  <c r="I3"/>
  <c r="I4"/>
  <c r="H4"/>
  <c r="H3"/>
  <c r="B4"/>
  <c r="A4"/>
  <c r="A21"/>
  <c r="A22"/>
  <c r="A23"/>
  <c r="A24"/>
  <c r="A25"/>
  <c r="A26"/>
  <c r="A27"/>
  <c r="A28"/>
  <c r="A29"/>
  <c r="A20"/>
  <c r="V3" i="7"/>
  <c r="W3"/>
  <c r="X3"/>
  <c r="Y3"/>
  <c r="Z3"/>
  <c r="AA3"/>
  <c r="AB3"/>
  <c r="AC3"/>
  <c r="AD3"/>
  <c r="AE3"/>
  <c r="A54" i="8"/>
  <c r="E10" i="4"/>
  <c r="E26" i="170" s="1"/>
  <c r="E6" i="4"/>
  <c r="E21"/>
  <c r="E24"/>
  <c r="E16"/>
  <c r="H6" i="6"/>
  <c r="A8"/>
  <c r="A9"/>
  <c r="A10"/>
  <c r="A11"/>
  <c r="A12"/>
  <c r="A13"/>
  <c r="A14"/>
  <c r="A15"/>
  <c r="A16"/>
  <c r="A17"/>
  <c r="A18"/>
  <c r="A19"/>
  <c r="A20"/>
  <c r="A21"/>
  <c r="A22"/>
  <c r="A23"/>
  <c r="A24"/>
  <c r="A25"/>
  <c r="A26"/>
  <c r="A27"/>
  <c r="A28"/>
  <c r="A29"/>
  <c r="A30"/>
  <c r="A31"/>
  <c r="A32"/>
  <c r="A33" s="1"/>
  <c r="A34" s="1"/>
  <c r="A35" s="1"/>
  <c r="A36" s="1"/>
  <c r="A37" s="1"/>
  <c r="A38" s="1"/>
  <c r="A39" s="1"/>
  <c r="A40" s="1"/>
  <c r="A41" s="1"/>
  <c r="A42" s="1"/>
  <c r="A43" s="1"/>
  <c r="A44" s="1"/>
  <c r="A45" s="1"/>
  <c r="A46" s="1"/>
  <c r="A47" s="1"/>
  <c r="A48" s="1"/>
  <c r="A49" s="1"/>
  <c r="A50" s="1"/>
  <c r="A51" s="1"/>
  <c r="A52" s="1"/>
  <c r="A53" s="1"/>
  <c r="A54" s="1"/>
  <c r="A55" s="1"/>
  <c r="A7"/>
  <c r="H8"/>
  <c r="V5" i="7"/>
  <c r="W5"/>
  <c r="X5"/>
  <c r="Y5"/>
  <c r="Z5"/>
  <c r="AA5"/>
  <c r="AB5"/>
  <c r="AC5"/>
  <c r="AD5"/>
  <c r="AE5"/>
  <c r="V6"/>
  <c r="W6"/>
  <c r="X6"/>
  <c r="Y6"/>
  <c r="Z6"/>
  <c r="AA6"/>
  <c r="AB6"/>
  <c r="AC6"/>
  <c r="AD6"/>
  <c r="AE6"/>
  <c r="V7"/>
  <c r="W7"/>
  <c r="X7"/>
  <c r="Y7"/>
  <c r="Z7"/>
  <c r="AA7"/>
  <c r="AB7"/>
  <c r="AC7"/>
  <c r="AD7"/>
  <c r="AE7"/>
  <c r="V8"/>
  <c r="W8"/>
  <c r="X8"/>
  <c r="Y8"/>
  <c r="Z8"/>
  <c r="AA8"/>
  <c r="AB8"/>
  <c r="AC8"/>
  <c r="AD8"/>
  <c r="AE8"/>
  <c r="V9"/>
  <c r="W9"/>
  <c r="X9"/>
  <c r="Y9"/>
  <c r="Z9"/>
  <c r="AA9"/>
  <c r="AG9" i="6" s="1"/>
  <c r="AA10" i="219" s="1"/>
  <c r="AB9" i="7"/>
  <c r="AH9" i="6" s="1"/>
  <c r="U6" i="8" s="1"/>
  <c r="AC9" i="7"/>
  <c r="AD9"/>
  <c r="AE9"/>
  <c r="V10"/>
  <c r="X10"/>
  <c r="Y10"/>
  <c r="Z10"/>
  <c r="AF10" i="6" s="1"/>
  <c r="S7" i="8" s="1"/>
  <c r="AA10" i="7"/>
  <c r="AB10"/>
  <c r="H10" i="6"/>
  <c r="AC10" i="7"/>
  <c r="AD10"/>
  <c r="AE10"/>
  <c r="V11"/>
  <c r="X11"/>
  <c r="AD11" i="6" s="1"/>
  <c r="Y11" i="7"/>
  <c r="AE11" i="6" s="1"/>
  <c r="Z11" i="7"/>
  <c r="AF11" i="6" s="1"/>
  <c r="AA11" i="7"/>
  <c r="AB11"/>
  <c r="AC11"/>
  <c r="AD11"/>
  <c r="AJ11" i="6" s="1"/>
  <c r="AD12" i="219" s="1"/>
  <c r="AE11" i="7"/>
  <c r="AK11" i="6" s="1"/>
  <c r="V12" i="7"/>
  <c r="W12"/>
  <c r="X12"/>
  <c r="Y12"/>
  <c r="Z12"/>
  <c r="AA12"/>
  <c r="AB12"/>
  <c r="H12" i="6"/>
  <c r="AC12" i="7"/>
  <c r="AD12"/>
  <c r="AE12"/>
  <c r="V13"/>
  <c r="W13"/>
  <c r="X13"/>
  <c r="Y13"/>
  <c r="Z13"/>
  <c r="AF13" i="6" s="1"/>
  <c r="AF25" i="88" s="1"/>
  <c r="AA13" i="7"/>
  <c r="AB13"/>
  <c r="AC13"/>
  <c r="AD13"/>
  <c r="AE13"/>
  <c r="V14"/>
  <c r="W14"/>
  <c r="AC14" i="6" s="1"/>
  <c r="P11" i="8" s="1"/>
  <c r="X14" i="7"/>
  <c r="H14" i="6"/>
  <c r="Y14" i="7"/>
  <c r="Z14"/>
  <c r="AA14"/>
  <c r="AB14"/>
  <c r="AC14"/>
  <c r="AD14"/>
  <c r="AJ14" i="6" s="1"/>
  <c r="W11" i="8" s="1"/>
  <c r="AE14" i="7"/>
  <c r="V15"/>
  <c r="W15"/>
  <c r="X15"/>
  <c r="Y15"/>
  <c r="Z15"/>
  <c r="AA15"/>
  <c r="H15" i="6"/>
  <c r="AG15" s="1"/>
  <c r="AB15" i="7"/>
  <c r="AC15"/>
  <c r="AD15"/>
  <c r="AE15"/>
  <c r="V16"/>
  <c r="W16"/>
  <c r="X16"/>
  <c r="AD16" i="6" s="1"/>
  <c r="Q13" i="8" s="1"/>
  <c r="Y16" i="7"/>
  <c r="AE16" i="6" s="1"/>
  <c r="R13" i="8" s="1"/>
  <c r="Z16" i="7"/>
  <c r="AA16"/>
  <c r="AB16"/>
  <c r="AC16"/>
  <c r="AD16"/>
  <c r="AE16"/>
  <c r="V17"/>
  <c r="W17"/>
  <c r="AC17" i="6" s="1"/>
  <c r="W18" i="219" s="1"/>
  <c r="X17" i="7"/>
  <c r="AD17" i="6" s="1"/>
  <c r="Y17" i="7"/>
  <c r="Z17"/>
  <c r="AA17"/>
  <c r="AB17"/>
  <c r="AC17"/>
  <c r="AD17"/>
  <c r="AE17"/>
  <c r="AK17" i="6" s="1"/>
  <c r="X14" i="8" s="1"/>
  <c r="V18" i="7"/>
  <c r="W18"/>
  <c r="X18"/>
  <c r="Y18"/>
  <c r="Z18"/>
  <c r="AA18"/>
  <c r="AB18"/>
  <c r="AH18" i="6" s="1"/>
  <c r="U15" i="8" s="1"/>
  <c r="AC18" i="7"/>
  <c r="AD18"/>
  <c r="AE18"/>
  <c r="V19"/>
  <c r="W19"/>
  <c r="X19"/>
  <c r="Y19"/>
  <c r="Z19"/>
  <c r="AA19"/>
  <c r="AB19"/>
  <c r="AC19"/>
  <c r="AD19"/>
  <c r="H19" i="6"/>
  <c r="AC19" s="1"/>
  <c r="AE19" i="7"/>
  <c r="V20"/>
  <c r="W20"/>
  <c r="AC20" i="6" s="1"/>
  <c r="W21" i="219" s="1"/>
  <c r="X20" i="7"/>
  <c r="AD20" i="6" s="1"/>
  <c r="Y20" i="7"/>
  <c r="H20" i="6"/>
  <c r="Z20" i="7"/>
  <c r="AA20"/>
  <c r="AB20"/>
  <c r="AC20"/>
  <c r="AD20"/>
  <c r="AE20"/>
  <c r="V21"/>
  <c r="W21"/>
  <c r="X21"/>
  <c r="Y21"/>
  <c r="Z21"/>
  <c r="H21" i="6"/>
  <c r="AA21" i="7"/>
  <c r="AB21"/>
  <c r="AC21"/>
  <c r="AD21"/>
  <c r="AE21"/>
  <c r="V22"/>
  <c r="W22"/>
  <c r="X22"/>
  <c r="Y22"/>
  <c r="Z22"/>
  <c r="AA22"/>
  <c r="AB22"/>
  <c r="AC22"/>
  <c r="AD22"/>
  <c r="AE22"/>
  <c r="V23"/>
  <c r="W23"/>
  <c r="AC23" i="6" s="1"/>
  <c r="W24" i="219" s="1"/>
  <c r="X23" i="7"/>
  <c r="AD23" i="6" s="1"/>
  <c r="Q20" i="8" s="1"/>
  <c r="Y23" i="7"/>
  <c r="Z23"/>
  <c r="AA23"/>
  <c r="H23" i="6"/>
  <c r="AG23"/>
  <c r="AB23" i="7"/>
  <c r="AH23" i="6" s="1"/>
  <c r="U20" i="8" s="1"/>
  <c r="AC23" i="7"/>
  <c r="AI23" i="6" s="1"/>
  <c r="V20" i="8" s="1"/>
  <c r="AD23" i="7"/>
  <c r="AE23"/>
  <c r="AK23" i="6" s="1"/>
  <c r="X20" i="8" s="1"/>
  <c r="V24" i="7"/>
  <c r="W24"/>
  <c r="X24"/>
  <c r="Y24"/>
  <c r="Z24"/>
  <c r="AA24"/>
  <c r="AB24"/>
  <c r="H24" i="6"/>
  <c r="AC24" i="7"/>
  <c r="AD24"/>
  <c r="AE24"/>
  <c r="V25"/>
  <c r="W25"/>
  <c r="X25"/>
  <c r="Y25"/>
  <c r="AE25" i="6" s="1"/>
  <c r="R22" i="8" s="1"/>
  <c r="Z25" i="7"/>
  <c r="H25" i="6"/>
  <c r="AA25" i="7"/>
  <c r="AB25"/>
  <c r="AC25"/>
  <c r="AD25"/>
  <c r="AE25"/>
  <c r="V26"/>
  <c r="W26"/>
  <c r="X26"/>
  <c r="H26" i="6"/>
  <c r="Y26" i="7"/>
  <c r="Z26"/>
  <c r="AA26"/>
  <c r="AB26"/>
  <c r="AC26"/>
  <c r="AD26"/>
  <c r="AE26"/>
  <c r="V27"/>
  <c r="W27"/>
  <c r="X27"/>
  <c r="Y27"/>
  <c r="Z27"/>
  <c r="AA27"/>
  <c r="AB27"/>
  <c r="AC27"/>
  <c r="AD27"/>
  <c r="H27" i="6"/>
  <c r="K27" s="1"/>
  <c r="AE27" i="7"/>
  <c r="V28"/>
  <c r="W28"/>
  <c r="X28"/>
  <c r="Y28"/>
  <c r="H28" i="6"/>
  <c r="Z28" i="7"/>
  <c r="AA28"/>
  <c r="AB28"/>
  <c r="AC28"/>
  <c r="AD28"/>
  <c r="AJ28" i="6" s="1"/>
  <c r="AE28" i="7"/>
  <c r="AK28" i="6" s="1"/>
  <c r="AE29" i="219" s="1"/>
  <c r="V29" i="7"/>
  <c r="W29"/>
  <c r="X29"/>
  <c r="Y29"/>
  <c r="Z29"/>
  <c r="AA29"/>
  <c r="AB29"/>
  <c r="AC29"/>
  <c r="AI29" i="6" s="1"/>
  <c r="AD29" i="7"/>
  <c r="AE29"/>
  <c r="AK29" i="6" s="1"/>
  <c r="V30" i="7"/>
  <c r="W30"/>
  <c r="X30"/>
  <c r="H30" i="6"/>
  <c r="AD30" s="1"/>
  <c r="X31" i="219" s="1"/>
  <c r="Y30" i="7"/>
  <c r="Z30"/>
  <c r="AA30"/>
  <c r="AB30"/>
  <c r="AC30"/>
  <c r="AD30"/>
  <c r="AE30"/>
  <c r="V31"/>
  <c r="W31"/>
  <c r="X31"/>
  <c r="Y31"/>
  <c r="Z31"/>
  <c r="AA31"/>
  <c r="AB31"/>
  <c r="AC31"/>
  <c r="AD31"/>
  <c r="H31" i="6"/>
  <c r="AH31" s="1"/>
  <c r="AE31" i="7"/>
  <c r="V32"/>
  <c r="W32"/>
  <c r="X32"/>
  <c r="Y32"/>
  <c r="H32" i="6"/>
  <c r="Z32" i="7"/>
  <c r="AF32" i="6" s="1"/>
  <c r="Z33" i="219" s="1"/>
  <c r="AA32" i="7"/>
  <c r="AG32" i="6" s="1"/>
  <c r="AA33" i="219" s="1"/>
  <c r="AB32" i="7"/>
  <c r="AC32"/>
  <c r="AD32"/>
  <c r="AE32"/>
  <c r="V33"/>
  <c r="W33"/>
  <c r="X33"/>
  <c r="Y33"/>
  <c r="Z33"/>
  <c r="H33" i="6"/>
  <c r="AA33" i="7"/>
  <c r="AB33"/>
  <c r="AC33"/>
  <c r="AD33"/>
  <c r="AE33"/>
  <c r="V34"/>
  <c r="W34"/>
  <c r="X34"/>
  <c r="Y34"/>
  <c r="Z34"/>
  <c r="AA34"/>
  <c r="AB34"/>
  <c r="AC34"/>
  <c r="AD34"/>
  <c r="AE34"/>
  <c r="V35"/>
  <c r="W35"/>
  <c r="X35"/>
  <c r="Y35"/>
  <c r="Z35"/>
  <c r="AA35"/>
  <c r="AB35"/>
  <c r="AC35"/>
  <c r="AD35"/>
  <c r="AE35"/>
  <c r="V36"/>
  <c r="W36"/>
  <c r="X36"/>
  <c r="Y36"/>
  <c r="Z36"/>
  <c r="AF36" i="6" s="1"/>
  <c r="Z37" i="219" s="1"/>
  <c r="AA36" i="7"/>
  <c r="AB36"/>
  <c r="AC36"/>
  <c r="AD36"/>
  <c r="AE36"/>
  <c r="V37"/>
  <c r="W37"/>
  <c r="X37"/>
  <c r="Y37"/>
  <c r="Z37"/>
  <c r="H37" i="6"/>
  <c r="AA37" i="7"/>
  <c r="AB37"/>
  <c r="AC37"/>
  <c r="AD37"/>
  <c r="AE37"/>
  <c r="V38"/>
  <c r="W38"/>
  <c r="X38"/>
  <c r="H38" i="6"/>
  <c r="Y38" i="7"/>
  <c r="Z38"/>
  <c r="AA38"/>
  <c r="AB38"/>
  <c r="AC38"/>
  <c r="AD38"/>
  <c r="AE38"/>
  <c r="V39"/>
  <c r="W39"/>
  <c r="X39"/>
  <c r="Y39"/>
  <c r="Z39"/>
  <c r="AA39"/>
  <c r="AB39"/>
  <c r="AC39"/>
  <c r="AD39"/>
  <c r="H39" i="6"/>
  <c r="AE39" i="7"/>
  <c r="V40"/>
  <c r="W40"/>
  <c r="X40"/>
  <c r="Y40"/>
  <c r="Z40"/>
  <c r="AA40"/>
  <c r="AB40"/>
  <c r="AC40"/>
  <c r="AI40" i="6" s="1"/>
  <c r="V37" i="8" s="1"/>
  <c r="AD40" i="7"/>
  <c r="AE40"/>
  <c r="V41"/>
  <c r="W41"/>
  <c r="X41"/>
  <c r="AD41" i="6" s="1"/>
  <c r="X42" i="219" s="1"/>
  <c r="Y41" i="7"/>
  <c r="Z41"/>
  <c r="AA41"/>
  <c r="AG41" i="6" s="1"/>
  <c r="AG53" i="88" s="1"/>
  <c r="AB41" i="7"/>
  <c r="AC41"/>
  <c r="AD41"/>
  <c r="AE41"/>
  <c r="V42"/>
  <c r="W42"/>
  <c r="X42"/>
  <c r="H42" i="6"/>
  <c r="AH42" s="1"/>
  <c r="AB43" i="219" s="1"/>
  <c r="Y42" i="7"/>
  <c r="Z42"/>
  <c r="AA42"/>
  <c r="AB42"/>
  <c r="AC42"/>
  <c r="AD42"/>
  <c r="AE42"/>
  <c r="V43"/>
  <c r="W43"/>
  <c r="X43"/>
  <c r="Y43"/>
  <c r="Z43"/>
  <c r="AA43"/>
  <c r="AB43"/>
  <c r="AC43"/>
  <c r="AD43"/>
  <c r="AE43"/>
  <c r="V45"/>
  <c r="W45"/>
  <c r="X45"/>
  <c r="Y45"/>
  <c r="Z45"/>
  <c r="H45" i="6"/>
  <c r="AA45" i="7"/>
  <c r="AG45" i="6" s="1"/>
  <c r="AG57" i="88" s="1"/>
  <c r="AB45" i="7"/>
  <c r="AC45"/>
  <c r="AD45"/>
  <c r="AE45"/>
  <c r="V46"/>
  <c r="W46"/>
  <c r="X46"/>
  <c r="H46" i="6"/>
  <c r="L46" s="1"/>
  <c r="Y46" i="7"/>
  <c r="Z46"/>
  <c r="AA46"/>
  <c r="AB46"/>
  <c r="AC46"/>
  <c r="AD46"/>
  <c r="AE46"/>
  <c r="V47"/>
  <c r="W47"/>
  <c r="X47"/>
  <c r="Y47"/>
  <c r="Z47"/>
  <c r="AA47"/>
  <c r="AB47"/>
  <c r="AC47"/>
  <c r="AD47"/>
  <c r="AJ47" i="6" s="1"/>
  <c r="AE47" i="7"/>
  <c r="V48"/>
  <c r="W48"/>
  <c r="X48"/>
  <c r="Y48"/>
  <c r="Z48"/>
  <c r="AA48"/>
  <c r="AB48"/>
  <c r="H48" i="6"/>
  <c r="AI48" s="1"/>
  <c r="V45" i="8" s="1"/>
  <c r="AC48" i="7"/>
  <c r="AD48"/>
  <c r="AE48"/>
  <c r="V49"/>
  <c r="W49"/>
  <c r="X49"/>
  <c r="Y49"/>
  <c r="AE49" i="6" s="1"/>
  <c r="Y50" i="219" s="1"/>
  <c r="Z49" i="7"/>
  <c r="AA49"/>
  <c r="AB49"/>
  <c r="AC49"/>
  <c r="AD49"/>
  <c r="AE49"/>
  <c r="V51"/>
  <c r="W51"/>
  <c r="X51"/>
  <c r="Y51"/>
  <c r="Z51"/>
  <c r="AA51"/>
  <c r="AB51"/>
  <c r="AC51"/>
  <c r="AD51"/>
  <c r="H51" i="6"/>
  <c r="K51" s="1"/>
  <c r="AE51" i="7"/>
  <c r="V52"/>
  <c r="W52"/>
  <c r="X52"/>
  <c r="Y52"/>
  <c r="Z52"/>
  <c r="AA52"/>
  <c r="AB52"/>
  <c r="AC52"/>
  <c r="AI52" i="6" s="1"/>
  <c r="V49" i="8" s="1"/>
  <c r="AD52" i="7"/>
  <c r="AE52"/>
  <c r="AK52" i="6" s="1"/>
  <c r="X49" i="8" s="1"/>
  <c r="V53" i="7"/>
  <c r="W53"/>
  <c r="X53"/>
  <c r="Y53"/>
  <c r="Z53"/>
  <c r="H53" i="6"/>
  <c r="AE53" s="1"/>
  <c r="Y54" i="219" s="1"/>
  <c r="AA53" i="7"/>
  <c r="AB53"/>
  <c r="AC53"/>
  <c r="AD53"/>
  <c r="AE53"/>
  <c r="V54"/>
  <c r="W54"/>
  <c r="X54"/>
  <c r="Y54"/>
  <c r="Z54"/>
  <c r="AA54"/>
  <c r="AB54"/>
  <c r="AC54"/>
  <c r="AD54"/>
  <c r="AJ54" i="6" s="1"/>
  <c r="W51" i="8" s="1"/>
  <c r="AE54" i="7"/>
  <c r="AK54" i="6" s="1"/>
  <c r="X51" i="8" s="1"/>
  <c r="V55" i="7"/>
  <c r="W55"/>
  <c r="X55"/>
  <c r="Y55"/>
  <c r="Z55"/>
  <c r="AF55" i="6" s="1"/>
  <c r="AA55" i="7"/>
  <c r="AB55"/>
  <c r="AC55"/>
  <c r="AD55"/>
  <c r="AE55"/>
  <c r="W4"/>
  <c r="AC4" i="6" s="1"/>
  <c r="P1" i="8" s="1"/>
  <c r="X4" i="7"/>
  <c r="AD4" i="6" s="1"/>
  <c r="Q1" i="8" s="1"/>
  <c r="Y4" i="7"/>
  <c r="AE4" i="6" s="1"/>
  <c r="R1" i="8" s="1"/>
  <c r="Z4" i="7"/>
  <c r="AF4" i="6" s="1"/>
  <c r="S1" i="8" s="1"/>
  <c r="AA4" i="7"/>
  <c r="AG4" i="6" s="1"/>
  <c r="T1" i="8" s="1"/>
  <c r="AB4" i="7"/>
  <c r="AH4" i="6" s="1"/>
  <c r="U1" i="8" s="1"/>
  <c r="AC4" i="7"/>
  <c r="AI4" i="6" s="1"/>
  <c r="V1" i="8" s="1"/>
  <c r="AD4" i="7"/>
  <c r="AJ4" i="6" s="1"/>
  <c r="W1" i="8" s="1"/>
  <c r="AE4" i="7"/>
  <c r="AK4" i="6" s="1"/>
  <c r="X1" i="8" s="1"/>
  <c r="V4" i="7"/>
  <c r="AB4" i="6" s="1"/>
  <c r="O1" i="8" s="1"/>
  <c r="G56" i="220"/>
  <c r="I56" s="1"/>
  <c r="F56"/>
  <c r="E56"/>
  <c r="D56"/>
  <c r="H56" s="1"/>
  <c r="C56"/>
  <c r="B56"/>
  <c r="G55"/>
  <c r="I55" s="1"/>
  <c r="F55"/>
  <c r="E55"/>
  <c r="D55"/>
  <c r="H55" s="1"/>
  <c r="C55"/>
  <c r="B55"/>
  <c r="G54"/>
  <c r="I54" s="1"/>
  <c r="F54"/>
  <c r="E54"/>
  <c r="D54"/>
  <c r="H54" s="1"/>
  <c r="C54"/>
  <c r="B54"/>
  <c r="G53"/>
  <c r="I53" s="1"/>
  <c r="F53"/>
  <c r="E53"/>
  <c r="D53"/>
  <c r="H53" s="1"/>
  <c r="C53"/>
  <c r="B53"/>
  <c r="G52"/>
  <c r="I52" s="1"/>
  <c r="F52"/>
  <c r="E52"/>
  <c r="D52"/>
  <c r="H52"/>
  <c r="C52"/>
  <c r="B52"/>
  <c r="G51"/>
  <c r="I51" s="1"/>
  <c r="F51"/>
  <c r="E51"/>
  <c r="D51"/>
  <c r="H51" s="1"/>
  <c r="C51"/>
  <c r="B51"/>
  <c r="G50"/>
  <c r="I50" s="1"/>
  <c r="F50"/>
  <c r="E50"/>
  <c r="D50"/>
  <c r="H50" s="1"/>
  <c r="C50"/>
  <c r="B50"/>
  <c r="G49"/>
  <c r="I49" s="1"/>
  <c r="F49"/>
  <c r="E49"/>
  <c r="D49"/>
  <c r="H49" s="1"/>
  <c r="C49"/>
  <c r="B49"/>
  <c r="G48"/>
  <c r="I48" s="1"/>
  <c r="F48"/>
  <c r="E48"/>
  <c r="D48"/>
  <c r="H48" s="1"/>
  <c r="C48"/>
  <c r="B48"/>
  <c r="G47"/>
  <c r="I47" s="1"/>
  <c r="F47"/>
  <c r="E47"/>
  <c r="D47"/>
  <c r="H47" s="1"/>
  <c r="C47"/>
  <c r="B47"/>
  <c r="G46"/>
  <c r="I46" s="1"/>
  <c r="F46"/>
  <c r="E46"/>
  <c r="D46"/>
  <c r="H46" s="1"/>
  <c r="C46"/>
  <c r="B46"/>
  <c r="G45"/>
  <c r="I45" s="1"/>
  <c r="F45"/>
  <c r="E45"/>
  <c r="D45"/>
  <c r="H45" s="1"/>
  <c r="C45"/>
  <c r="B45"/>
  <c r="G44"/>
  <c r="I44" s="1"/>
  <c r="F44"/>
  <c r="E44"/>
  <c r="D44"/>
  <c r="H44" s="1"/>
  <c r="C44"/>
  <c r="B44"/>
  <c r="G43"/>
  <c r="I43" s="1"/>
  <c r="F43"/>
  <c r="E43"/>
  <c r="D43"/>
  <c r="H43" s="1"/>
  <c r="C43"/>
  <c r="B43"/>
  <c r="G42"/>
  <c r="I42" s="1"/>
  <c r="F42"/>
  <c r="E42"/>
  <c r="D42"/>
  <c r="H42" s="1"/>
  <c r="C42"/>
  <c r="B42"/>
  <c r="G41"/>
  <c r="I41" s="1"/>
  <c r="F41"/>
  <c r="E41"/>
  <c r="D41"/>
  <c r="H41" s="1"/>
  <c r="C41"/>
  <c r="B41"/>
  <c r="G40"/>
  <c r="I40" s="1"/>
  <c r="F40"/>
  <c r="E40"/>
  <c r="D40"/>
  <c r="H40" s="1"/>
  <c r="C40"/>
  <c r="B40"/>
  <c r="G39"/>
  <c r="I39" s="1"/>
  <c r="F39"/>
  <c r="E39"/>
  <c r="D39"/>
  <c r="H39"/>
  <c r="C39"/>
  <c r="B39"/>
  <c r="G38"/>
  <c r="I38" s="1"/>
  <c r="F38"/>
  <c r="E38"/>
  <c r="D38"/>
  <c r="AE34" i="1"/>
  <c r="H38" i="220"/>
  <c r="C38"/>
  <c r="B38"/>
  <c r="G37"/>
  <c r="I37" s="1"/>
  <c r="F37"/>
  <c r="E37"/>
  <c r="D37"/>
  <c r="H37" s="1"/>
  <c r="C37"/>
  <c r="B37"/>
  <c r="G36"/>
  <c r="I36" s="1"/>
  <c r="F36"/>
  <c r="E36"/>
  <c r="D36"/>
  <c r="H36" s="1"/>
  <c r="C36"/>
  <c r="B36"/>
  <c r="G35"/>
  <c r="I35" s="1"/>
  <c r="F35"/>
  <c r="E35"/>
  <c r="D35"/>
  <c r="H35" s="1"/>
  <c r="C35"/>
  <c r="B35"/>
  <c r="G34"/>
  <c r="I34" s="1"/>
  <c r="F34"/>
  <c r="E34"/>
  <c r="D34"/>
  <c r="H34" s="1"/>
  <c r="C34"/>
  <c r="B34"/>
  <c r="G33"/>
  <c r="I33" s="1"/>
  <c r="F33"/>
  <c r="E33"/>
  <c r="D33"/>
  <c r="H33" s="1"/>
  <c r="C33"/>
  <c r="B33"/>
  <c r="G32"/>
  <c r="I32" s="1"/>
  <c r="F32"/>
  <c r="E32"/>
  <c r="D32"/>
  <c r="H32" s="1"/>
  <c r="C32"/>
  <c r="B32"/>
  <c r="G31"/>
  <c r="I31" s="1"/>
  <c r="F31"/>
  <c r="E31"/>
  <c r="D31"/>
  <c r="H31" s="1"/>
  <c r="C31"/>
  <c r="B31"/>
  <c r="G30"/>
  <c r="I30"/>
  <c r="F30"/>
  <c r="E30"/>
  <c r="D30"/>
  <c r="H30" s="1"/>
  <c r="C30"/>
  <c r="B30"/>
  <c r="G29"/>
  <c r="I29" s="1"/>
  <c r="F29"/>
  <c r="E29"/>
  <c r="D29"/>
  <c r="H29" s="1"/>
  <c r="C29"/>
  <c r="B29"/>
  <c r="G28"/>
  <c r="I28" s="1"/>
  <c r="F28"/>
  <c r="E28"/>
  <c r="D28"/>
  <c r="H28" s="1"/>
  <c r="C28"/>
  <c r="B28"/>
  <c r="G27"/>
  <c r="I27" s="1"/>
  <c r="F27"/>
  <c r="E27"/>
  <c r="D27"/>
  <c r="H27" s="1"/>
  <c r="C27"/>
  <c r="B27"/>
  <c r="G26"/>
  <c r="I26" s="1"/>
  <c r="F26"/>
  <c r="E26"/>
  <c r="D26"/>
  <c r="H26" s="1"/>
  <c r="AE22" i="1"/>
  <c r="C26" i="220"/>
  <c r="B26"/>
  <c r="G25"/>
  <c r="I25" s="1"/>
  <c r="F25"/>
  <c r="E25"/>
  <c r="D25"/>
  <c r="H25" s="1"/>
  <c r="C25"/>
  <c r="B25"/>
  <c r="G24"/>
  <c r="I24" s="1"/>
  <c r="F24"/>
  <c r="E24"/>
  <c r="D24"/>
  <c r="H24"/>
  <c r="C24"/>
  <c r="B24"/>
  <c r="G23"/>
  <c r="I23" s="1"/>
  <c r="F23"/>
  <c r="E23"/>
  <c r="D23"/>
  <c r="H23" s="1"/>
  <c r="C23"/>
  <c r="B23"/>
  <c r="G22"/>
  <c r="I22" s="1"/>
  <c r="F22"/>
  <c r="E22"/>
  <c r="D22"/>
  <c r="H22" s="1"/>
  <c r="C22"/>
  <c r="B22"/>
  <c r="G21"/>
  <c r="I21" s="1"/>
  <c r="F21"/>
  <c r="E21"/>
  <c r="D21"/>
  <c r="H21" s="1"/>
  <c r="AE17" i="1"/>
  <c r="C21" i="220"/>
  <c r="B21"/>
  <c r="G20"/>
  <c r="I20" s="1"/>
  <c r="F20"/>
  <c r="E20"/>
  <c r="D20"/>
  <c r="H20" s="1"/>
  <c r="C20"/>
  <c r="B20"/>
  <c r="G19"/>
  <c r="I19" s="1"/>
  <c r="F19"/>
  <c r="E19"/>
  <c r="D19"/>
  <c r="H19" s="1"/>
  <c r="C19"/>
  <c r="B19"/>
  <c r="G18"/>
  <c r="I18" s="1"/>
  <c r="F18"/>
  <c r="E18"/>
  <c r="D18"/>
  <c r="H18" s="1"/>
  <c r="C18"/>
  <c r="B18"/>
  <c r="G17"/>
  <c r="I17" s="1"/>
  <c r="F17"/>
  <c r="E17"/>
  <c r="D17"/>
  <c r="H17" s="1"/>
  <c r="C17"/>
  <c r="B17"/>
  <c r="G16"/>
  <c r="I16" s="1"/>
  <c r="F16"/>
  <c r="E16"/>
  <c r="D16"/>
  <c r="H16" s="1"/>
  <c r="C16"/>
  <c r="B16"/>
  <c r="G15"/>
  <c r="I15" s="1"/>
  <c r="F15"/>
  <c r="E15"/>
  <c r="D15"/>
  <c r="H15" s="1"/>
  <c r="C15"/>
  <c r="B15"/>
  <c r="G14"/>
  <c r="I14" s="1"/>
  <c r="F14"/>
  <c r="E14"/>
  <c r="D14"/>
  <c r="H14" s="1"/>
  <c r="C14"/>
  <c r="B14"/>
  <c r="G13"/>
  <c r="I13" s="1"/>
  <c r="F13"/>
  <c r="E13"/>
  <c r="D13"/>
  <c r="H13" s="1"/>
  <c r="C13"/>
  <c r="B13"/>
  <c r="G12"/>
  <c r="I12" s="1"/>
  <c r="F12"/>
  <c r="E12"/>
  <c r="D12"/>
  <c r="H12" s="1"/>
  <c r="C12"/>
  <c r="B12"/>
  <c r="G11"/>
  <c r="I11" s="1"/>
  <c r="F11"/>
  <c r="E11"/>
  <c r="D11"/>
  <c r="H11" s="1"/>
  <c r="C11"/>
  <c r="B11"/>
  <c r="G10"/>
  <c r="I10" s="1"/>
  <c r="F10"/>
  <c r="E10"/>
  <c r="D10"/>
  <c r="H10" s="1"/>
  <c r="C10"/>
  <c r="B10"/>
  <c r="G9"/>
  <c r="I9" s="1"/>
  <c r="F9"/>
  <c r="E9"/>
  <c r="D9"/>
  <c r="H9" s="1"/>
  <c r="C9"/>
  <c r="B9"/>
  <c r="G8"/>
  <c r="I8" s="1"/>
  <c r="F8"/>
  <c r="E8"/>
  <c r="D8"/>
  <c r="H8" s="1"/>
  <c r="C8"/>
  <c r="B8"/>
  <c r="D7"/>
  <c r="H7" s="1"/>
  <c r="G7"/>
  <c r="I7" s="1"/>
  <c r="F7"/>
  <c r="E7"/>
  <c r="C7"/>
  <c r="B7"/>
  <c r="G6"/>
  <c r="F6"/>
  <c r="E6"/>
  <c r="D6"/>
  <c r="H6" s="1"/>
  <c r="C6"/>
  <c r="B6"/>
  <c r="I5"/>
  <c r="H5"/>
  <c r="G5"/>
  <c r="E5"/>
  <c r="C5"/>
  <c r="B5"/>
  <c r="E26" i="1"/>
  <c r="E27"/>
  <c r="E28"/>
  <c r="E29"/>
  <c r="E25"/>
  <c r="S3" i="26"/>
  <c r="U6"/>
  <c r="U7"/>
  <c r="U11"/>
  <c r="U12"/>
  <c r="U13"/>
  <c r="U14"/>
  <c r="U16"/>
  <c r="U17"/>
  <c r="U19"/>
  <c r="U20"/>
  <c r="U21"/>
  <c r="U22"/>
  <c r="U28"/>
  <c r="U29"/>
  <c r="U30"/>
  <c r="U31"/>
  <c r="U33"/>
  <c r="U34"/>
  <c r="U35"/>
  <c r="U36"/>
  <c r="U37"/>
  <c r="U38"/>
  <c r="U39"/>
  <c r="U40"/>
  <c r="U42"/>
  <c r="U43"/>
  <c r="U45"/>
  <c r="U48"/>
  <c r="U49"/>
  <c r="U50"/>
  <c r="U51"/>
  <c r="U52"/>
  <c r="U54"/>
  <c r="U55"/>
  <c r="U56"/>
  <c r="U59"/>
  <c r="U60"/>
  <c r="U61"/>
  <c r="U62"/>
  <c r="U64"/>
  <c r="U65"/>
  <c r="U67"/>
  <c r="U68"/>
  <c r="U69"/>
  <c r="U70"/>
  <c r="U72"/>
  <c r="U73"/>
  <c r="U74"/>
  <c r="U75"/>
  <c r="U5"/>
  <c r="K3"/>
  <c r="A7"/>
  <c r="L3" s="1"/>
  <c r="A8"/>
  <c r="M3" s="1"/>
  <c r="A9"/>
  <c r="A10"/>
  <c r="O3" s="1"/>
  <c r="A11"/>
  <c r="P3" s="1"/>
  <c r="A12"/>
  <c r="Q3" s="1"/>
  <c r="A13"/>
  <c r="R3"/>
  <c r="J3"/>
  <c r="A1" i="121"/>
  <c r="B131" i="5"/>
  <c r="B132"/>
  <c r="B130"/>
  <c r="D23" i="211"/>
  <c r="D24"/>
  <c r="D25"/>
  <c r="D26"/>
  <c r="D22"/>
  <c r="D20"/>
  <c r="K8" i="121"/>
  <c r="I2" i="211"/>
  <c r="B6"/>
  <c r="B20" i="2"/>
  <c r="E20"/>
  <c r="B9" i="211"/>
  <c r="B8"/>
  <c r="B20" i="170"/>
  <c r="B19"/>
  <c r="B4" i="101"/>
  <c r="B3"/>
  <c r="I32" i="6"/>
  <c r="J32"/>
  <c r="L32" s="1"/>
  <c r="B7" i="2"/>
  <c r="I3" i="108" s="1"/>
  <c r="AN2" i="4"/>
  <c r="AQ4" s="1"/>
  <c r="D4" s="1"/>
  <c r="D20" i="168" s="1"/>
  <c r="AO2" i="4"/>
  <c r="AO16" s="1"/>
  <c r="B4" i="196"/>
  <c r="A58"/>
  <c r="B3"/>
  <c r="B2"/>
  <c r="E29" i="7"/>
  <c r="G29" i="6"/>
  <c r="I29"/>
  <c r="B1" i="196"/>
  <c r="BN4" i="4"/>
  <c r="BN5"/>
  <c r="BN6"/>
  <c r="BN7"/>
  <c r="BN8"/>
  <c r="BN9"/>
  <c r="BN10"/>
  <c r="BN11"/>
  <c r="BN12"/>
  <c r="BN13"/>
  <c r="BN14"/>
  <c r="BN3"/>
  <c r="A1" i="27"/>
  <c r="A1" i="219"/>
  <c r="A1" i="215"/>
  <c r="A1" i="213"/>
  <c r="A1" i="107"/>
  <c r="A1" i="67"/>
  <c r="A1" i="197"/>
  <c r="A1" i="189"/>
  <c r="A4" i="211"/>
  <c r="S3" i="4"/>
  <c r="AK3" s="1"/>
  <c r="AL3" s="1"/>
  <c r="I9" i="6"/>
  <c r="K9" s="1"/>
  <c r="E9" i="7"/>
  <c r="L9" s="1"/>
  <c r="G9" i="6"/>
  <c r="E25" i="7"/>
  <c r="G25" i="6"/>
  <c r="I25"/>
  <c r="J25"/>
  <c r="C2" i="4"/>
  <c r="I2"/>
  <c r="A4" i="196"/>
  <c r="D2"/>
  <c r="B13" i="5"/>
  <c r="D13" s="1"/>
  <c r="B14"/>
  <c r="D14" s="1"/>
  <c r="B15"/>
  <c r="B16"/>
  <c r="B17"/>
  <c r="C17" s="1"/>
  <c r="F30" i="26" s="1"/>
  <c r="F33" i="27" s="1"/>
  <c r="B18" i="5"/>
  <c r="D18" s="1"/>
  <c r="B19"/>
  <c r="D32" i="26" s="1"/>
  <c r="B20" i="5"/>
  <c r="B21"/>
  <c r="B22"/>
  <c r="B23"/>
  <c r="B24"/>
  <c r="B25"/>
  <c r="C25" s="1"/>
  <c r="F38" i="26" s="1"/>
  <c r="D38"/>
  <c r="E38" s="1"/>
  <c r="B26" i="5"/>
  <c r="D26" s="1"/>
  <c r="B27"/>
  <c r="B28"/>
  <c r="D41" i="26" s="1"/>
  <c r="B29" i="5"/>
  <c r="B30"/>
  <c r="D30" s="1"/>
  <c r="B31"/>
  <c r="D44" i="26" s="1"/>
  <c r="B32" i="5"/>
  <c r="D45" i="26" s="1"/>
  <c r="B33" i="5"/>
  <c r="C33" s="1"/>
  <c r="F46" i="26" s="1"/>
  <c r="F49" i="27" s="1"/>
  <c r="B34" i="5"/>
  <c r="B35"/>
  <c r="C35" s="1"/>
  <c r="F48" i="26" s="1"/>
  <c r="F51" i="27" s="1"/>
  <c r="B36" i="5"/>
  <c r="C36" s="1"/>
  <c r="F49" i="26" s="1"/>
  <c r="F52" i="27" s="1"/>
  <c r="B37" i="5"/>
  <c r="B38"/>
  <c r="B39"/>
  <c r="D39" s="1"/>
  <c r="B40"/>
  <c r="D53" i="26" s="1"/>
  <c r="E53" s="1"/>
  <c r="B41" i="5"/>
  <c r="C41" s="1"/>
  <c r="F54" i="26" s="1"/>
  <c r="F57" i="27" s="1"/>
  <c r="B42" i="5"/>
  <c r="B43"/>
  <c r="B44"/>
  <c r="C44" s="1"/>
  <c r="F57" i="26" s="1"/>
  <c r="F60" i="27" s="1"/>
  <c r="B45" i="5"/>
  <c r="B46"/>
  <c r="D59" i="26" s="1"/>
  <c r="B47" i="5"/>
  <c r="C47" s="1"/>
  <c r="F60" i="26" s="1"/>
  <c r="F63" i="27" s="1"/>
  <c r="B48" i="5"/>
  <c r="C48" s="1"/>
  <c r="F61" i="26" s="1"/>
  <c r="F64" i="27" s="1"/>
  <c r="B49" i="5"/>
  <c r="C49" s="1"/>
  <c r="F62" i="26" s="1"/>
  <c r="F65" i="27" s="1"/>
  <c r="B50" i="5"/>
  <c r="B51"/>
  <c r="D64" i="26"/>
  <c r="B52" i="5"/>
  <c r="B53"/>
  <c r="B54"/>
  <c r="B55"/>
  <c r="C55" s="1"/>
  <c r="F68" i="26" s="1"/>
  <c r="F71" i="27" s="1"/>
  <c r="B56" i="5"/>
  <c r="C56"/>
  <c r="F69" i="26" s="1"/>
  <c r="F72" i="27" s="1"/>
  <c r="B57" i="5"/>
  <c r="B58"/>
  <c r="D71" i="26" s="1"/>
  <c r="E71" s="1"/>
  <c r="E74" i="27" s="1"/>
  <c r="B59" i="5"/>
  <c r="B60"/>
  <c r="B61"/>
  <c r="B62"/>
  <c r="C5" i="26"/>
  <c r="C8" i="27"/>
  <c r="C6" i="26"/>
  <c r="C9" i="27" s="1"/>
  <c r="C7" i="26"/>
  <c r="C10" i="27" s="1"/>
  <c r="C10" i="26"/>
  <c r="C13" i="27" s="1"/>
  <c r="C11" i="26"/>
  <c r="C14" i="27" s="1"/>
  <c r="C12" i="26"/>
  <c r="C15" i="27" s="1"/>
  <c r="C13" i="26"/>
  <c r="C16" i="27" s="1"/>
  <c r="C14" i="26"/>
  <c r="C17" i="27" s="1"/>
  <c r="C15" i="26"/>
  <c r="C18" i="27"/>
  <c r="C16" i="26"/>
  <c r="C19" i="27" s="1"/>
  <c r="C17" i="26"/>
  <c r="C20" i="27" s="1"/>
  <c r="C18" i="26"/>
  <c r="C21" i="27" s="1"/>
  <c r="C19" i="26"/>
  <c r="C22" i="27" s="1"/>
  <c r="C20" i="26"/>
  <c r="C23" i="27" s="1"/>
  <c r="C21" i="26"/>
  <c r="C24" i="27" s="1"/>
  <c r="C22" i="26"/>
  <c r="C25" i="27" s="1"/>
  <c r="C26" i="26"/>
  <c r="C29" i="27" s="1"/>
  <c r="C27" i="26"/>
  <c r="C30" i="27" s="1"/>
  <c r="C28" i="26"/>
  <c r="C31" i="27" s="1"/>
  <c r="C29" i="26"/>
  <c r="C32" i="27" s="1"/>
  <c r="C30" i="26"/>
  <c r="C33" i="27" s="1"/>
  <c r="C31" i="26"/>
  <c r="C34" i="27" s="1"/>
  <c r="C32" i="26"/>
  <c r="C35" i="27" s="1"/>
  <c r="C33" i="26"/>
  <c r="C36" i="27" s="1"/>
  <c r="C34" i="26"/>
  <c r="C37" i="27" s="1"/>
  <c r="C35" i="26"/>
  <c r="C38" i="27" s="1"/>
  <c r="C36" i="26"/>
  <c r="C39" i="27" s="1"/>
  <c r="C37" i="26"/>
  <c r="C40" i="27" s="1"/>
  <c r="C38" i="26"/>
  <c r="C41" i="27" s="1"/>
  <c r="C39" i="26"/>
  <c r="C42" i="27" s="1"/>
  <c r="C40" i="26"/>
  <c r="C43" i="27" s="1"/>
  <c r="C41" i="26"/>
  <c r="C44" i="27" s="1"/>
  <c r="C42" i="26"/>
  <c r="C45" i="27" s="1"/>
  <c r="C43" i="26"/>
  <c r="C46" i="27" s="1"/>
  <c r="C44" i="26"/>
  <c r="C47" i="27" s="1"/>
  <c r="C45" i="26"/>
  <c r="C48" i="27" s="1"/>
  <c r="C46" i="26"/>
  <c r="C49" i="27" s="1"/>
  <c r="C47" i="26"/>
  <c r="C50" i="27" s="1"/>
  <c r="C48" i="26"/>
  <c r="C51" i="27" s="1"/>
  <c r="C49" i="26"/>
  <c r="C52" i="27" s="1"/>
  <c r="C50" i="26"/>
  <c r="C53" i="27" s="1"/>
  <c r="C51" i="26"/>
  <c r="C54" i="27" s="1"/>
  <c r="C52" i="26"/>
  <c r="C55" i="27" s="1"/>
  <c r="C53" i="26"/>
  <c r="C56" i="27" s="1"/>
  <c r="C54" i="26"/>
  <c r="C57" i="27" s="1"/>
  <c r="C55" i="26"/>
  <c r="C58" i="27" s="1"/>
  <c r="C56" i="26"/>
  <c r="C59" i="27" s="1"/>
  <c r="C57" i="26"/>
  <c r="C60" i="27" s="1"/>
  <c r="C58" i="26"/>
  <c r="C61" i="27" s="1"/>
  <c r="C59" i="26"/>
  <c r="C62" i="27" s="1"/>
  <c r="C60" i="26"/>
  <c r="C63" i="27" s="1"/>
  <c r="C61" i="26"/>
  <c r="C64" i="27"/>
  <c r="C62" i="26"/>
  <c r="C65" i="27" s="1"/>
  <c r="C63" i="26"/>
  <c r="C66" i="27" s="1"/>
  <c r="C64" i="26"/>
  <c r="C67" i="27" s="1"/>
  <c r="C65" i="26"/>
  <c r="C68" i="27" s="1"/>
  <c r="C66" i="26"/>
  <c r="C69" i="27" s="1"/>
  <c r="C67" i="26"/>
  <c r="C70" i="27" s="1"/>
  <c r="C68" i="26"/>
  <c r="C71" i="27" s="1"/>
  <c r="C69" i="26"/>
  <c r="C72" i="27" s="1"/>
  <c r="C70" i="26"/>
  <c r="C73" i="27" s="1"/>
  <c r="C71" i="26"/>
  <c r="C74" i="27" s="1"/>
  <c r="C72" i="26"/>
  <c r="C75" i="27" s="1"/>
  <c r="C73" i="26"/>
  <c r="C76" i="27" s="1"/>
  <c r="C74" i="26"/>
  <c r="C77" i="27" s="1"/>
  <c r="C75" i="26"/>
  <c r="C78" i="27" s="1"/>
  <c r="E54" i="7"/>
  <c r="J54" i="6"/>
  <c r="G54"/>
  <c r="E53" i="7"/>
  <c r="T53" s="1"/>
  <c r="G53" i="6"/>
  <c r="I53"/>
  <c r="J53"/>
  <c r="E52" i="7"/>
  <c r="K52"/>
  <c r="G52" i="6"/>
  <c r="E51" i="7"/>
  <c r="M51" s="1"/>
  <c r="H50" i="6"/>
  <c r="G50"/>
  <c r="E49" i="7"/>
  <c r="H49" i="6"/>
  <c r="G49"/>
  <c r="I49"/>
  <c r="K49" s="1"/>
  <c r="J49"/>
  <c r="L49" s="1"/>
  <c r="E48" i="7"/>
  <c r="N48" s="1"/>
  <c r="G48" i="6"/>
  <c r="I48"/>
  <c r="J48"/>
  <c r="E47" i="7"/>
  <c r="H47" i="6"/>
  <c r="AF47" s="1"/>
  <c r="I47"/>
  <c r="G47"/>
  <c r="J47"/>
  <c r="E46" i="7"/>
  <c r="J46" s="1"/>
  <c r="E45"/>
  <c r="J45" s="1"/>
  <c r="G45" i="6"/>
  <c r="I45"/>
  <c r="J45"/>
  <c r="E43" i="7"/>
  <c r="H43" i="6"/>
  <c r="L43" s="1"/>
  <c r="E42" i="7"/>
  <c r="U42" s="1"/>
  <c r="J42" i="6"/>
  <c r="G42"/>
  <c r="I42"/>
  <c r="E41" i="7"/>
  <c r="N41" s="1"/>
  <c r="G41" i="6"/>
  <c r="I41"/>
  <c r="E40" i="7"/>
  <c r="L40" s="1"/>
  <c r="G40" i="6"/>
  <c r="I40"/>
  <c r="E39" i="7"/>
  <c r="J39" i="6"/>
  <c r="G39"/>
  <c r="I39"/>
  <c r="E38" i="7"/>
  <c r="Q38" s="1"/>
  <c r="E37"/>
  <c r="M37" s="1"/>
  <c r="E36"/>
  <c r="H36" i="6"/>
  <c r="J36"/>
  <c r="G36"/>
  <c r="I36"/>
  <c r="E35" i="7"/>
  <c r="H35" i="6"/>
  <c r="AG35" s="1"/>
  <c r="AA36" i="219" s="1"/>
  <c r="I35" i="6"/>
  <c r="G35"/>
  <c r="J35"/>
  <c r="E34" i="7"/>
  <c r="G34" i="6"/>
  <c r="E33" i="7"/>
  <c r="N33" s="1"/>
  <c r="E32"/>
  <c r="G32" i="6"/>
  <c r="G32" i="7"/>
  <c r="I32" s="1"/>
  <c r="E31"/>
  <c r="J31" s="1"/>
  <c r="J31" i="6"/>
  <c r="G31"/>
  <c r="I31"/>
  <c r="E30" i="7"/>
  <c r="J30" i="6"/>
  <c r="G30"/>
  <c r="I30"/>
  <c r="G29" i="7"/>
  <c r="I29" s="1"/>
  <c r="E28"/>
  <c r="T28" s="1"/>
  <c r="G28" i="6"/>
  <c r="I28"/>
  <c r="K28" s="1"/>
  <c r="J28"/>
  <c r="E27" i="7"/>
  <c r="Q27" s="1"/>
  <c r="E26"/>
  <c r="O26" s="1"/>
  <c r="E24"/>
  <c r="Q24" s="1"/>
  <c r="E23"/>
  <c r="G23" i="6"/>
  <c r="I23"/>
  <c r="K23" s="1"/>
  <c r="J23"/>
  <c r="L23" s="1"/>
  <c r="E22" i="7"/>
  <c r="T22" s="1"/>
  <c r="G22" i="6"/>
  <c r="I22"/>
  <c r="E21" i="7"/>
  <c r="E20"/>
  <c r="T20"/>
  <c r="J20" i="6"/>
  <c r="G20"/>
  <c r="I20"/>
  <c r="E19" i="7"/>
  <c r="U19" s="1"/>
  <c r="I19" i="6"/>
  <c r="G19"/>
  <c r="J19"/>
  <c r="L19" s="1"/>
  <c r="G19" i="7"/>
  <c r="I19" s="1"/>
  <c r="E18"/>
  <c r="G18" i="6"/>
  <c r="I18"/>
  <c r="E17" i="7"/>
  <c r="G17" i="6"/>
  <c r="I17"/>
  <c r="K17" s="1"/>
  <c r="E16" i="7"/>
  <c r="M16" s="1"/>
  <c r="H16" i="6"/>
  <c r="G16"/>
  <c r="I16"/>
  <c r="K16" s="1"/>
  <c r="J16"/>
  <c r="L16" s="1"/>
  <c r="E15" i="7"/>
  <c r="J15" i="6"/>
  <c r="G15"/>
  <c r="I15"/>
  <c r="E14" i="7"/>
  <c r="I14" i="6"/>
  <c r="G14"/>
  <c r="J14"/>
  <c r="E13" i="7"/>
  <c r="G13" i="6"/>
  <c r="E12" i="7"/>
  <c r="L12" s="1"/>
  <c r="E11"/>
  <c r="Q11" s="1"/>
  <c r="G11" i="6"/>
  <c r="J11"/>
  <c r="L11" s="1"/>
  <c r="E10" i="7"/>
  <c r="S10" s="1"/>
  <c r="G10" i="6"/>
  <c r="I10"/>
  <c r="J10"/>
  <c r="E8" i="7"/>
  <c r="G8" i="6"/>
  <c r="I8"/>
  <c r="J8"/>
  <c r="J3" i="7"/>
  <c r="G8"/>
  <c r="I8" s="1"/>
  <c r="G7"/>
  <c r="I7" s="1"/>
  <c r="J4" i="219"/>
  <c r="J5"/>
  <c r="G6" i="7"/>
  <c r="I6" s="1"/>
  <c r="E56" i="219"/>
  <c r="G56"/>
  <c r="D56"/>
  <c r="H56" s="1"/>
  <c r="F56"/>
  <c r="C56"/>
  <c r="B56"/>
  <c r="E55"/>
  <c r="G55"/>
  <c r="F55"/>
  <c r="C55"/>
  <c r="B55"/>
  <c r="E54"/>
  <c r="G54"/>
  <c r="D54"/>
  <c r="H54" s="1"/>
  <c r="F54"/>
  <c r="C54"/>
  <c r="B54"/>
  <c r="E53"/>
  <c r="G53"/>
  <c r="D53"/>
  <c r="H53" s="1"/>
  <c r="F53"/>
  <c r="C53"/>
  <c r="B53"/>
  <c r="E52"/>
  <c r="G52"/>
  <c r="F52"/>
  <c r="C52"/>
  <c r="B52"/>
  <c r="E51"/>
  <c r="G51"/>
  <c r="F51"/>
  <c r="C51"/>
  <c r="B51"/>
  <c r="E50"/>
  <c r="G50"/>
  <c r="D50"/>
  <c r="H50" s="1"/>
  <c r="F50"/>
  <c r="C50"/>
  <c r="B50"/>
  <c r="E49"/>
  <c r="G49"/>
  <c r="D49"/>
  <c r="H49" s="1"/>
  <c r="F49"/>
  <c r="C49"/>
  <c r="B49"/>
  <c r="E48"/>
  <c r="G48"/>
  <c r="D48"/>
  <c r="H48" s="1"/>
  <c r="F48"/>
  <c r="C48"/>
  <c r="B48"/>
  <c r="E47"/>
  <c r="G47"/>
  <c r="F47"/>
  <c r="C47"/>
  <c r="B47"/>
  <c r="E46"/>
  <c r="G46"/>
  <c r="D46"/>
  <c r="H46" s="1"/>
  <c r="F46"/>
  <c r="C46"/>
  <c r="B46"/>
  <c r="E45"/>
  <c r="G45"/>
  <c r="D45"/>
  <c r="H45" s="1"/>
  <c r="F45"/>
  <c r="C45"/>
  <c r="B45"/>
  <c r="E44"/>
  <c r="G44"/>
  <c r="F44"/>
  <c r="C44"/>
  <c r="B44"/>
  <c r="E43"/>
  <c r="G43"/>
  <c r="F43"/>
  <c r="C43"/>
  <c r="B43"/>
  <c r="E42"/>
  <c r="G42"/>
  <c r="D42"/>
  <c r="H42" s="1"/>
  <c r="F42"/>
  <c r="C42"/>
  <c r="B42"/>
  <c r="E41"/>
  <c r="G41"/>
  <c r="D41"/>
  <c r="H41" s="1"/>
  <c r="F41"/>
  <c r="C41"/>
  <c r="B41"/>
  <c r="E40"/>
  <c r="G40"/>
  <c r="D40"/>
  <c r="H40" s="1"/>
  <c r="F40"/>
  <c r="C40"/>
  <c r="B40"/>
  <c r="E39"/>
  <c r="G39"/>
  <c r="F39"/>
  <c r="C39"/>
  <c r="B39"/>
  <c r="E38"/>
  <c r="G38"/>
  <c r="D38"/>
  <c r="H38"/>
  <c r="F38"/>
  <c r="C38"/>
  <c r="B38"/>
  <c r="E37"/>
  <c r="G37"/>
  <c r="D37"/>
  <c r="H37" s="1"/>
  <c r="F37"/>
  <c r="C37"/>
  <c r="B37"/>
  <c r="E36"/>
  <c r="G36"/>
  <c r="D36"/>
  <c r="H36" s="1"/>
  <c r="F36"/>
  <c r="C36"/>
  <c r="B36"/>
  <c r="E35"/>
  <c r="G35"/>
  <c r="F35"/>
  <c r="C35"/>
  <c r="B35"/>
  <c r="E34"/>
  <c r="G34"/>
  <c r="D34"/>
  <c r="H34" s="1"/>
  <c r="F34"/>
  <c r="C34"/>
  <c r="B34"/>
  <c r="E33"/>
  <c r="G33"/>
  <c r="D33"/>
  <c r="H33" s="1"/>
  <c r="F33"/>
  <c r="C33"/>
  <c r="B33"/>
  <c r="E32"/>
  <c r="G32"/>
  <c r="D32"/>
  <c r="H32" s="1"/>
  <c r="F32"/>
  <c r="C32"/>
  <c r="B32"/>
  <c r="E31"/>
  <c r="G31"/>
  <c r="F31"/>
  <c r="C31"/>
  <c r="B31"/>
  <c r="E30"/>
  <c r="G30"/>
  <c r="F30"/>
  <c r="C30"/>
  <c r="B30"/>
  <c r="E29"/>
  <c r="G29"/>
  <c r="D29"/>
  <c r="H29"/>
  <c r="F29"/>
  <c r="C29"/>
  <c r="B29"/>
  <c r="E28"/>
  <c r="G28"/>
  <c r="D28"/>
  <c r="H28" s="1"/>
  <c r="F28"/>
  <c r="C28"/>
  <c r="B28"/>
  <c r="E27"/>
  <c r="G27"/>
  <c r="F27"/>
  <c r="C27"/>
  <c r="B27"/>
  <c r="E26"/>
  <c r="G26"/>
  <c r="D26"/>
  <c r="H26" s="1"/>
  <c r="F26"/>
  <c r="C26"/>
  <c r="B26"/>
  <c r="E25"/>
  <c r="G25"/>
  <c r="D25"/>
  <c r="H25" s="1"/>
  <c r="F25"/>
  <c r="C25"/>
  <c r="B25"/>
  <c r="E24"/>
  <c r="G24"/>
  <c r="D24"/>
  <c r="H24" s="1"/>
  <c r="F24"/>
  <c r="C24"/>
  <c r="B24"/>
  <c r="E23"/>
  <c r="G23"/>
  <c r="F23"/>
  <c r="C23"/>
  <c r="B23"/>
  <c r="E22"/>
  <c r="G22"/>
  <c r="D22"/>
  <c r="H22" s="1"/>
  <c r="F22"/>
  <c r="C22"/>
  <c r="B22"/>
  <c r="E21"/>
  <c r="G21"/>
  <c r="D21"/>
  <c r="H21" s="1"/>
  <c r="F21"/>
  <c r="C21"/>
  <c r="B21"/>
  <c r="E20"/>
  <c r="G20"/>
  <c r="D20"/>
  <c r="H20" s="1"/>
  <c r="F20"/>
  <c r="C20"/>
  <c r="B20"/>
  <c r="E19"/>
  <c r="G19"/>
  <c r="F19"/>
  <c r="C19"/>
  <c r="B19"/>
  <c r="E18"/>
  <c r="G18"/>
  <c r="D18"/>
  <c r="H18" s="1"/>
  <c r="F18"/>
  <c r="C18"/>
  <c r="B18"/>
  <c r="E17"/>
  <c r="G17"/>
  <c r="D17"/>
  <c r="H17" s="1"/>
  <c r="F17"/>
  <c r="C17"/>
  <c r="B17"/>
  <c r="E16"/>
  <c r="G16"/>
  <c r="D16"/>
  <c r="H16" s="1"/>
  <c r="F16"/>
  <c r="C16"/>
  <c r="B16"/>
  <c r="E15"/>
  <c r="G15"/>
  <c r="F15"/>
  <c r="C15"/>
  <c r="B15"/>
  <c r="E14"/>
  <c r="G14"/>
  <c r="F14"/>
  <c r="C14"/>
  <c r="B14"/>
  <c r="E13"/>
  <c r="G13"/>
  <c r="D13"/>
  <c r="H13" s="1"/>
  <c r="F13"/>
  <c r="C13"/>
  <c r="B13"/>
  <c r="E12"/>
  <c r="G12"/>
  <c r="F12"/>
  <c r="C12"/>
  <c r="B12"/>
  <c r="E11"/>
  <c r="G11"/>
  <c r="F11"/>
  <c r="C11"/>
  <c r="B11"/>
  <c r="E10"/>
  <c r="G10"/>
  <c r="D10"/>
  <c r="H10" s="1"/>
  <c r="F10"/>
  <c r="C10"/>
  <c r="B10"/>
  <c r="E9"/>
  <c r="G9"/>
  <c r="D9"/>
  <c r="H9" s="1"/>
  <c r="F9"/>
  <c r="C9"/>
  <c r="B9"/>
  <c r="G8"/>
  <c r="D8"/>
  <c r="H8" s="1"/>
  <c r="F8"/>
  <c r="E8"/>
  <c r="C8"/>
  <c r="B8"/>
  <c r="G7"/>
  <c r="F7"/>
  <c r="E7"/>
  <c r="C7"/>
  <c r="B7"/>
  <c r="G6"/>
  <c r="D6"/>
  <c r="H6" s="1"/>
  <c r="AE2" i="1"/>
  <c r="F6" i="219"/>
  <c r="E6"/>
  <c r="C6"/>
  <c r="B6"/>
  <c r="I5"/>
  <c r="H5"/>
  <c r="G5"/>
  <c r="E5"/>
  <c r="C5"/>
  <c r="B5"/>
  <c r="B4" i="214"/>
  <c r="B2"/>
  <c r="B91" i="5"/>
  <c r="C91" s="1"/>
  <c r="C92"/>
  <c r="B93"/>
  <c r="C93" s="1"/>
  <c r="B94"/>
  <c r="C94" s="1"/>
  <c r="B95"/>
  <c r="C95" s="1"/>
  <c r="B96"/>
  <c r="C96" s="1"/>
  <c r="B97"/>
  <c r="C97" s="1"/>
  <c r="B98"/>
  <c r="C98" s="1"/>
  <c r="B99"/>
  <c r="C99" s="1"/>
  <c r="B100"/>
  <c r="C100" s="1"/>
  <c r="B101"/>
  <c r="C101" s="1"/>
  <c r="B102"/>
  <c r="C102" s="1"/>
  <c r="B103"/>
  <c r="C103" s="1"/>
  <c r="B104"/>
  <c r="C104"/>
  <c r="B105"/>
  <c r="C105" s="1"/>
  <c r="B106"/>
  <c r="C106" s="1"/>
  <c r="B107"/>
  <c r="C107" s="1"/>
  <c r="B108"/>
  <c r="C108" s="1"/>
  <c r="B109"/>
  <c r="C109" s="1"/>
  <c r="B110"/>
  <c r="C110" s="1"/>
  <c r="B111"/>
  <c r="C111" s="1"/>
  <c r="B112"/>
  <c r="C112" s="1"/>
  <c r="B125"/>
  <c r="C125" s="1"/>
  <c r="C122"/>
  <c r="C117"/>
  <c r="B113"/>
  <c r="C113" s="1"/>
  <c r="B114"/>
  <c r="C114"/>
  <c r="B115"/>
  <c r="C115" s="1"/>
  <c r="B116"/>
  <c r="C116" s="1"/>
  <c r="B118"/>
  <c r="C118" s="1"/>
  <c r="B119"/>
  <c r="C119"/>
  <c r="B120"/>
  <c r="C120" s="1"/>
  <c r="B121"/>
  <c r="C121" s="1"/>
  <c r="B123"/>
  <c r="C123" s="1"/>
  <c r="B124"/>
  <c r="C124" s="1"/>
  <c r="V5" i="26"/>
  <c r="W5" s="1"/>
  <c r="V6"/>
  <c r="W6" s="1"/>
  <c r="V7"/>
  <c r="W7" s="1"/>
  <c r="V11"/>
  <c r="W11" s="1"/>
  <c r="V12"/>
  <c r="W12" s="1"/>
  <c r="V13"/>
  <c r="W13" s="1"/>
  <c r="V14"/>
  <c r="W14" s="1"/>
  <c r="V16"/>
  <c r="W16" s="1"/>
  <c r="V17"/>
  <c r="W17" s="1"/>
  <c r="W18"/>
  <c r="V19"/>
  <c r="W19" s="1"/>
  <c r="V20"/>
  <c r="W20" s="1"/>
  <c r="V21"/>
  <c r="W21" s="1"/>
  <c r="V22"/>
  <c r="W22" s="1"/>
  <c r="V28"/>
  <c r="W28" s="1"/>
  <c r="V29"/>
  <c r="W29" s="1"/>
  <c r="V30"/>
  <c r="W30" s="1"/>
  <c r="V31"/>
  <c r="W31" s="1"/>
  <c r="V33"/>
  <c r="W33" s="1"/>
  <c r="V34"/>
  <c r="W34" s="1"/>
  <c r="V35"/>
  <c r="W35" s="1"/>
  <c r="V36"/>
  <c r="W36" s="1"/>
  <c r="V37"/>
  <c r="W37" s="1"/>
  <c r="V38"/>
  <c r="W38" s="1"/>
  <c r="V39"/>
  <c r="W39" s="1"/>
  <c r="V40"/>
  <c r="W40" s="1"/>
  <c r="V42"/>
  <c r="W42" s="1"/>
  <c r="V43"/>
  <c r="W43" s="1"/>
  <c r="V45"/>
  <c r="W45" s="1"/>
  <c r="V48"/>
  <c r="W48" s="1"/>
  <c r="V49"/>
  <c r="W49" s="1"/>
  <c r="V50"/>
  <c r="W50" s="1"/>
  <c r="V51"/>
  <c r="W51" s="1"/>
  <c r="V52"/>
  <c r="W52" s="1"/>
  <c r="V54"/>
  <c r="W54" s="1"/>
  <c r="V55"/>
  <c r="W55" s="1"/>
  <c r="V56"/>
  <c r="W56" s="1"/>
  <c r="V59"/>
  <c r="W59" s="1"/>
  <c r="V60"/>
  <c r="W60" s="1"/>
  <c r="V61"/>
  <c r="W61" s="1"/>
  <c r="V62"/>
  <c r="W62" s="1"/>
  <c r="V64"/>
  <c r="W64" s="1"/>
  <c r="V65"/>
  <c r="W65" s="1"/>
  <c r="V67"/>
  <c r="W67" s="1"/>
  <c r="V68"/>
  <c r="W68" s="1"/>
  <c r="V69"/>
  <c r="W69" s="1"/>
  <c r="V70"/>
  <c r="W70" s="1"/>
  <c r="V72"/>
  <c r="W72" s="1"/>
  <c r="V73"/>
  <c r="W73" s="1"/>
  <c r="V74"/>
  <c r="W74" s="1"/>
  <c r="V75"/>
  <c r="W75" s="1"/>
  <c r="B12" i="5"/>
  <c r="D12" s="1"/>
  <c r="B13" i="124"/>
  <c r="C24" i="108"/>
  <c r="D24" s="1"/>
  <c r="C25"/>
  <c r="D25" s="1"/>
  <c r="B32" i="105" s="1"/>
  <c r="C26" i="108"/>
  <c r="D26" s="1"/>
  <c r="C27"/>
  <c r="D27"/>
  <c r="B34" i="105" s="1"/>
  <c r="C29" i="108"/>
  <c r="D29" s="1"/>
  <c r="C31"/>
  <c r="D31" s="1"/>
  <c r="C32"/>
  <c r="D32" s="1"/>
  <c r="B39" i="105" s="1"/>
  <c r="C33" i="108"/>
  <c r="D33" s="1"/>
  <c r="B41" i="124" s="1"/>
  <c r="C34" i="108"/>
  <c r="D34" s="1"/>
  <c r="B41" i="105" s="1"/>
  <c r="C35" i="108"/>
  <c r="D35" s="1"/>
  <c r="B43" i="124" s="1"/>
  <c r="C36" i="108"/>
  <c r="D36" s="1"/>
  <c r="C38"/>
  <c r="D38" s="1"/>
  <c r="C39"/>
  <c r="D39" s="1"/>
  <c r="C40"/>
  <c r="D40" s="1"/>
  <c r="B48" i="124" s="1"/>
  <c r="C42" i="108"/>
  <c r="D42" s="1"/>
  <c r="C43"/>
  <c r="D43" s="1"/>
  <c r="C44"/>
  <c r="D44" s="1"/>
  <c r="C46"/>
  <c r="D46" s="1"/>
  <c r="B54" i="124" s="1"/>
  <c r="C47" i="108"/>
  <c r="D47" s="1"/>
  <c r="B55" i="124" s="1"/>
  <c r="C48" i="108"/>
  <c r="D48" s="1"/>
  <c r="C50"/>
  <c r="D50" s="1"/>
  <c r="B57" i="105" s="1"/>
  <c r="C51" i="108"/>
  <c r="D51" s="1"/>
  <c r="C52"/>
  <c r="D52" s="1"/>
  <c r="B18" i="88"/>
  <c r="B19"/>
  <c r="F19" s="1"/>
  <c r="B20"/>
  <c r="F20" s="1"/>
  <c r="B21"/>
  <c r="C21" s="1"/>
  <c r="E21" s="1"/>
  <c r="AD21" s="1"/>
  <c r="B22"/>
  <c r="C22"/>
  <c r="E22" s="1"/>
  <c r="AD22" s="1"/>
  <c r="B23"/>
  <c r="F23" s="1"/>
  <c r="B24"/>
  <c r="B25"/>
  <c r="C25" s="1"/>
  <c r="B26"/>
  <c r="C26"/>
  <c r="B27"/>
  <c r="B28"/>
  <c r="B29"/>
  <c r="B30"/>
  <c r="B31"/>
  <c r="C31" s="1"/>
  <c r="B32"/>
  <c r="C32" s="1"/>
  <c r="B33"/>
  <c r="F33"/>
  <c r="B34"/>
  <c r="B35"/>
  <c r="B36"/>
  <c r="B37"/>
  <c r="B38"/>
  <c r="B39"/>
  <c r="B40"/>
  <c r="B41"/>
  <c r="B42"/>
  <c r="B43"/>
  <c r="C43" s="1"/>
  <c r="B44"/>
  <c r="C44" s="1"/>
  <c r="B45"/>
  <c r="F45" s="1"/>
  <c r="B46"/>
  <c r="B47"/>
  <c r="B48"/>
  <c r="B49"/>
  <c r="B50"/>
  <c r="C50" s="1"/>
  <c r="B51"/>
  <c r="B52"/>
  <c r="B53"/>
  <c r="B54"/>
  <c r="B55"/>
  <c r="C55" s="1"/>
  <c r="B56"/>
  <c r="C56" s="1"/>
  <c r="B57"/>
  <c r="B58"/>
  <c r="B59"/>
  <c r="B60"/>
  <c r="C60" s="1"/>
  <c r="B61"/>
  <c r="F61" s="1"/>
  <c r="B62"/>
  <c r="C62" s="1"/>
  <c r="B63"/>
  <c r="B64"/>
  <c r="B65"/>
  <c r="C65" s="1"/>
  <c r="B66"/>
  <c r="N15"/>
  <c r="B67"/>
  <c r="B17"/>
  <c r="F17" s="1"/>
  <c r="A18"/>
  <c r="AI18" s="1"/>
  <c r="B2"/>
  <c r="B1"/>
  <c r="O18"/>
  <c r="P14"/>
  <c r="Q14"/>
  <c r="K3" i="7"/>
  <c r="L3"/>
  <c r="M3"/>
  <c r="N3"/>
  <c r="O3"/>
  <c r="P3"/>
  <c r="Q3"/>
  <c r="R3"/>
  <c r="S3"/>
  <c r="T3"/>
  <c r="U3"/>
  <c r="A19" i="88"/>
  <c r="AI19" s="1"/>
  <c r="O19"/>
  <c r="A20"/>
  <c r="AI20" s="1"/>
  <c r="O20"/>
  <c r="A21"/>
  <c r="AI21" s="1"/>
  <c r="O21"/>
  <c r="A22"/>
  <c r="AI22" s="1"/>
  <c r="O22"/>
  <c r="A23"/>
  <c r="AI23"/>
  <c r="O23"/>
  <c r="A24"/>
  <c r="AI24" s="1"/>
  <c r="O24"/>
  <c r="A25"/>
  <c r="AI25" s="1"/>
  <c r="O25"/>
  <c r="A26"/>
  <c r="AI26" s="1"/>
  <c r="O26"/>
  <c r="A27"/>
  <c r="AI27" s="1"/>
  <c r="O27"/>
  <c r="A28"/>
  <c r="AI28" s="1"/>
  <c r="O28"/>
  <c r="A29"/>
  <c r="AI29" s="1"/>
  <c r="O29"/>
  <c r="A30"/>
  <c r="AI30" s="1"/>
  <c r="O30"/>
  <c r="A31"/>
  <c r="AI31" s="1"/>
  <c r="O31"/>
  <c r="A32"/>
  <c r="AI32" s="1"/>
  <c r="O32"/>
  <c r="A33"/>
  <c r="AI33" s="1"/>
  <c r="O33"/>
  <c r="A34"/>
  <c r="AI34" s="1"/>
  <c r="O34"/>
  <c r="A35"/>
  <c r="AI35"/>
  <c r="O35"/>
  <c r="A36"/>
  <c r="AI36"/>
  <c r="O36"/>
  <c r="A37"/>
  <c r="AI37" s="1"/>
  <c r="O37"/>
  <c r="A38"/>
  <c r="AI38"/>
  <c r="O38"/>
  <c r="A39"/>
  <c r="AI39"/>
  <c r="O39"/>
  <c r="A40"/>
  <c r="AI40" s="1"/>
  <c r="O40"/>
  <c r="A41"/>
  <c r="AI41" s="1"/>
  <c r="O41"/>
  <c r="A42"/>
  <c r="AI42" s="1"/>
  <c r="O42"/>
  <c r="A43"/>
  <c r="AI43" s="1"/>
  <c r="O43"/>
  <c r="A44"/>
  <c r="AI44"/>
  <c r="O44"/>
  <c r="A45"/>
  <c r="AI45" s="1"/>
  <c r="O45"/>
  <c r="A46"/>
  <c r="AI46" s="1"/>
  <c r="O46"/>
  <c r="A47"/>
  <c r="AI47"/>
  <c r="O47"/>
  <c r="A48"/>
  <c r="AI48" s="1"/>
  <c r="O48"/>
  <c r="A49"/>
  <c r="AI49" s="1"/>
  <c r="O49"/>
  <c r="A50"/>
  <c r="AI50" s="1"/>
  <c r="O50"/>
  <c r="A51"/>
  <c r="AI51"/>
  <c r="O51"/>
  <c r="A52"/>
  <c r="AI52" s="1"/>
  <c r="O52"/>
  <c r="A53"/>
  <c r="AI53"/>
  <c r="O53"/>
  <c r="A54"/>
  <c r="AI54" s="1"/>
  <c r="O54"/>
  <c r="A55"/>
  <c r="AI55" s="1"/>
  <c r="O55"/>
  <c r="A56"/>
  <c r="AI56" s="1"/>
  <c r="O56"/>
  <c r="A57"/>
  <c r="AI57" s="1"/>
  <c r="O57"/>
  <c r="A58"/>
  <c r="AI58" s="1"/>
  <c r="O58"/>
  <c r="A59"/>
  <c r="AI59"/>
  <c r="O59"/>
  <c r="A60"/>
  <c r="AI60" s="1"/>
  <c r="O60"/>
  <c r="A61"/>
  <c r="AI61" s="1"/>
  <c r="O61"/>
  <c r="A62"/>
  <c r="AI62" s="1"/>
  <c r="O62"/>
  <c r="A63"/>
  <c r="AI63" s="1"/>
  <c r="O63"/>
  <c r="A64"/>
  <c r="AI64" s="1"/>
  <c r="O64"/>
  <c r="A65"/>
  <c r="AI65" s="1"/>
  <c r="O65"/>
  <c r="A66"/>
  <c r="AI66" s="1"/>
  <c r="O66"/>
  <c r="A67"/>
  <c r="AI67" s="1"/>
  <c r="O67"/>
  <c r="B2" i="124"/>
  <c r="B3"/>
  <c r="B4"/>
  <c r="B5"/>
  <c r="A12"/>
  <c r="T4" i="108"/>
  <c r="C12" i="124" s="1"/>
  <c r="T3" i="108"/>
  <c r="C11" i="124" s="1"/>
  <c r="A11"/>
  <c r="T5" i="108"/>
  <c r="C13" i="124" s="1"/>
  <c r="Q13" s="1"/>
  <c r="T6" i="108"/>
  <c r="C14" i="124"/>
  <c r="R14" s="1"/>
  <c r="T7" i="108"/>
  <c r="C15" i="124" s="1"/>
  <c r="T8" i="108"/>
  <c r="C16" i="124" s="1"/>
  <c r="R16"/>
  <c r="T9" i="108"/>
  <c r="C17" i="124" s="1"/>
  <c r="A17"/>
  <c r="T10" i="108"/>
  <c r="C18" i="124" s="1"/>
  <c r="T11" i="108"/>
  <c r="C19" i="124" s="1"/>
  <c r="R19" s="1"/>
  <c r="T12" i="108"/>
  <c r="C20" i="124" s="1"/>
  <c r="R20" s="1"/>
  <c r="T13" i="108"/>
  <c r="C21" i="124"/>
  <c r="R21" s="1"/>
  <c r="T14" i="108"/>
  <c r="C22" i="124" s="1"/>
  <c r="T15" i="108"/>
  <c r="C23" i="124"/>
  <c r="T16" i="108"/>
  <c r="C24" i="124" s="1"/>
  <c r="R24" s="1"/>
  <c r="T17" i="108"/>
  <c r="C25" i="124"/>
  <c r="T18" i="108"/>
  <c r="C26" i="124" s="1"/>
  <c r="A26"/>
  <c r="T19" i="108"/>
  <c r="C27" i="124" s="1"/>
  <c r="R27" s="1"/>
  <c r="T20" i="108"/>
  <c r="C28" i="124" s="1"/>
  <c r="Q28" s="1"/>
  <c r="T21" i="108"/>
  <c r="C29" i="124" s="1"/>
  <c r="A29"/>
  <c r="T22" i="108"/>
  <c r="C30" i="124" s="1"/>
  <c r="T23" i="108"/>
  <c r="C31" i="124" s="1"/>
  <c r="A31"/>
  <c r="T24" i="108"/>
  <c r="C32" i="124" s="1"/>
  <c r="T25" i="108"/>
  <c r="C33" i="124" s="1"/>
  <c r="R33" s="1"/>
  <c r="T26" i="108"/>
  <c r="C34" i="124" s="1"/>
  <c r="T27" i="108"/>
  <c r="C35" i="124"/>
  <c r="Q35" s="1"/>
  <c r="T28" i="108"/>
  <c r="C36" i="124" s="1"/>
  <c r="R36" s="1"/>
  <c r="T29" i="108"/>
  <c r="C37" i="124" s="1"/>
  <c r="T30" i="108"/>
  <c r="C38" i="124" s="1"/>
  <c r="T31" i="108"/>
  <c r="C39" i="124" s="1"/>
  <c r="T32" i="108"/>
  <c r="C40" i="124" s="1"/>
  <c r="T33" i="108"/>
  <c r="C41" i="124" s="1"/>
  <c r="T34" i="108"/>
  <c r="C42" i="124" s="1"/>
  <c r="A42"/>
  <c r="T35" i="108"/>
  <c r="C43" i="124"/>
  <c r="T36" i="108"/>
  <c r="C44" i="124" s="1"/>
  <c r="Q44" s="1"/>
  <c r="T37" i="108"/>
  <c r="C45" i="124" s="1"/>
  <c r="Q45" s="1"/>
  <c r="T38" i="108"/>
  <c r="C46" i="124" s="1"/>
  <c r="R46" s="1"/>
  <c r="T39" i="108"/>
  <c r="C47" i="124"/>
  <c r="Q47" s="1"/>
  <c r="T40" i="108"/>
  <c r="C48" i="124" s="1"/>
  <c r="Q48" s="1"/>
  <c r="T41" i="108"/>
  <c r="C49" i="124" s="1"/>
  <c r="T42" i="108"/>
  <c r="C50" i="124" s="1"/>
  <c r="T43" i="108"/>
  <c r="C51" i="124"/>
  <c r="Q51" s="1"/>
  <c r="T44" i="108"/>
  <c r="C52" i="124" s="1"/>
  <c r="Q52" s="1"/>
  <c r="T45" i="108"/>
  <c r="C53" i="124"/>
  <c r="R53" s="1"/>
  <c r="T46" i="108"/>
  <c r="C54" i="124" s="1"/>
  <c r="Q54" s="1"/>
  <c r="T47" i="108"/>
  <c r="C55" i="124" s="1"/>
  <c r="Q55" s="1"/>
  <c r="T48" i="108"/>
  <c r="C56" i="124" s="1"/>
  <c r="T49" i="108"/>
  <c r="C57" i="124" s="1"/>
  <c r="T50" i="108"/>
  <c r="C58" i="124" s="1"/>
  <c r="Q58" s="1"/>
  <c r="T51" i="108"/>
  <c r="C59" i="124" s="1"/>
  <c r="R59" s="1"/>
  <c r="T52" i="108"/>
  <c r="C60" i="124" s="1"/>
  <c r="A13"/>
  <c r="A14"/>
  <c r="A15"/>
  <c r="A16"/>
  <c r="A18"/>
  <c r="A19"/>
  <c r="A20"/>
  <c r="A21"/>
  <c r="A22"/>
  <c r="A23"/>
  <c r="A24"/>
  <c r="A25"/>
  <c r="A27"/>
  <c r="A28"/>
  <c r="A30"/>
  <c r="A32"/>
  <c r="A33"/>
  <c r="A34"/>
  <c r="A35"/>
  <c r="A36"/>
  <c r="A37"/>
  <c r="A38"/>
  <c r="A39"/>
  <c r="A40"/>
  <c r="A41"/>
  <c r="A43"/>
  <c r="A44"/>
  <c r="A45"/>
  <c r="A46"/>
  <c r="A47"/>
  <c r="A48"/>
  <c r="A49"/>
  <c r="A50"/>
  <c r="A51"/>
  <c r="A52"/>
  <c r="A53"/>
  <c r="A54"/>
  <c r="A55"/>
  <c r="A56"/>
  <c r="A57"/>
  <c r="A58"/>
  <c r="A59"/>
  <c r="A60"/>
  <c r="AW1" i="8"/>
  <c r="AT3" i="4"/>
  <c r="AZ1" i="8"/>
  <c r="AT4" i="4"/>
  <c r="BA1" i="8"/>
  <c r="AT5" i="4"/>
  <c r="BB1" i="8"/>
  <c r="AT6" i="4"/>
  <c r="BC1" i="8"/>
  <c r="AT7" i="4"/>
  <c r="BD1" i="8"/>
  <c r="AT8" i="4"/>
  <c r="BE1" i="8"/>
  <c r="AT9" i="4"/>
  <c r="BF1" i="8"/>
  <c r="AT10" i="4"/>
  <c r="BG1" i="8"/>
  <c r="AT11" i="4"/>
  <c r="BH1" i="8"/>
  <c r="AT12" i="4"/>
  <c r="BI1" i="8"/>
  <c r="AT13" i="4"/>
  <c r="BJ1" i="8"/>
  <c r="AT14" i="4"/>
  <c r="A3" i="108"/>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B8" i="6"/>
  <c r="C8"/>
  <c r="D8"/>
  <c r="E8"/>
  <c r="F8"/>
  <c r="N8"/>
  <c r="B5" i="8" s="1"/>
  <c r="B58" s="1"/>
  <c r="B112" s="1"/>
  <c r="B166" s="1"/>
  <c r="A6" i="5"/>
  <c r="A7"/>
  <c r="A8"/>
  <c r="B9" i="6"/>
  <c r="C9"/>
  <c r="D9"/>
  <c r="E9"/>
  <c r="F9"/>
  <c r="N9" s="1"/>
  <c r="B6" i="8" s="1"/>
  <c r="B59" s="1"/>
  <c r="B113" s="1"/>
  <c r="B167" s="1"/>
  <c r="B10" i="6"/>
  <c r="C10"/>
  <c r="D10"/>
  <c r="E10"/>
  <c r="F10"/>
  <c r="N10" s="1"/>
  <c r="B7" i="8"/>
  <c r="B60" s="1"/>
  <c r="B114" s="1"/>
  <c r="B168" s="1"/>
  <c r="B11" i="6"/>
  <c r="C11"/>
  <c r="D11"/>
  <c r="E11"/>
  <c r="F11"/>
  <c r="N11" s="1"/>
  <c r="B8" i="8" s="1"/>
  <c r="B61" s="1"/>
  <c r="B115" s="1"/>
  <c r="B169" s="1"/>
  <c r="B12" i="6"/>
  <c r="C12"/>
  <c r="D12"/>
  <c r="E12"/>
  <c r="F12"/>
  <c r="N12" s="1"/>
  <c r="B9" i="8" s="1"/>
  <c r="B62" s="1"/>
  <c r="B116" s="1"/>
  <c r="B170" s="1"/>
  <c r="G12" i="6"/>
  <c r="I12"/>
  <c r="J12"/>
  <c r="B13"/>
  <c r="C13"/>
  <c r="D13"/>
  <c r="E13"/>
  <c r="F13"/>
  <c r="N13" s="1"/>
  <c r="B10" i="8" s="1"/>
  <c r="B63" s="1"/>
  <c r="B117" s="1"/>
  <c r="B171" s="1"/>
  <c r="B14" i="6"/>
  <c r="C14"/>
  <c r="D14"/>
  <c r="E14"/>
  <c r="F14"/>
  <c r="N14" s="1"/>
  <c r="B11" i="8" s="1"/>
  <c r="B64" s="1"/>
  <c r="B118" s="1"/>
  <c r="B172" s="1"/>
  <c r="B15" i="6"/>
  <c r="C15"/>
  <c r="D15"/>
  <c r="E15"/>
  <c r="F15"/>
  <c r="N15"/>
  <c r="B12" i="8" s="1"/>
  <c r="B65" s="1"/>
  <c r="B119" s="1"/>
  <c r="B173" s="1"/>
  <c r="B16" i="6"/>
  <c r="C16"/>
  <c r="D16"/>
  <c r="E16"/>
  <c r="F16"/>
  <c r="N16" s="1"/>
  <c r="B13" i="8" s="1"/>
  <c r="B66" s="1"/>
  <c r="B120" s="1"/>
  <c r="B174" s="1"/>
  <c r="B17" i="6"/>
  <c r="C17"/>
  <c r="D17"/>
  <c r="E17"/>
  <c r="F17"/>
  <c r="N17"/>
  <c r="B14" i="8" s="1"/>
  <c r="B67" s="1"/>
  <c r="B121" s="1"/>
  <c r="B175" s="1"/>
  <c r="B18" i="6"/>
  <c r="C18"/>
  <c r="D18"/>
  <c r="E18"/>
  <c r="F18"/>
  <c r="N18" s="1"/>
  <c r="B15" i="8"/>
  <c r="B68" s="1"/>
  <c r="B122" s="1"/>
  <c r="B176" s="1"/>
  <c r="B19" i="6"/>
  <c r="C19"/>
  <c r="D19"/>
  <c r="E19"/>
  <c r="F19"/>
  <c r="N19" s="1"/>
  <c r="B16" i="8" s="1"/>
  <c r="B69" s="1"/>
  <c r="B123" s="1"/>
  <c r="B177" s="1"/>
  <c r="B20" i="6"/>
  <c r="C20"/>
  <c r="D20"/>
  <c r="E20"/>
  <c r="F20"/>
  <c r="N20" s="1"/>
  <c r="B17" i="8" s="1"/>
  <c r="B70" s="1"/>
  <c r="B124" s="1"/>
  <c r="B178" s="1"/>
  <c r="B21" i="6"/>
  <c r="C21"/>
  <c r="D21"/>
  <c r="E21"/>
  <c r="F21"/>
  <c r="N21" s="1"/>
  <c r="B18" i="8" s="1"/>
  <c r="B71" s="1"/>
  <c r="B125" s="1"/>
  <c r="B179" s="1"/>
  <c r="G21" i="6"/>
  <c r="I21"/>
  <c r="J21"/>
  <c r="B22"/>
  <c r="C22"/>
  <c r="D22"/>
  <c r="E22"/>
  <c r="F22"/>
  <c r="N22" s="1"/>
  <c r="B19" i="8" s="1"/>
  <c r="B72"/>
  <c r="B126" s="1"/>
  <c r="B180" s="1"/>
  <c r="B23" i="6"/>
  <c r="C23"/>
  <c r="D23"/>
  <c r="E23"/>
  <c r="F23"/>
  <c r="N23" s="1"/>
  <c r="B20" i="8" s="1"/>
  <c r="B73" s="1"/>
  <c r="B127" s="1"/>
  <c r="B181" s="1"/>
  <c r="B24" i="6"/>
  <c r="C24"/>
  <c r="D24"/>
  <c r="E24"/>
  <c r="F24"/>
  <c r="N24" s="1"/>
  <c r="B21" i="8" s="1"/>
  <c r="B74" s="1"/>
  <c r="B128" s="1"/>
  <c r="B182" s="1"/>
  <c r="G24" i="6"/>
  <c r="I24"/>
  <c r="J24"/>
  <c r="B25"/>
  <c r="C25"/>
  <c r="D25"/>
  <c r="E25"/>
  <c r="F25"/>
  <c r="N25" s="1"/>
  <c r="B22" i="8" s="1"/>
  <c r="B75" s="1"/>
  <c r="B129" s="1"/>
  <c r="B183" s="1"/>
  <c r="B26" i="6"/>
  <c r="C26"/>
  <c r="D26"/>
  <c r="E26"/>
  <c r="F26"/>
  <c r="N26" s="1"/>
  <c r="B23" i="8" s="1"/>
  <c r="B76" s="1"/>
  <c r="B130" s="1"/>
  <c r="B184" s="1"/>
  <c r="G26" i="6"/>
  <c r="I26"/>
  <c r="J26"/>
  <c r="B27"/>
  <c r="C27"/>
  <c r="D27"/>
  <c r="E27"/>
  <c r="F27"/>
  <c r="N27" s="1"/>
  <c r="B24" i="8"/>
  <c r="B77" s="1"/>
  <c r="B131" s="1"/>
  <c r="B185" s="1"/>
  <c r="G27" i="6"/>
  <c r="I27"/>
  <c r="J27"/>
  <c r="B28"/>
  <c r="C28"/>
  <c r="D28"/>
  <c r="E28"/>
  <c r="F28"/>
  <c r="N28" s="1"/>
  <c r="B25" i="8" s="1"/>
  <c r="B78" s="1"/>
  <c r="B132" s="1"/>
  <c r="B186" s="1"/>
  <c r="B29" i="6"/>
  <c r="C29"/>
  <c r="D29"/>
  <c r="E29"/>
  <c r="F29"/>
  <c r="N29" s="1"/>
  <c r="B26" i="8" s="1"/>
  <c r="B79" s="1"/>
  <c r="B133" s="1"/>
  <c r="B187" s="1"/>
  <c r="B30" i="6"/>
  <c r="C30"/>
  <c r="D30"/>
  <c r="E30"/>
  <c r="F30"/>
  <c r="N30"/>
  <c r="B27" i="8" s="1"/>
  <c r="B80" s="1"/>
  <c r="B134" s="1"/>
  <c r="B188" s="1"/>
  <c r="B31" i="6"/>
  <c r="C31"/>
  <c r="D31"/>
  <c r="E31"/>
  <c r="F31"/>
  <c r="N31" s="1"/>
  <c r="B28" i="8" s="1"/>
  <c r="B81" s="1"/>
  <c r="B135" s="1"/>
  <c r="B189" s="1"/>
  <c r="B32" i="6"/>
  <c r="C32"/>
  <c r="D32"/>
  <c r="E32"/>
  <c r="F32"/>
  <c r="N32" s="1"/>
  <c r="B29" i="8" s="1"/>
  <c r="B82" s="1"/>
  <c r="B136" s="1"/>
  <c r="B190" s="1"/>
  <c r="B33" i="6"/>
  <c r="C33"/>
  <c r="D33"/>
  <c r="E33"/>
  <c r="F33"/>
  <c r="N33" s="1"/>
  <c r="B30" i="8" s="1"/>
  <c r="B83" s="1"/>
  <c r="B137" s="1"/>
  <c r="B191" s="1"/>
  <c r="G33" i="6"/>
  <c r="I33"/>
  <c r="J33"/>
  <c r="B34"/>
  <c r="C34"/>
  <c r="D34"/>
  <c r="E34"/>
  <c r="F34"/>
  <c r="N34"/>
  <c r="B31" i="8" s="1"/>
  <c r="B84" s="1"/>
  <c r="B138" s="1"/>
  <c r="B192" s="1"/>
  <c r="B35" i="6"/>
  <c r="C35"/>
  <c r="D35"/>
  <c r="E35"/>
  <c r="F35"/>
  <c r="N35"/>
  <c r="B32" i="8" s="1"/>
  <c r="B85" s="1"/>
  <c r="B139" s="1"/>
  <c r="B193" s="1"/>
  <c r="B36" i="6"/>
  <c r="C36"/>
  <c r="D36"/>
  <c r="E36"/>
  <c r="F36"/>
  <c r="N36" s="1"/>
  <c r="B33" i="8" s="1"/>
  <c r="B86" s="1"/>
  <c r="B140" s="1"/>
  <c r="B194" s="1"/>
  <c r="B37" i="6"/>
  <c r="C37"/>
  <c r="D37"/>
  <c r="E37"/>
  <c r="F37"/>
  <c r="N37" s="1"/>
  <c r="B34" i="8" s="1"/>
  <c r="B87" s="1"/>
  <c r="B141" s="1"/>
  <c r="B195" s="1"/>
  <c r="G37" i="6"/>
  <c r="I37"/>
  <c r="J37"/>
  <c r="B38"/>
  <c r="C38"/>
  <c r="D38"/>
  <c r="E38"/>
  <c r="F38"/>
  <c r="N38" s="1"/>
  <c r="B35" i="8" s="1"/>
  <c r="B88" s="1"/>
  <c r="B142" s="1"/>
  <c r="B196" s="1"/>
  <c r="G38" i="6"/>
  <c r="I38"/>
  <c r="J38"/>
  <c r="B39"/>
  <c r="C39"/>
  <c r="D39"/>
  <c r="E39"/>
  <c r="F39"/>
  <c r="N39" s="1"/>
  <c r="B36" i="8" s="1"/>
  <c r="B89" s="1"/>
  <c r="B143" s="1"/>
  <c r="B197" s="1"/>
  <c r="B40" i="6"/>
  <c r="C40"/>
  <c r="D40"/>
  <c r="E40"/>
  <c r="F40"/>
  <c r="N40" s="1"/>
  <c r="B37" i="8" s="1"/>
  <c r="B90" s="1"/>
  <c r="B144" s="1"/>
  <c r="B198" s="1"/>
  <c r="B41" i="6"/>
  <c r="C41"/>
  <c r="D41"/>
  <c r="E41"/>
  <c r="F41"/>
  <c r="N41" s="1"/>
  <c r="B38" i="8" s="1"/>
  <c r="B91" s="1"/>
  <c r="B145" s="1"/>
  <c r="B199" s="1"/>
  <c r="B42" i="6"/>
  <c r="C42"/>
  <c r="D42"/>
  <c r="E42"/>
  <c r="F42"/>
  <c r="N42" s="1"/>
  <c r="B39" i="8" s="1"/>
  <c r="B92" s="1"/>
  <c r="B146" s="1"/>
  <c r="B200" s="1"/>
  <c r="B43" i="6"/>
  <c r="C43"/>
  <c r="D43"/>
  <c r="E43"/>
  <c r="F43"/>
  <c r="N43" s="1"/>
  <c r="B40" i="8" s="1"/>
  <c r="B93" s="1"/>
  <c r="B147" s="1"/>
  <c r="B201" s="1"/>
  <c r="G43" i="6"/>
  <c r="I43"/>
  <c r="J43"/>
  <c r="B44"/>
  <c r="C44"/>
  <c r="D44"/>
  <c r="E44"/>
  <c r="F44"/>
  <c r="N44" s="1"/>
  <c r="B41" i="8" s="1"/>
  <c r="B94" s="1"/>
  <c r="B148" s="1"/>
  <c r="B202" s="1"/>
  <c r="I44" i="6"/>
  <c r="J44"/>
  <c r="B45"/>
  <c r="C45"/>
  <c r="D45"/>
  <c r="E45"/>
  <c r="F45"/>
  <c r="N45" s="1"/>
  <c r="B42" i="8"/>
  <c r="B95" s="1"/>
  <c r="B149" s="1"/>
  <c r="B203"/>
  <c r="B46" i="6"/>
  <c r="C46"/>
  <c r="D46"/>
  <c r="E46"/>
  <c r="F46"/>
  <c r="N46" s="1"/>
  <c r="B43" i="8" s="1"/>
  <c r="B96" s="1"/>
  <c r="B150" s="1"/>
  <c r="B204" s="1"/>
  <c r="G46" i="6"/>
  <c r="I46"/>
  <c r="J46"/>
  <c r="B47"/>
  <c r="C47"/>
  <c r="D47"/>
  <c r="E47"/>
  <c r="F47"/>
  <c r="N47" s="1"/>
  <c r="B44" i="8" s="1"/>
  <c r="B97" s="1"/>
  <c r="B151" s="1"/>
  <c r="B205" s="1"/>
  <c r="B48" i="6"/>
  <c r="C48"/>
  <c r="D48"/>
  <c r="E48"/>
  <c r="F48"/>
  <c r="N48" s="1"/>
  <c r="B45" i="8" s="1"/>
  <c r="B98" s="1"/>
  <c r="B152" s="1"/>
  <c r="B206" s="1"/>
  <c r="B49" i="6"/>
  <c r="C49"/>
  <c r="D49"/>
  <c r="E49"/>
  <c r="F49"/>
  <c r="N49" s="1"/>
  <c r="B46" i="8" s="1"/>
  <c r="B99" s="1"/>
  <c r="B153" s="1"/>
  <c r="B207" s="1"/>
  <c r="B50" i="6"/>
  <c r="C50"/>
  <c r="D50"/>
  <c r="E50"/>
  <c r="F50"/>
  <c r="N50" s="1"/>
  <c r="B47" i="8" s="1"/>
  <c r="B100" s="1"/>
  <c r="B154" s="1"/>
  <c r="B208"/>
  <c r="I50" i="6"/>
  <c r="J50"/>
  <c r="B51"/>
  <c r="C51"/>
  <c r="D51"/>
  <c r="E51"/>
  <c r="F51"/>
  <c r="N51"/>
  <c r="B48" i="8"/>
  <c r="B101" s="1"/>
  <c r="B155" s="1"/>
  <c r="B209" s="1"/>
  <c r="G51" i="6"/>
  <c r="I51"/>
  <c r="J51"/>
  <c r="B52"/>
  <c r="C52"/>
  <c r="D52"/>
  <c r="E52"/>
  <c r="F52"/>
  <c r="N52" s="1"/>
  <c r="B49" i="8" s="1"/>
  <c r="B102" s="1"/>
  <c r="B156" s="1"/>
  <c r="B210" s="1"/>
  <c r="B53" i="6"/>
  <c r="C53"/>
  <c r="D53"/>
  <c r="E53"/>
  <c r="F53"/>
  <c r="N53"/>
  <c r="B50" i="8"/>
  <c r="B103" s="1"/>
  <c r="B157" s="1"/>
  <c r="B211" s="1"/>
  <c r="B54" i="6"/>
  <c r="C54"/>
  <c r="D54"/>
  <c r="E54"/>
  <c r="F54"/>
  <c r="N54" s="1"/>
  <c r="B51" i="8" s="1"/>
  <c r="B104" s="1"/>
  <c r="B158"/>
  <c r="B212" s="1"/>
  <c r="B55" i="6"/>
  <c r="C55"/>
  <c r="D55"/>
  <c r="E55"/>
  <c r="F55"/>
  <c r="N55"/>
  <c r="B52" i="8" s="1"/>
  <c r="B105" s="1"/>
  <c r="B159" s="1"/>
  <c r="B213" s="1"/>
  <c r="B9" i="7"/>
  <c r="C9"/>
  <c r="D9"/>
  <c r="H9"/>
  <c r="F9"/>
  <c r="G9"/>
  <c r="I9"/>
  <c r="B10"/>
  <c r="C10"/>
  <c r="D10"/>
  <c r="H10" s="1"/>
  <c r="F10"/>
  <c r="G10"/>
  <c r="I10" s="1"/>
  <c r="B11"/>
  <c r="C11"/>
  <c r="D11"/>
  <c r="H11" s="1"/>
  <c r="F11"/>
  <c r="G11"/>
  <c r="I11" s="1"/>
  <c r="B12"/>
  <c r="C12"/>
  <c r="D12"/>
  <c r="H12" s="1"/>
  <c r="F12"/>
  <c r="G12"/>
  <c r="I12" s="1"/>
  <c r="B13"/>
  <c r="C13"/>
  <c r="D13"/>
  <c r="H13" s="1"/>
  <c r="F13"/>
  <c r="G13"/>
  <c r="I13" s="1"/>
  <c r="B14"/>
  <c r="C14"/>
  <c r="D14"/>
  <c r="H14" s="1"/>
  <c r="F14"/>
  <c r="G14"/>
  <c r="I14" s="1"/>
  <c r="B15"/>
  <c r="C15"/>
  <c r="D15"/>
  <c r="H15" s="1"/>
  <c r="F15"/>
  <c r="G15"/>
  <c r="I15"/>
  <c r="B16"/>
  <c r="C16"/>
  <c r="D16"/>
  <c r="H16" s="1"/>
  <c r="F16"/>
  <c r="G16"/>
  <c r="I16" s="1"/>
  <c r="B17"/>
  <c r="C17"/>
  <c r="D17"/>
  <c r="H17" s="1"/>
  <c r="F17"/>
  <c r="G17"/>
  <c r="I17" s="1"/>
  <c r="B18"/>
  <c r="C18"/>
  <c r="D18"/>
  <c r="H18" s="1"/>
  <c r="F18"/>
  <c r="G18"/>
  <c r="I18" s="1"/>
  <c r="B19"/>
  <c r="C19"/>
  <c r="D19"/>
  <c r="H19" s="1"/>
  <c r="F19"/>
  <c r="B20"/>
  <c r="C20"/>
  <c r="D20"/>
  <c r="H20" s="1"/>
  <c r="F20"/>
  <c r="G20"/>
  <c r="I20" s="1"/>
  <c r="B21"/>
  <c r="C21"/>
  <c r="D21"/>
  <c r="H21" s="1"/>
  <c r="F21"/>
  <c r="G21"/>
  <c r="I21"/>
  <c r="B22"/>
  <c r="C22"/>
  <c r="D22"/>
  <c r="H22" s="1"/>
  <c r="F22"/>
  <c r="G22"/>
  <c r="I22"/>
  <c r="B23"/>
  <c r="C23"/>
  <c r="D23"/>
  <c r="H23" s="1"/>
  <c r="F23"/>
  <c r="G23"/>
  <c r="I23" s="1"/>
  <c r="B24"/>
  <c r="C24"/>
  <c r="D24"/>
  <c r="H24"/>
  <c r="F24"/>
  <c r="G24"/>
  <c r="I24" s="1"/>
  <c r="B25"/>
  <c r="C25"/>
  <c r="D25"/>
  <c r="H25" s="1"/>
  <c r="F25"/>
  <c r="G25"/>
  <c r="I25" s="1"/>
  <c r="B26"/>
  <c r="C26"/>
  <c r="D26"/>
  <c r="H26" s="1"/>
  <c r="F26"/>
  <c r="G26"/>
  <c r="I26" s="1"/>
  <c r="B27"/>
  <c r="C27"/>
  <c r="D27"/>
  <c r="H27" s="1"/>
  <c r="F27"/>
  <c r="G27"/>
  <c r="I27" s="1"/>
  <c r="B28"/>
  <c r="C28"/>
  <c r="D28"/>
  <c r="H28"/>
  <c r="F28"/>
  <c r="G28"/>
  <c r="I28" s="1"/>
  <c r="B29"/>
  <c r="C29"/>
  <c r="D29"/>
  <c r="H29" s="1"/>
  <c r="F29"/>
  <c r="B30"/>
  <c r="C30"/>
  <c r="D30"/>
  <c r="H30"/>
  <c r="F30"/>
  <c r="G30"/>
  <c r="I30" s="1"/>
  <c r="B31"/>
  <c r="C31"/>
  <c r="D31"/>
  <c r="H31" s="1"/>
  <c r="F31"/>
  <c r="G31"/>
  <c r="I31" s="1"/>
  <c r="B32"/>
  <c r="C32"/>
  <c r="D32"/>
  <c r="H32" s="1"/>
  <c r="F32"/>
  <c r="B33"/>
  <c r="C33"/>
  <c r="D33"/>
  <c r="H33" s="1"/>
  <c r="F33"/>
  <c r="G33"/>
  <c r="I33" s="1"/>
  <c r="B34"/>
  <c r="C34"/>
  <c r="D34"/>
  <c r="H34" s="1"/>
  <c r="F34"/>
  <c r="G34"/>
  <c r="I34" s="1"/>
  <c r="B35"/>
  <c r="C35"/>
  <c r="D35"/>
  <c r="H35"/>
  <c r="F35"/>
  <c r="G35"/>
  <c r="I35"/>
  <c r="B36"/>
  <c r="C36"/>
  <c r="D36"/>
  <c r="H36" s="1"/>
  <c r="F36"/>
  <c r="G36"/>
  <c r="I36" s="1"/>
  <c r="B37"/>
  <c r="C37"/>
  <c r="D37"/>
  <c r="H37" s="1"/>
  <c r="F37"/>
  <c r="G37"/>
  <c r="I37" s="1"/>
  <c r="B38"/>
  <c r="C38"/>
  <c r="D38"/>
  <c r="H38"/>
  <c r="F38"/>
  <c r="G38"/>
  <c r="I38" s="1"/>
  <c r="B39"/>
  <c r="C39"/>
  <c r="D39"/>
  <c r="H39" s="1"/>
  <c r="F39"/>
  <c r="G39"/>
  <c r="I39" s="1"/>
  <c r="B40"/>
  <c r="C40"/>
  <c r="D40"/>
  <c r="H40" s="1"/>
  <c r="F40"/>
  <c r="G40"/>
  <c r="I40" s="1"/>
  <c r="B41"/>
  <c r="C41"/>
  <c r="D41"/>
  <c r="H41" s="1"/>
  <c r="F41"/>
  <c r="G41"/>
  <c r="I41" s="1"/>
  <c r="B42"/>
  <c r="C42"/>
  <c r="D42"/>
  <c r="H42" s="1"/>
  <c r="F42"/>
  <c r="G42"/>
  <c r="I42" s="1"/>
  <c r="B43"/>
  <c r="C43"/>
  <c r="D43"/>
  <c r="H43" s="1"/>
  <c r="F43"/>
  <c r="G43"/>
  <c r="I43" s="1"/>
  <c r="B45"/>
  <c r="C45"/>
  <c r="D45"/>
  <c r="H45" s="1"/>
  <c r="F45"/>
  <c r="G45"/>
  <c r="I45" s="1"/>
  <c r="B46"/>
  <c r="C46"/>
  <c r="D46"/>
  <c r="H46"/>
  <c r="F46"/>
  <c r="G46"/>
  <c r="I46" s="1"/>
  <c r="B47"/>
  <c r="C47"/>
  <c r="D47"/>
  <c r="H47" s="1"/>
  <c r="F47"/>
  <c r="G47"/>
  <c r="I47" s="1"/>
  <c r="B48"/>
  <c r="C48"/>
  <c r="D48"/>
  <c r="H48" s="1"/>
  <c r="F48"/>
  <c r="G48"/>
  <c r="I48" s="1"/>
  <c r="B49"/>
  <c r="C49"/>
  <c r="D49"/>
  <c r="H49" s="1"/>
  <c r="F49"/>
  <c r="G49"/>
  <c r="I49" s="1"/>
  <c r="B51"/>
  <c r="C51"/>
  <c r="D51"/>
  <c r="H51" s="1"/>
  <c r="F51"/>
  <c r="G51"/>
  <c r="I51" s="1"/>
  <c r="B52"/>
  <c r="C52"/>
  <c r="D52"/>
  <c r="H52" s="1"/>
  <c r="F52"/>
  <c r="G52"/>
  <c r="I52" s="1"/>
  <c r="B53"/>
  <c r="C53"/>
  <c r="D53"/>
  <c r="H53" s="1"/>
  <c r="F53"/>
  <c r="G53"/>
  <c r="I53" s="1"/>
  <c r="B54"/>
  <c r="C54"/>
  <c r="D54"/>
  <c r="H54" s="1"/>
  <c r="F54"/>
  <c r="G54"/>
  <c r="I54"/>
  <c r="B55"/>
  <c r="C55"/>
  <c r="D55"/>
  <c r="H55" s="1"/>
  <c r="F55"/>
  <c r="G55"/>
  <c r="I55" s="1"/>
  <c r="AE48" i="1"/>
  <c r="AF52"/>
  <c r="AF51"/>
  <c r="AF50"/>
  <c r="AF49"/>
  <c r="AF48"/>
  <c r="AE43"/>
  <c r="AF47"/>
  <c r="AF46"/>
  <c r="AF45"/>
  <c r="AF44"/>
  <c r="AF43"/>
  <c r="AE40"/>
  <c r="AF42"/>
  <c r="AF41"/>
  <c r="AF40"/>
  <c r="AE35"/>
  <c r="AF39"/>
  <c r="AF38"/>
  <c r="AF37"/>
  <c r="AF36"/>
  <c r="AF35"/>
  <c r="AF34"/>
  <c r="AF33"/>
  <c r="AF32"/>
  <c r="AF31"/>
  <c r="AF30"/>
  <c r="AF24"/>
  <c r="AF23"/>
  <c r="AF22"/>
  <c r="AF21"/>
  <c r="AF20"/>
  <c r="AF19"/>
  <c r="AF18"/>
  <c r="AF17"/>
  <c r="AF16"/>
  <c r="AF15"/>
  <c r="AF14"/>
  <c r="AF13"/>
  <c r="AF12"/>
  <c r="AF11"/>
  <c r="AF10"/>
  <c r="AF9"/>
  <c r="AF8"/>
  <c r="AF7"/>
  <c r="AF6"/>
  <c r="AF5"/>
  <c r="AF4"/>
  <c r="AF3"/>
  <c r="D30" i="26"/>
  <c r="A84" i="5"/>
  <c r="A85"/>
  <c r="A86"/>
  <c r="K40" i="1"/>
  <c r="K43"/>
  <c r="K48"/>
  <c r="K35"/>
  <c r="K30"/>
  <c r="K24"/>
  <c r="K23"/>
  <c r="K18"/>
  <c r="K9"/>
  <c r="K4"/>
  <c r="K3"/>
  <c r="K2"/>
  <c r="E50"/>
  <c r="E51"/>
  <c r="E52"/>
  <c r="E49"/>
  <c r="D43"/>
  <c r="E45"/>
  <c r="E46"/>
  <c r="E47"/>
  <c r="E44"/>
  <c r="D40"/>
  <c r="E42"/>
  <c r="E41"/>
  <c r="D35"/>
  <c r="E37"/>
  <c r="E38"/>
  <c r="E39"/>
  <c r="E36"/>
  <c r="D30"/>
  <c r="E32"/>
  <c r="E33"/>
  <c r="E31"/>
  <c r="D25"/>
  <c r="D26"/>
  <c r="D27"/>
  <c r="D28"/>
  <c r="D24"/>
  <c r="E24"/>
  <c r="L24"/>
  <c r="P24"/>
  <c r="Y24"/>
  <c r="E3"/>
  <c r="E4"/>
  <c r="D4"/>
  <c r="E5"/>
  <c r="E6"/>
  <c r="E7"/>
  <c r="E8"/>
  <c r="E9"/>
  <c r="D9"/>
  <c r="E10"/>
  <c r="E11"/>
  <c r="E12"/>
  <c r="E13"/>
  <c r="E14"/>
  <c r="E15"/>
  <c r="E16"/>
  <c r="E17"/>
  <c r="E18"/>
  <c r="D18"/>
  <c r="E19"/>
  <c r="E20"/>
  <c r="E21"/>
  <c r="D21"/>
  <c r="E22"/>
  <c r="E23"/>
  <c r="E30"/>
  <c r="E34"/>
  <c r="E35"/>
  <c r="E40"/>
  <c r="E43"/>
  <c r="E48"/>
  <c r="D48"/>
  <c r="AE24"/>
  <c r="AE23"/>
  <c r="I32"/>
  <c r="I33"/>
  <c r="I31"/>
  <c r="I26"/>
  <c r="I27"/>
  <c r="I28"/>
  <c r="I29"/>
  <c r="I25"/>
  <c r="I19"/>
  <c r="I20"/>
  <c r="I16"/>
  <c r="I17"/>
  <c r="I15"/>
  <c r="I14"/>
  <c r="I13"/>
  <c r="I12"/>
  <c r="I11"/>
  <c r="I10"/>
  <c r="I8"/>
  <c r="I7"/>
  <c r="I6"/>
  <c r="I5"/>
  <c r="AE3"/>
  <c r="AE21"/>
  <c r="AE19"/>
  <c r="AE20"/>
  <c r="S7" i="4"/>
  <c r="AX36" i="8" s="1"/>
  <c r="AR1" s="1"/>
  <c r="AJ1" s="1"/>
  <c r="S8" i="4"/>
  <c r="B2" i="216"/>
  <c r="B1"/>
  <c r="G1"/>
  <c r="B4" i="218" s="1"/>
  <c r="B3" i="216"/>
  <c r="F3" s="1"/>
  <c r="F16"/>
  <c r="E16"/>
  <c r="D16"/>
  <c r="I5" i="4"/>
  <c r="B2" i="109"/>
  <c r="F2"/>
  <c r="B10" s="1"/>
  <c r="B1"/>
  <c r="G1" s="1"/>
  <c r="B4" i="110" s="1"/>
  <c r="E34" i="2"/>
  <c r="E3" i="216" s="1"/>
  <c r="AE4" i="1"/>
  <c r="D5"/>
  <c r="AE5"/>
  <c r="D6"/>
  <c r="D7"/>
  <c r="D8"/>
  <c r="D10"/>
  <c r="D11"/>
  <c r="D12"/>
  <c r="D13"/>
  <c r="D14"/>
  <c r="D15"/>
  <c r="D16"/>
  <c r="D17"/>
  <c r="D19"/>
  <c r="D20"/>
  <c r="D22"/>
  <c r="D29"/>
  <c r="D31"/>
  <c r="D32"/>
  <c r="D33"/>
  <c r="D36"/>
  <c r="D37"/>
  <c r="D38"/>
  <c r="D39"/>
  <c r="D41"/>
  <c r="D42"/>
  <c r="D44"/>
  <c r="D45"/>
  <c r="D46"/>
  <c r="D47"/>
  <c r="D49"/>
  <c r="D50"/>
  <c r="D51"/>
  <c r="D52"/>
  <c r="AE6"/>
  <c r="AE7"/>
  <c r="AE8"/>
  <c r="AE9"/>
  <c r="AE10"/>
  <c r="AE11"/>
  <c r="AE12"/>
  <c r="AE13"/>
  <c r="AE15"/>
  <c r="AE16"/>
  <c r="AE18"/>
  <c r="AE25"/>
  <c r="AE26"/>
  <c r="AE28"/>
  <c r="AE29"/>
  <c r="AE30"/>
  <c r="AE31"/>
  <c r="AE32"/>
  <c r="AE33"/>
  <c r="AE36"/>
  <c r="AE37"/>
  <c r="AE38"/>
  <c r="AE39"/>
  <c r="AE41"/>
  <c r="AE42"/>
  <c r="AE44"/>
  <c r="AE45"/>
  <c r="AE46"/>
  <c r="AE47"/>
  <c r="AE49"/>
  <c r="AE50"/>
  <c r="AE51"/>
  <c r="AE52"/>
  <c r="C33" i="2"/>
  <c r="C34"/>
  <c r="C32"/>
  <c r="D34"/>
  <c r="F34"/>
  <c r="G34"/>
  <c r="L2" i="1"/>
  <c r="H34" i="2"/>
  <c r="I34"/>
  <c r="J34"/>
  <c r="K34"/>
  <c r="L34"/>
  <c r="M34"/>
  <c r="N34"/>
  <c r="P2" i="1"/>
  <c r="O34" i="2"/>
  <c r="P34"/>
  <c r="Q34"/>
  <c r="R34"/>
  <c r="S34"/>
  <c r="T34"/>
  <c r="U34"/>
  <c r="B8" i="216"/>
  <c r="B5"/>
  <c r="V22"/>
  <c r="B6"/>
  <c r="J14" i="4"/>
  <c r="B30" i="216"/>
  <c r="J13" i="4"/>
  <c r="B29" i="216"/>
  <c r="J12" i="4"/>
  <c r="B28" i="216"/>
  <c r="J3" i="4"/>
  <c r="B19" i="216"/>
  <c r="J11" i="4"/>
  <c r="B27" i="216"/>
  <c r="J10" i="4"/>
  <c r="B26" i="216"/>
  <c r="J9" i="4"/>
  <c r="B25" i="216"/>
  <c r="J8" i="4"/>
  <c r="B24" i="216"/>
  <c r="J7" i="4"/>
  <c r="B23" i="216"/>
  <c r="J6" i="4"/>
  <c r="B22" i="216"/>
  <c r="J5" i="4"/>
  <c r="B21" i="216"/>
  <c r="J4" i="4"/>
  <c r="B20" i="216"/>
  <c r="E33" i="2"/>
  <c r="E32"/>
  <c r="E1" i="109" s="1"/>
  <c r="C120" i="2"/>
  <c r="C4" i="214" s="1"/>
  <c r="C9" i="215" s="1"/>
  <c r="B9" s="1"/>
  <c r="F10"/>
  <c r="C11"/>
  <c r="F13"/>
  <c r="F14"/>
  <c r="F16"/>
  <c r="C17"/>
  <c r="F19"/>
  <c r="C20"/>
  <c r="F20"/>
  <c r="B14"/>
  <c r="D14"/>
  <c r="Y12" i="1"/>
  <c r="Y13"/>
  <c r="Y11"/>
  <c r="F8" i="215"/>
  <c r="B8"/>
  <c r="I8" i="4"/>
  <c r="B4" i="211"/>
  <c r="A2" i="214"/>
  <c r="G8" i="213"/>
  <c r="G10"/>
  <c r="G11"/>
  <c r="G13"/>
  <c r="G14"/>
  <c r="G16"/>
  <c r="G17"/>
  <c r="G19"/>
  <c r="G20"/>
  <c r="B8"/>
  <c r="B11"/>
  <c r="B14"/>
  <c r="B17"/>
  <c r="B20"/>
  <c r="Y8" i="1"/>
  <c r="Y15"/>
  <c r="Y16"/>
  <c r="Y17"/>
  <c r="Y19"/>
  <c r="Y20"/>
  <c r="Y22"/>
  <c r="Y25"/>
  <c r="Y26"/>
  <c r="Y27"/>
  <c r="Y28"/>
  <c r="Y29"/>
  <c r="Y31"/>
  <c r="Y32"/>
  <c r="Y33"/>
  <c r="Y36"/>
  <c r="Y37"/>
  <c r="Y38"/>
  <c r="Y39"/>
  <c r="Y41"/>
  <c r="Y42"/>
  <c r="Y44"/>
  <c r="Y45"/>
  <c r="Y46"/>
  <c r="Y47"/>
  <c r="A3" i="212"/>
  <c r="B115" i="2"/>
  <c r="A115"/>
  <c r="A2" i="212"/>
  <c r="Y21" i="1"/>
  <c r="Y23"/>
  <c r="P20"/>
  <c r="K21"/>
  <c r="P21"/>
  <c r="P22"/>
  <c r="P23"/>
  <c r="C107" i="2"/>
  <c r="E107"/>
  <c r="A2" i="4"/>
  <c r="BO8" s="1"/>
  <c r="Y5" i="1"/>
  <c r="Y6"/>
  <c r="Y7"/>
  <c r="Y10"/>
  <c r="I4" i="4"/>
  <c r="I6"/>
  <c r="I7"/>
  <c r="I9"/>
  <c r="I10"/>
  <c r="I11"/>
  <c r="I12"/>
  <c r="I13"/>
  <c r="I14"/>
  <c r="I3"/>
  <c r="A1" i="211"/>
  <c r="B19"/>
  <c r="B18"/>
  <c r="B17"/>
  <c r="B16"/>
  <c r="B15"/>
  <c r="B14"/>
  <c r="B13"/>
  <c r="B12"/>
  <c r="C2"/>
  <c r="B11"/>
  <c r="B10"/>
  <c r="B5"/>
  <c r="A5"/>
  <c r="E3"/>
  <c r="D1"/>
  <c r="D3"/>
  <c r="C3"/>
  <c r="B3"/>
  <c r="A3"/>
  <c r="B2"/>
  <c r="A2"/>
  <c r="AQ19"/>
  <c r="AR19"/>
  <c r="AQ18"/>
  <c r="AR18"/>
  <c r="AQ17"/>
  <c r="AR17"/>
  <c r="AQ16"/>
  <c r="AR16"/>
  <c r="AQ15"/>
  <c r="AR15"/>
  <c r="AQ14"/>
  <c r="AR14"/>
  <c r="AQ13"/>
  <c r="AR13"/>
  <c r="AQ12"/>
  <c r="AR12"/>
  <c r="AQ11"/>
  <c r="AR11"/>
  <c r="AQ10"/>
  <c r="AR10"/>
  <c r="AQ9"/>
  <c r="AR9"/>
  <c r="AQ8"/>
  <c r="AR8"/>
  <c r="C7"/>
  <c r="D4"/>
  <c r="D8" i="7"/>
  <c r="H8" s="1"/>
  <c r="F8"/>
  <c r="C8"/>
  <c r="B8"/>
  <c r="D7"/>
  <c r="H7" s="1"/>
  <c r="F7"/>
  <c r="E7"/>
  <c r="C7"/>
  <c r="B7"/>
  <c r="D6"/>
  <c r="H6"/>
  <c r="F6"/>
  <c r="E6"/>
  <c r="C6"/>
  <c r="B6"/>
  <c r="G5"/>
  <c r="D5"/>
  <c r="H5" s="1"/>
  <c r="F5"/>
  <c r="E5"/>
  <c r="C5"/>
  <c r="B5"/>
  <c r="U4"/>
  <c r="AA4" i="6" s="1"/>
  <c r="N1" i="8" s="1"/>
  <c r="T4" i="7"/>
  <c r="Z4" i="6" s="1"/>
  <c r="M1" i="8" s="1"/>
  <c r="S4" i="7"/>
  <c r="Y4" i="6" s="1"/>
  <c r="L1" i="8" s="1"/>
  <c r="R4" i="7"/>
  <c r="X4" i="6" s="1"/>
  <c r="K1" i="8"/>
  <c r="Q4" i="7"/>
  <c r="W4" i="6" s="1"/>
  <c r="J1" i="8" s="1"/>
  <c r="P4" i="7"/>
  <c r="V4" i="6"/>
  <c r="I1" i="8" s="1"/>
  <c r="O4" i="7"/>
  <c r="U4" i="6" s="1"/>
  <c r="H1" i="8" s="1"/>
  <c r="N4" i="7"/>
  <c r="T4" i="6" s="1"/>
  <c r="G1" i="8" s="1"/>
  <c r="M4" i="7"/>
  <c r="S4" i="6" s="1"/>
  <c r="F1" i="8" s="1"/>
  <c r="L4" i="7"/>
  <c r="R4" i="6"/>
  <c r="E1" i="8" s="1"/>
  <c r="K4" i="7"/>
  <c r="Q4" i="6"/>
  <c r="D1" i="8" s="1"/>
  <c r="J4" i="7"/>
  <c r="P4" i="6" s="1"/>
  <c r="C1" i="8" s="1"/>
  <c r="I4" i="7"/>
  <c r="H4"/>
  <c r="G4"/>
  <c r="E4"/>
  <c r="C4"/>
  <c r="B4"/>
  <c r="B19" i="2"/>
  <c r="P19"/>
  <c r="P28" i="1"/>
  <c r="P19"/>
  <c r="P52"/>
  <c r="P51"/>
  <c r="P50"/>
  <c r="P49"/>
  <c r="P48"/>
  <c r="P47"/>
  <c r="P46"/>
  <c r="P45"/>
  <c r="P44"/>
  <c r="P43"/>
  <c r="P42"/>
  <c r="P41"/>
  <c r="P40"/>
  <c r="P39"/>
  <c r="P38"/>
  <c r="P37"/>
  <c r="P36"/>
  <c r="P35"/>
  <c r="K34"/>
  <c r="P34"/>
  <c r="P33"/>
  <c r="P32"/>
  <c r="P31"/>
  <c r="P30"/>
  <c r="P29"/>
  <c r="P27"/>
  <c r="P26"/>
  <c r="P25"/>
  <c r="P18"/>
  <c r="P17"/>
  <c r="P16"/>
  <c r="P15"/>
  <c r="P14"/>
  <c r="P13"/>
  <c r="P12"/>
  <c r="P11"/>
  <c r="P10"/>
  <c r="P9"/>
  <c r="P8"/>
  <c r="P7"/>
  <c r="P6"/>
  <c r="P5"/>
  <c r="P3"/>
  <c r="P4"/>
  <c r="C18" i="2"/>
  <c r="C1" i="170" s="1"/>
  <c r="D18" i="2"/>
  <c r="E18"/>
  <c r="E1" i="168" s="1"/>
  <c r="F18" i="2"/>
  <c r="G18"/>
  <c r="I18"/>
  <c r="J18"/>
  <c r="J1" i="168" s="1"/>
  <c r="K18" i="2"/>
  <c r="K1" i="170"/>
  <c r="K1" i="168"/>
  <c r="L18" i="2"/>
  <c r="L1" i="170"/>
  <c r="M18" i="2"/>
  <c r="M1" i="168" s="1"/>
  <c r="N18" i="2"/>
  <c r="N1" i="170" s="1"/>
  <c r="O18" i="2"/>
  <c r="P18"/>
  <c r="P1" i="168" s="1"/>
  <c r="Q18" i="2"/>
  <c r="Q1" i="170" s="1"/>
  <c r="R18" i="2"/>
  <c r="R1" i="170"/>
  <c r="S18" i="2"/>
  <c r="T18"/>
  <c r="U18"/>
  <c r="U1" i="168" s="1"/>
  <c r="V18" i="2"/>
  <c r="W18"/>
  <c r="X18"/>
  <c r="Y18"/>
  <c r="Z18"/>
  <c r="AA18"/>
  <c r="AB18"/>
  <c r="L28" i="1"/>
  <c r="L19"/>
  <c r="L20"/>
  <c r="L21"/>
  <c r="L22"/>
  <c r="AD2"/>
  <c r="O5" i="6" s="1"/>
  <c r="J12" i="196"/>
  <c r="I11"/>
  <c r="K39" i="6"/>
  <c r="J47" i="7"/>
  <c r="L48" i="6"/>
  <c r="J49" i="7"/>
  <c r="J52"/>
  <c r="K39"/>
  <c r="K45"/>
  <c r="K47"/>
  <c r="K48"/>
  <c r="K49"/>
  <c r="K54"/>
  <c r="L39"/>
  <c r="L42"/>
  <c r="L45"/>
  <c r="L47"/>
  <c r="L49"/>
  <c r="L52"/>
  <c r="M39"/>
  <c r="M42"/>
  <c r="M45"/>
  <c r="M47"/>
  <c r="M49"/>
  <c r="M52"/>
  <c r="M54"/>
  <c r="N40"/>
  <c r="N42"/>
  <c r="N45"/>
  <c r="N47"/>
  <c r="N49"/>
  <c r="N52"/>
  <c r="O40"/>
  <c r="O42"/>
  <c r="O45"/>
  <c r="O47"/>
  <c r="O49"/>
  <c r="O52"/>
  <c r="P39"/>
  <c r="P40"/>
  <c r="P41"/>
  <c r="P45"/>
  <c r="P47"/>
  <c r="P49"/>
  <c r="P52"/>
  <c r="Q39"/>
  <c r="Q41"/>
  <c r="Q45"/>
  <c r="Q47"/>
  <c r="Q49"/>
  <c r="Q52"/>
  <c r="Q54"/>
  <c r="R42"/>
  <c r="R45"/>
  <c r="R47"/>
  <c r="R49"/>
  <c r="R52"/>
  <c r="S39"/>
  <c r="S42"/>
  <c r="S45"/>
  <c r="S47"/>
  <c r="S49"/>
  <c r="S52"/>
  <c r="T40"/>
  <c r="T42"/>
  <c r="T45"/>
  <c r="T47"/>
  <c r="T49"/>
  <c r="T52"/>
  <c r="U39"/>
  <c r="U40"/>
  <c r="U45"/>
  <c r="U47"/>
  <c r="U49"/>
  <c r="U52"/>
  <c r="H11" i="196"/>
  <c r="J11"/>
  <c r="J28" i="7"/>
  <c r="K32" i="6"/>
  <c r="J34" i="7"/>
  <c r="K28"/>
  <c r="K31"/>
  <c r="K34"/>
  <c r="K35"/>
  <c r="L28"/>
  <c r="L31"/>
  <c r="L34"/>
  <c r="L35"/>
  <c r="M28"/>
  <c r="M30"/>
  <c r="M32"/>
  <c r="M34"/>
  <c r="M35"/>
  <c r="M36"/>
  <c r="N28"/>
  <c r="N31"/>
  <c r="N34"/>
  <c r="N36"/>
  <c r="O28"/>
  <c r="O34"/>
  <c r="O35"/>
  <c r="O36"/>
  <c r="P28"/>
  <c r="P34"/>
  <c r="P35"/>
  <c r="Q28"/>
  <c r="Q34"/>
  <c r="Q36"/>
  <c r="R28"/>
  <c r="R29"/>
  <c r="R30"/>
  <c r="R34"/>
  <c r="R35"/>
  <c r="S28"/>
  <c r="S31"/>
  <c r="S34"/>
  <c r="S35"/>
  <c r="S36"/>
  <c r="T34"/>
  <c r="T35"/>
  <c r="T36"/>
  <c r="U28"/>
  <c r="U32"/>
  <c r="U34"/>
  <c r="U36"/>
  <c r="H12" i="196"/>
  <c r="L10" i="6"/>
  <c r="J11" i="7"/>
  <c r="J13"/>
  <c r="J15"/>
  <c r="J16"/>
  <c r="J17"/>
  <c r="J20"/>
  <c r="J23"/>
  <c r="K25" i="6"/>
  <c r="K8" i="7"/>
  <c r="K13"/>
  <c r="K15"/>
  <c r="K16"/>
  <c r="K17"/>
  <c r="K20"/>
  <c r="K25"/>
  <c r="L8"/>
  <c r="L13"/>
  <c r="L15"/>
  <c r="L16"/>
  <c r="L20"/>
  <c r="L25"/>
  <c r="M8"/>
  <c r="M13"/>
  <c r="M15"/>
  <c r="M17"/>
  <c r="M20"/>
  <c r="N8"/>
  <c r="N13"/>
  <c r="N15"/>
  <c r="N16"/>
  <c r="N17"/>
  <c r="N20"/>
  <c r="N25"/>
  <c r="O8"/>
  <c r="O11"/>
  <c r="O13"/>
  <c r="O15"/>
  <c r="O16"/>
  <c r="O17"/>
  <c r="O20"/>
  <c r="O23"/>
  <c r="O25"/>
  <c r="P8"/>
  <c r="P10"/>
  <c r="P11"/>
  <c r="P13"/>
  <c r="P15"/>
  <c r="P16"/>
  <c r="P20"/>
  <c r="P23"/>
  <c r="P25"/>
  <c r="Q13"/>
  <c r="Q15"/>
  <c r="Q16"/>
  <c r="Q17"/>
  <c r="Q20"/>
  <c r="Q23"/>
  <c r="Q25"/>
  <c r="R8"/>
  <c r="R13"/>
  <c r="R15"/>
  <c r="R16"/>
  <c r="R19"/>
  <c r="R20"/>
  <c r="R23"/>
  <c r="R25"/>
  <c r="S8"/>
  <c r="S13"/>
  <c r="S15"/>
  <c r="S16"/>
  <c r="S20"/>
  <c r="S25"/>
  <c r="T11"/>
  <c r="T13"/>
  <c r="T15"/>
  <c r="T16"/>
  <c r="T23"/>
  <c r="T25"/>
  <c r="U11"/>
  <c r="U13"/>
  <c r="U15"/>
  <c r="U16"/>
  <c r="U17"/>
  <c r="U20"/>
  <c r="U25"/>
  <c r="I12" i="196"/>
  <c r="E27"/>
  <c r="C27"/>
  <c r="J27"/>
  <c r="D27"/>
  <c r="H27"/>
  <c r="I27"/>
  <c r="L3" i="1"/>
  <c r="L4"/>
  <c r="C92" i="2"/>
  <c r="C1" i="196"/>
  <c r="F1"/>
  <c r="C93" i="2"/>
  <c r="C2" i="196"/>
  <c r="E2"/>
  <c r="F2"/>
  <c r="C94" i="2"/>
  <c r="C3" i="196"/>
  <c r="E3"/>
  <c r="F3"/>
  <c r="A2"/>
  <c r="A3"/>
  <c r="A1"/>
  <c r="S5" i="4"/>
  <c r="S6"/>
  <c r="AK5" s="1"/>
  <c r="AL5" s="1"/>
  <c r="AM5" s="1"/>
  <c r="S4"/>
  <c r="AM3" s="1"/>
  <c r="C8" i="2" s="1"/>
  <c r="C10" i="168"/>
  <c r="F4" i="27"/>
  <c r="O4" i="6"/>
  <c r="N4"/>
  <c r="E5" i="107"/>
  <c r="I6" i="88"/>
  <c r="E4" i="194" s="1"/>
  <c r="D3"/>
  <c r="C33"/>
  <c r="G33"/>
  <c r="K33"/>
  <c r="B86" i="2"/>
  <c r="B85"/>
  <c r="B87"/>
  <c r="B88"/>
  <c r="U10" i="67"/>
  <c r="N10"/>
  <c r="G10"/>
  <c r="E5"/>
  <c r="E4"/>
  <c r="I3" i="26"/>
  <c r="N3"/>
  <c r="A38"/>
  <c r="N24" i="189"/>
  <c r="N23"/>
  <c r="N22"/>
  <c r="C26"/>
  <c r="C23"/>
  <c r="C22"/>
  <c r="Y14" i="1"/>
  <c r="Y49"/>
  <c r="Y50"/>
  <c r="Y51"/>
  <c r="Y52"/>
  <c r="AY29" i="8"/>
  <c r="AZ28"/>
  <c r="AZ29"/>
  <c r="BA28"/>
  <c r="BA29"/>
  <c r="BB29"/>
  <c r="BC29"/>
  <c r="BD29"/>
  <c r="BE29"/>
  <c r="BF29"/>
  <c r="BG29"/>
  <c r="BH29"/>
  <c r="BI29"/>
  <c r="BJ29"/>
  <c r="AY33"/>
  <c r="AZ32"/>
  <c r="AZ33"/>
  <c r="AY37"/>
  <c r="AZ36"/>
  <c r="BA36"/>
  <c r="AY41"/>
  <c r="AZ40"/>
  <c r="BA40"/>
  <c r="F7" i="6"/>
  <c r="N7" s="1"/>
  <c r="B4" i="8" s="1"/>
  <c r="B57" s="1"/>
  <c r="B111" s="1"/>
  <c r="B165" s="1"/>
  <c r="F6" i="6"/>
  <c r="N6"/>
  <c r="B3" i="8" s="1"/>
  <c r="B56" s="1"/>
  <c r="B110" s="1"/>
  <c r="B164" s="1"/>
  <c r="F5" i="6"/>
  <c r="N5" s="1"/>
  <c r="B2" i="8" s="1"/>
  <c r="B55" s="1"/>
  <c r="B109" s="1"/>
  <c r="B163" s="1"/>
  <c r="Y9" i="1"/>
  <c r="Y18"/>
  <c r="Y30"/>
  <c r="Y34"/>
  <c r="Y35"/>
  <c r="Y40"/>
  <c r="Y43"/>
  <c r="Y48"/>
  <c r="L52"/>
  <c r="L51"/>
  <c r="L50"/>
  <c r="L49"/>
  <c r="L48"/>
  <c r="L47"/>
  <c r="L46"/>
  <c r="L45"/>
  <c r="L44"/>
  <c r="L43"/>
  <c r="L42"/>
  <c r="L41"/>
  <c r="L40"/>
  <c r="L39"/>
  <c r="L38"/>
  <c r="L37"/>
  <c r="L36"/>
  <c r="L35"/>
  <c r="L34"/>
  <c r="L33"/>
  <c r="L32"/>
  <c r="L31"/>
  <c r="L30"/>
  <c r="L29"/>
  <c r="L27"/>
  <c r="L26"/>
  <c r="B81" i="5"/>
  <c r="D22" i="26" s="1"/>
  <c r="E22" s="1"/>
  <c r="E25" i="27" s="1"/>
  <c r="B70" i="5"/>
  <c r="B71"/>
  <c r="B72"/>
  <c r="C72" s="1"/>
  <c r="F13" i="26" s="1"/>
  <c r="F16" i="27" s="1"/>
  <c r="B73" i="5"/>
  <c r="C73" s="1"/>
  <c r="F14" i="26" s="1"/>
  <c r="F17" i="27" s="1"/>
  <c r="B74" i="5"/>
  <c r="B75"/>
  <c r="C75" s="1"/>
  <c r="F16" i="26" s="1"/>
  <c r="F19" i="27" s="1"/>
  <c r="B76" i="5"/>
  <c r="B77"/>
  <c r="D18" i="26" s="1"/>
  <c r="C77" i="5"/>
  <c r="F18" i="26" s="1"/>
  <c r="F21" i="27" s="1"/>
  <c r="B78" i="5"/>
  <c r="B79"/>
  <c r="D20" i="26" s="1"/>
  <c r="B80" i="5"/>
  <c r="D21" i="26" s="1"/>
  <c r="D24" i="27" s="1"/>
  <c r="B4" i="109"/>
  <c r="S19" s="1"/>
  <c r="S24"/>
  <c r="H13" i="4"/>
  <c r="O5"/>
  <c r="P13"/>
  <c r="H14"/>
  <c r="P14"/>
  <c r="A30" i="170"/>
  <c r="B30"/>
  <c r="C30"/>
  <c r="U30"/>
  <c r="AB15"/>
  <c r="AB24"/>
  <c r="AE15"/>
  <c r="AE21"/>
  <c r="A30" i="168"/>
  <c r="B30"/>
  <c r="C30"/>
  <c r="U30"/>
  <c r="A19" i="16"/>
  <c r="C19"/>
  <c r="A8"/>
  <c r="A9"/>
  <c r="A10"/>
  <c r="A11"/>
  <c r="A12"/>
  <c r="A13"/>
  <c r="A14"/>
  <c r="A15"/>
  <c r="A16"/>
  <c r="A17"/>
  <c r="A18"/>
  <c r="B7" i="109"/>
  <c r="J7" i="6"/>
  <c r="I7"/>
  <c r="H7"/>
  <c r="K7" s="1"/>
  <c r="Y4" i="1"/>
  <c r="G7" i="6"/>
  <c r="E7"/>
  <c r="D7"/>
  <c r="C7"/>
  <c r="B7"/>
  <c r="J6"/>
  <c r="I6"/>
  <c r="Y3" i="1"/>
  <c r="G6" i="6"/>
  <c r="E6"/>
  <c r="D6"/>
  <c r="C6"/>
  <c r="B6"/>
  <c r="AV1" i="4"/>
  <c r="AW1"/>
  <c r="AV3"/>
  <c r="AW3"/>
  <c r="AV4"/>
  <c r="AW4"/>
  <c r="AV5"/>
  <c r="AW5"/>
  <c r="AV6"/>
  <c r="AW6"/>
  <c r="AV7"/>
  <c r="AW7"/>
  <c r="AV8"/>
  <c r="AW8"/>
  <c r="AV9"/>
  <c r="AW9"/>
  <c r="AV10"/>
  <c r="AW10"/>
  <c r="AV11"/>
  <c r="AW11"/>
  <c r="AV12"/>
  <c r="AW12"/>
  <c r="AV13"/>
  <c r="AW13"/>
  <c r="AV14"/>
  <c r="AW14"/>
  <c r="E73" i="88"/>
  <c r="E74"/>
  <c r="E75"/>
  <c r="E76"/>
  <c r="E72"/>
  <c r="AU3" i="4"/>
  <c r="AU4"/>
  <c r="AU5"/>
  <c r="AU6"/>
  <c r="AU7"/>
  <c r="AU8"/>
  <c r="AU9"/>
  <c r="AU10"/>
  <c r="AU11"/>
  <c r="AU12"/>
  <c r="AU13"/>
  <c r="AU14"/>
  <c r="AJ4"/>
  <c r="AJ5"/>
  <c r="AJ6"/>
  <c r="AJ7"/>
  <c r="AJ8"/>
  <c r="AJ9"/>
  <c r="AJ10"/>
  <c r="AJ11"/>
  <c r="AJ12"/>
  <c r="AJ13"/>
  <c r="AJ14"/>
  <c r="AI3"/>
  <c r="B84" i="5"/>
  <c r="C84" s="1"/>
  <c r="F73" i="88"/>
  <c r="F74"/>
  <c r="F75"/>
  <c r="F76"/>
  <c r="L5" i="1"/>
  <c r="L6"/>
  <c r="L7"/>
  <c r="L8"/>
  <c r="L9"/>
  <c r="L10"/>
  <c r="L12"/>
  <c r="L13"/>
  <c r="L14"/>
  <c r="L15"/>
  <c r="L16"/>
  <c r="L17"/>
  <c r="L25"/>
  <c r="L11"/>
  <c r="B85" i="5"/>
  <c r="C85" s="1"/>
  <c r="B86"/>
  <c r="C86" s="1"/>
  <c r="L23" i="1"/>
  <c r="L18"/>
  <c r="AX41" i="8"/>
  <c r="AY23"/>
  <c r="AY20"/>
  <c r="AY17"/>
  <c r="AY14"/>
  <c r="AY11"/>
  <c r="AY8"/>
  <c r="AY5"/>
  <c r="W18" i="170"/>
  <c r="AC2" i="1"/>
  <c r="Y2"/>
  <c r="H3" i="4"/>
  <c r="P3"/>
  <c r="R4" i="107"/>
  <c r="T4"/>
  <c r="S4"/>
  <c r="Q4"/>
  <c r="P4"/>
  <c r="A20" i="170"/>
  <c r="C20"/>
  <c r="U20"/>
  <c r="A21"/>
  <c r="B21"/>
  <c r="C21"/>
  <c r="U21"/>
  <c r="A22"/>
  <c r="B22"/>
  <c r="C22"/>
  <c r="U22"/>
  <c r="A23"/>
  <c r="B23"/>
  <c r="C23"/>
  <c r="U23"/>
  <c r="A24"/>
  <c r="B24"/>
  <c r="C24"/>
  <c r="U24"/>
  <c r="A25"/>
  <c r="B25"/>
  <c r="C25"/>
  <c r="U25"/>
  <c r="A26"/>
  <c r="B26"/>
  <c r="C26"/>
  <c r="U26"/>
  <c r="A27"/>
  <c r="B27"/>
  <c r="C27"/>
  <c r="U27"/>
  <c r="A28"/>
  <c r="B28"/>
  <c r="C28"/>
  <c r="U28"/>
  <c r="A29"/>
  <c r="B29"/>
  <c r="C29"/>
  <c r="U29"/>
  <c r="A4" i="124"/>
  <c r="A5"/>
  <c r="A4" i="105"/>
  <c r="A5"/>
  <c r="AX37" i="8"/>
  <c r="AX11"/>
  <c r="AZ10"/>
  <c r="AZ11"/>
  <c r="AX10"/>
  <c r="AX9"/>
  <c r="AX8"/>
  <c r="AZ7"/>
  <c r="AZ8"/>
  <c r="AX7"/>
  <c r="AX6"/>
  <c r="AX5"/>
  <c r="AZ4"/>
  <c r="AZ5"/>
  <c r="AX4"/>
  <c r="BA4"/>
  <c r="BA5"/>
  <c r="BB4"/>
  <c r="BB5"/>
  <c r="BC4"/>
  <c r="BC5"/>
  <c r="BD4"/>
  <c r="BD5"/>
  <c r="BE4"/>
  <c r="BE5"/>
  <c r="BF4"/>
  <c r="BF5"/>
  <c r="BG4"/>
  <c r="BG5"/>
  <c r="BH4"/>
  <c r="BH5"/>
  <c r="BI4"/>
  <c r="BI5"/>
  <c r="BJ4"/>
  <c r="BJ5"/>
  <c r="C9" i="2"/>
  <c r="C6" i="124" s="1"/>
  <c r="AU1" i="4"/>
  <c r="AX1"/>
  <c r="AY1"/>
  <c r="AZ1"/>
  <c r="BA1"/>
  <c r="AF8" i="168"/>
  <c r="AV18"/>
  <c r="AS18"/>
  <c r="AP18"/>
  <c r="AM18"/>
  <c r="BF2" i="4"/>
  <c r="A6" i="124"/>
  <c r="AJ3" i="4"/>
  <c r="AI4"/>
  <c r="AI5"/>
  <c r="AI6"/>
  <c r="AI7"/>
  <c r="AI8"/>
  <c r="AI9"/>
  <c r="AI10"/>
  <c r="AI11"/>
  <c r="AI12"/>
  <c r="AI13"/>
  <c r="AI14"/>
  <c r="AX14" i="8"/>
  <c r="AX15"/>
  <c r="AX16"/>
  <c r="AX17"/>
  <c r="AX18"/>
  <c r="AX19"/>
  <c r="AX20"/>
  <c r="AX21"/>
  <c r="AX22"/>
  <c r="AX23"/>
  <c r="AX29"/>
  <c r="AX31"/>
  <c r="AX33"/>
  <c r="AX13"/>
  <c r="AT1" i="4"/>
  <c r="AZ22" i="8"/>
  <c r="AZ23"/>
  <c r="AZ19"/>
  <c r="AZ20"/>
  <c r="AZ16"/>
  <c r="BA16"/>
  <c r="AZ13"/>
  <c r="AZ14"/>
  <c r="BA13"/>
  <c r="BB13"/>
  <c r="BA19"/>
  <c r="BB19"/>
  <c r="BB20"/>
  <c r="U19" i="170"/>
  <c r="C19"/>
  <c r="A19"/>
  <c r="U11"/>
  <c r="B9"/>
  <c r="A9"/>
  <c r="Z7"/>
  <c r="A2"/>
  <c r="B1"/>
  <c r="D2" i="4"/>
  <c r="C9" i="16"/>
  <c r="C10"/>
  <c r="C11"/>
  <c r="C12"/>
  <c r="C13"/>
  <c r="C14"/>
  <c r="C15"/>
  <c r="C16"/>
  <c r="C17"/>
  <c r="C18"/>
  <c r="C8"/>
  <c r="H2" i="4"/>
  <c r="H4"/>
  <c r="H5"/>
  <c r="H6"/>
  <c r="H7"/>
  <c r="H8"/>
  <c r="H9"/>
  <c r="H10"/>
  <c r="H11"/>
  <c r="H12"/>
  <c r="B13" i="2"/>
  <c r="B19" i="109"/>
  <c r="X2" i="108"/>
  <c r="M2"/>
  <c r="B9" i="168"/>
  <c r="A9"/>
  <c r="Z7"/>
  <c r="E4" i="101"/>
  <c r="C4"/>
  <c r="B5"/>
  <c r="E5" s="1"/>
  <c r="C5"/>
  <c r="B6"/>
  <c r="E6" s="1"/>
  <c r="C6"/>
  <c r="B7"/>
  <c r="C7"/>
  <c r="B8"/>
  <c r="E8" s="1"/>
  <c r="C8"/>
  <c r="B9"/>
  <c r="C9"/>
  <c r="B10"/>
  <c r="E10" s="1"/>
  <c r="C10"/>
  <c r="B11"/>
  <c r="I11" s="1"/>
  <c r="C11"/>
  <c r="B12"/>
  <c r="C12"/>
  <c r="B13"/>
  <c r="I13" s="1"/>
  <c r="C13"/>
  <c r="B14"/>
  <c r="E14" s="1"/>
  <c r="C14"/>
  <c r="C29" i="168"/>
  <c r="B29"/>
  <c r="A29"/>
  <c r="C28"/>
  <c r="B28"/>
  <c r="A28"/>
  <c r="C27"/>
  <c r="B27"/>
  <c r="A27"/>
  <c r="C26"/>
  <c r="B26"/>
  <c r="A26"/>
  <c r="C25"/>
  <c r="B25"/>
  <c r="A25"/>
  <c r="C24"/>
  <c r="B24"/>
  <c r="A24"/>
  <c r="C23"/>
  <c r="B23"/>
  <c r="A23"/>
  <c r="C22"/>
  <c r="B22"/>
  <c r="A22"/>
  <c r="C21"/>
  <c r="B21"/>
  <c r="A21"/>
  <c r="C20"/>
  <c r="B20"/>
  <c r="A20"/>
  <c r="B19"/>
  <c r="C19"/>
  <c r="B1"/>
  <c r="A2"/>
  <c r="A19"/>
  <c r="U29"/>
  <c r="U28"/>
  <c r="U27"/>
  <c r="U26"/>
  <c r="U25"/>
  <c r="U24"/>
  <c r="U23"/>
  <c r="U22"/>
  <c r="U21"/>
  <c r="U20"/>
  <c r="U19"/>
  <c r="U11"/>
  <c r="I4" i="101"/>
  <c r="B6" i="5"/>
  <c r="S6" i="16" s="1"/>
  <c r="B7" i="5"/>
  <c r="D6" i="26" s="1"/>
  <c r="B8" i="5"/>
  <c r="R3" i="6"/>
  <c r="Q3"/>
  <c r="S3"/>
  <c r="B69" i="5"/>
  <c r="H3" i="26"/>
  <c r="O4" i="4"/>
  <c r="A3" i="105"/>
  <c r="A2"/>
  <c r="A3" i="124"/>
  <c r="A2"/>
  <c r="H5" i="6"/>
  <c r="M5" s="1"/>
  <c r="L5"/>
  <c r="J5"/>
  <c r="I5"/>
  <c r="E5"/>
  <c r="D5"/>
  <c r="C5"/>
  <c r="B5"/>
  <c r="J4"/>
  <c r="I4"/>
  <c r="H4"/>
  <c r="G4"/>
  <c r="F4"/>
  <c r="E4"/>
  <c r="D4"/>
  <c r="C4"/>
  <c r="B4"/>
  <c r="P3"/>
  <c r="X9" i="107"/>
  <c r="A17" i="88"/>
  <c r="AI17" s="1"/>
  <c r="O17"/>
  <c r="AH16"/>
  <c r="AG16"/>
  <c r="AF16"/>
  <c r="M15"/>
  <c r="AQ11"/>
  <c r="AP11"/>
  <c r="AO11"/>
  <c r="AN11"/>
  <c r="A11"/>
  <c r="AQ10"/>
  <c r="AP10"/>
  <c r="AO10"/>
  <c r="AN10"/>
  <c r="A10"/>
  <c r="A9"/>
  <c r="R8"/>
  <c r="Q8"/>
  <c r="P8"/>
  <c r="A8"/>
  <c r="A2"/>
  <c r="S32" i="2"/>
  <c r="B5" i="109"/>
  <c r="B2" i="16"/>
  <c r="B1"/>
  <c r="C3" i="101"/>
  <c r="L5" i="100"/>
  <c r="AK18" i="2"/>
  <c r="AJ18"/>
  <c r="AI18"/>
  <c r="AH18"/>
  <c r="AG18"/>
  <c r="AF18"/>
  <c r="AE18"/>
  <c r="AD18"/>
  <c r="AC18"/>
  <c r="B49"/>
  <c r="C49" s="1"/>
  <c r="B30" i="109"/>
  <c r="B29"/>
  <c r="P12" i="4"/>
  <c r="B28" i="109"/>
  <c r="P11" i="4"/>
  <c r="B27" i="109"/>
  <c r="P10" i="4"/>
  <c r="B26" i="109"/>
  <c r="P9" i="4"/>
  <c r="B25" i="109"/>
  <c r="P8" i="4"/>
  <c r="B24" i="109"/>
  <c r="P7" i="4"/>
  <c r="B23" i="109"/>
  <c r="P6" i="4"/>
  <c r="B22" i="109"/>
  <c r="P5" i="4"/>
  <c r="B21" i="109"/>
  <c r="P4" i="4"/>
  <c r="B20" i="109"/>
  <c r="D2" i="108"/>
  <c r="B68" i="5"/>
  <c r="C68" s="1"/>
  <c r="Q33" i="2"/>
  <c r="C57"/>
  <c r="B58"/>
  <c r="U33"/>
  <c r="T33"/>
  <c r="S33"/>
  <c r="P33"/>
  <c r="O33"/>
  <c r="N33"/>
  <c r="M33"/>
  <c r="L33"/>
  <c r="I33"/>
  <c r="G33"/>
  <c r="F33"/>
  <c r="D33"/>
  <c r="U31"/>
  <c r="T31"/>
  <c r="S31"/>
  <c r="R31"/>
  <c r="Q31"/>
  <c r="P31"/>
  <c r="O31"/>
  <c r="N31"/>
  <c r="M31"/>
  <c r="L31"/>
  <c r="K31"/>
  <c r="J31"/>
  <c r="I31"/>
  <c r="H31"/>
  <c r="G31"/>
  <c r="F31"/>
  <c r="E31"/>
  <c r="D31"/>
  <c r="B11"/>
  <c r="H1" i="168"/>
  <c r="H1" i="170"/>
  <c r="Q32" i="2"/>
  <c r="F32"/>
  <c r="I32"/>
  <c r="J32"/>
  <c r="R32"/>
  <c r="N32"/>
  <c r="M32"/>
  <c r="U32"/>
  <c r="G32"/>
  <c r="P32"/>
  <c r="O32"/>
  <c r="D32"/>
  <c r="L32"/>
  <c r="T32"/>
  <c r="T3" i="6"/>
  <c r="G5"/>
  <c r="R33" i="2"/>
  <c r="J33"/>
  <c r="U3" i="6"/>
  <c r="R9" i="100"/>
  <c r="W9"/>
  <c r="P9"/>
  <c r="N9"/>
  <c r="T9"/>
  <c r="V9"/>
  <c r="H33" i="2"/>
  <c r="K33"/>
  <c r="K32"/>
  <c r="H32"/>
  <c r="V3" i="6"/>
  <c r="W3"/>
  <c r="X3"/>
  <c r="Y3"/>
  <c r="Z3"/>
  <c r="AA3"/>
  <c r="M9" i="100"/>
  <c r="S9"/>
  <c r="U9"/>
  <c r="Q9"/>
  <c r="O9"/>
  <c r="S9" i="170"/>
  <c r="S8"/>
  <c r="S7"/>
  <c r="S6"/>
  <c r="G57" i="194"/>
  <c r="H57"/>
  <c r="F57"/>
  <c r="C57"/>
  <c r="D57"/>
  <c r="B57" s="1"/>
  <c r="L57"/>
  <c r="J57" s="1"/>
  <c r="K57"/>
  <c r="D53"/>
  <c r="B53" s="1"/>
  <c r="C53"/>
  <c r="H53"/>
  <c r="F53" s="1"/>
  <c r="G53"/>
  <c r="K53"/>
  <c r="L53"/>
  <c r="J53" s="1"/>
  <c r="C54"/>
  <c r="D54"/>
  <c r="B54" s="1"/>
  <c r="H54"/>
  <c r="F54"/>
  <c r="G54"/>
  <c r="L54"/>
  <c r="J54" s="1"/>
  <c r="K54"/>
  <c r="D55"/>
  <c r="B55"/>
  <c r="C55"/>
  <c r="H55"/>
  <c r="F55" s="1"/>
  <c r="G55"/>
  <c r="L55"/>
  <c r="J55"/>
  <c r="K55"/>
  <c r="H56"/>
  <c r="F56" s="1"/>
  <c r="G56"/>
  <c r="L56"/>
  <c r="J56" s="1"/>
  <c r="K56"/>
  <c r="C56"/>
  <c r="D56"/>
  <c r="B56" s="1"/>
  <c r="L7" i="6"/>
  <c r="M37"/>
  <c r="L37"/>
  <c r="K37"/>
  <c r="K21"/>
  <c r="F41" i="27"/>
  <c r="L26" i="6"/>
  <c r="M38"/>
  <c r="L38"/>
  <c r="K38"/>
  <c r="J2" i="4"/>
  <c r="AN19"/>
  <c r="BA20" i="8"/>
  <c r="BA7"/>
  <c r="BA8"/>
  <c r="BA22"/>
  <c r="BA23"/>
  <c r="BA10"/>
  <c r="BC13"/>
  <c r="BB14"/>
  <c r="BA14"/>
  <c r="BC19"/>
  <c r="BB22"/>
  <c r="BB28"/>
  <c r="BA32"/>
  <c r="BB32"/>
  <c r="BB33"/>
  <c r="BA33"/>
  <c r="BC33"/>
  <c r="BD33"/>
  <c r="BE33"/>
  <c r="BF33"/>
  <c r="BG33"/>
  <c r="BH33"/>
  <c r="BI33"/>
  <c r="BJ33"/>
  <c r="BB16"/>
  <c r="BA17"/>
  <c r="BA41"/>
  <c r="BB40"/>
  <c r="BB36"/>
  <c r="BA37"/>
  <c r="AZ17"/>
  <c r="BB17"/>
  <c r="BC17"/>
  <c r="BD17"/>
  <c r="BE17"/>
  <c r="BF17"/>
  <c r="BG17"/>
  <c r="BH17"/>
  <c r="BI17"/>
  <c r="BJ17"/>
  <c r="AZ41"/>
  <c r="AZ37"/>
  <c r="K4" i="219"/>
  <c r="D70" i="26"/>
  <c r="D17" i="5"/>
  <c r="D57" i="26"/>
  <c r="C1" i="168"/>
  <c r="C37" i="5"/>
  <c r="F50" i="26" s="1"/>
  <c r="F53" i="27" s="1"/>
  <c r="F66" i="88"/>
  <c r="C46"/>
  <c r="F50"/>
  <c r="C81" i="5"/>
  <c r="F22" i="26"/>
  <c r="Q1" i="168"/>
  <c r="V23" i="216"/>
  <c r="W23" s="1"/>
  <c r="C13" i="5"/>
  <c r="F26" i="26" s="1"/>
  <c r="F29" i="27" s="1"/>
  <c r="S23" i="109"/>
  <c r="D31" i="26"/>
  <c r="E31" s="1"/>
  <c r="P33" i="7"/>
  <c r="U2" i="4"/>
  <c r="V28" i="216"/>
  <c r="C51" i="88"/>
  <c r="J1" i="170"/>
  <c r="V29" i="216"/>
  <c r="R1" i="168"/>
  <c r="C50" i="5"/>
  <c r="F63" i="26" s="1"/>
  <c r="F66" i="27" s="1"/>
  <c r="M7" i="6"/>
  <c r="N46" i="7"/>
  <c r="C33" i="88"/>
  <c r="E33" s="1"/>
  <c r="AD33" s="1"/>
  <c r="D36" i="5"/>
  <c r="L1" i="168"/>
  <c r="R46" i="7"/>
  <c r="F42" i="88"/>
  <c r="S46" i="7"/>
  <c r="C51" i="5"/>
  <c r="F64" i="26" s="1"/>
  <c r="F67" i="27" s="1"/>
  <c r="D49" i="26"/>
  <c r="D43"/>
  <c r="D46" i="27" s="1"/>
  <c r="E43" i="26"/>
  <c r="E46" i="27" s="1"/>
  <c r="D44" i="5"/>
  <c r="S24" i="7"/>
  <c r="Q46"/>
  <c r="N24"/>
  <c r="D25" i="27"/>
  <c r="C30" i="5"/>
  <c r="F43" i="26" s="1"/>
  <c r="F46" i="27" s="1"/>
  <c r="F25" i="88"/>
  <c r="C42"/>
  <c r="F55"/>
  <c r="S28" i="109"/>
  <c r="U28" s="1"/>
  <c r="B58" i="124"/>
  <c r="D69" i="26"/>
  <c r="E69" s="1"/>
  <c r="D56" i="5"/>
  <c r="D32"/>
  <c r="C24"/>
  <c r="F37" i="26" s="1"/>
  <c r="F40" i="27" s="1"/>
  <c r="D24" i="5"/>
  <c r="D37" i="26"/>
  <c r="O12" i="7"/>
  <c r="K12"/>
  <c r="B42" i="124"/>
  <c r="F26" i="88"/>
  <c r="C11" i="211"/>
  <c r="D54" i="26"/>
  <c r="D57" i="27" s="1"/>
  <c r="D49" i="5"/>
  <c r="D41"/>
  <c r="D25"/>
  <c r="N21" i="7"/>
  <c r="D26" i="26"/>
  <c r="D62"/>
  <c r="E62" s="1"/>
  <c r="E65" i="27" s="1"/>
  <c r="D48" i="26"/>
  <c r="D51" i="5"/>
  <c r="D35"/>
  <c r="B29" i="124"/>
  <c r="Q21" i="7"/>
  <c r="AB26" i="170"/>
  <c r="AB21"/>
  <c r="W15" i="26"/>
  <c r="AB28" i="170"/>
  <c r="C76" i="5"/>
  <c r="F17" i="26" s="1"/>
  <c r="F20" i="27" s="1"/>
  <c r="D17" i="26"/>
  <c r="E17" s="1"/>
  <c r="E20" i="27" s="1"/>
  <c r="K5" i="6"/>
  <c r="E7" i="101"/>
  <c r="I7"/>
  <c r="BF14" i="4"/>
  <c r="BF3"/>
  <c r="O1" i="170"/>
  <c r="O1" i="168"/>
  <c r="E50" i="88"/>
  <c r="AD50" s="1"/>
  <c r="F51"/>
  <c r="F43"/>
  <c r="F27"/>
  <c r="C36"/>
  <c r="E36" s="1"/>
  <c r="AD36" s="1"/>
  <c r="F36"/>
  <c r="C20"/>
  <c r="F30"/>
  <c r="F22"/>
  <c r="AN11" i="4"/>
  <c r="AE19" i="170"/>
  <c r="F21" i="88"/>
  <c r="Q26" i="7"/>
  <c r="J26"/>
  <c r="R33"/>
  <c r="J33"/>
  <c r="S33"/>
  <c r="K33"/>
  <c r="T33"/>
  <c r="L33"/>
  <c r="U33"/>
  <c r="M33"/>
  <c r="O33"/>
  <c r="Q33"/>
  <c r="U21"/>
  <c r="L21"/>
  <c r="F1" i="216"/>
  <c r="B10" s="1"/>
  <c r="AG19" i="2"/>
  <c r="T19"/>
  <c r="G19"/>
  <c r="N19"/>
  <c r="AF19"/>
  <c r="R19"/>
  <c r="BA11" i="8"/>
  <c r="BB10"/>
  <c r="BB7"/>
  <c r="BC28"/>
  <c r="BC32"/>
  <c r="BB23"/>
  <c r="BC22"/>
  <c r="BC20"/>
  <c r="BD19"/>
  <c r="BC14"/>
  <c r="BD13"/>
  <c r="BC16"/>
  <c r="BC40"/>
  <c r="BB41"/>
  <c r="BC7"/>
  <c r="BB8"/>
  <c r="BC36"/>
  <c r="BB37"/>
  <c r="BD32"/>
  <c r="AG31" i="6"/>
  <c r="AA32" i="219" s="1"/>
  <c r="K5"/>
  <c r="L4"/>
  <c r="E18" i="26"/>
  <c r="D21" i="27"/>
  <c r="BD28" i="8"/>
  <c r="BE28"/>
  <c r="BB11"/>
  <c r="BC10"/>
  <c r="BC23"/>
  <c r="BD22"/>
  <c r="BE13"/>
  <c r="BD14"/>
  <c r="BD20"/>
  <c r="BE19"/>
  <c r="BD16"/>
  <c r="BE32"/>
  <c r="BC41"/>
  <c r="BD40"/>
  <c r="BC37"/>
  <c r="BD36"/>
  <c r="BD7"/>
  <c r="BC8"/>
  <c r="AD29" i="6"/>
  <c r="X30" i="219" s="1"/>
  <c r="AE29" i="6"/>
  <c r="AG18"/>
  <c r="AA19" i="219" s="1"/>
  <c r="AJ45" i="6"/>
  <c r="W42" i="8" s="1"/>
  <c r="AE54" i="6"/>
  <c r="AH55"/>
  <c r="AF28"/>
  <c r="Z29" i="219" s="1"/>
  <c r="AI28" i="6"/>
  <c r="AD15"/>
  <c r="X16" i="219" s="1"/>
  <c r="AK19" i="6"/>
  <c r="AE20" i="219" s="1"/>
  <c r="AH19" i="6"/>
  <c r="U16" i="8" s="1"/>
  <c r="AE19" i="6"/>
  <c r="R16" i="8" s="1"/>
  <c r="AD40" i="6"/>
  <c r="X41" i="219" s="1"/>
  <c r="AF14" i="6"/>
  <c r="AF26" i="88" s="1"/>
  <c r="AJ13" i="6"/>
  <c r="W10" i="8" s="1"/>
  <c r="AF9" i="6"/>
  <c r="S6" i="8" s="1"/>
  <c r="AE9" i="6"/>
  <c r="AD49"/>
  <c r="X50" i="219" s="1"/>
  <c r="AK49" i="6"/>
  <c r="AG49"/>
  <c r="AH49"/>
  <c r="AI36"/>
  <c r="V33" i="8" s="1"/>
  <c r="AJ36" i="6"/>
  <c r="AD37" i="219" s="1"/>
  <c r="AI16" i="6"/>
  <c r="AC17" i="219" s="1"/>
  <c r="AG16" i="6"/>
  <c r="AE23"/>
  <c r="Y24" i="219" s="1"/>
  <c r="AF23" i="6"/>
  <c r="AG50"/>
  <c r="AA51" i="219" s="1"/>
  <c r="AH50" i="6"/>
  <c r="AF50"/>
  <c r="Z51" i="219" s="1"/>
  <c r="AG17" i="6"/>
  <c r="AI17"/>
  <c r="V14" i="8" s="1"/>
  <c r="AJ17" i="6"/>
  <c r="W14" i="8" s="1"/>
  <c r="AH17" i="6"/>
  <c r="AI11"/>
  <c r="V8" i="8" s="1"/>
  <c r="AH11" i="6"/>
  <c r="AB12" i="219" s="1"/>
  <c r="AJ22" i="6"/>
  <c r="AE41"/>
  <c r="Y42" i="219" s="1"/>
  <c r="AI41" i="6"/>
  <c r="AC42" i="219" s="1"/>
  <c r="AK41" i="6"/>
  <c r="AE42" i="219" s="1"/>
  <c r="AG20" i="6"/>
  <c r="L5" i="219"/>
  <c r="M4"/>
  <c r="D2" i="212"/>
  <c r="AI10" i="6"/>
  <c r="AC11" i="219" s="1"/>
  <c r="AE55" i="6"/>
  <c r="Y56" i="219" s="1"/>
  <c r="AI55" i="6"/>
  <c r="AC56" i="219" s="1"/>
  <c r="AC12"/>
  <c r="AD55" i="6"/>
  <c r="X56" i="219" s="1"/>
  <c r="AI25" i="6"/>
  <c r="AC26" i="219" s="1"/>
  <c r="AE18" i="6"/>
  <c r="BC11" i="8"/>
  <c r="BD10"/>
  <c r="BE14"/>
  <c r="BF13"/>
  <c r="BE22"/>
  <c r="BD23"/>
  <c r="BF19"/>
  <c r="BE20"/>
  <c r="BF20"/>
  <c r="BG20"/>
  <c r="BH20"/>
  <c r="BI20"/>
  <c r="BJ20"/>
  <c r="BF28"/>
  <c r="BE36"/>
  <c r="BD37"/>
  <c r="BD8"/>
  <c r="BE7"/>
  <c r="BE40"/>
  <c r="BD41"/>
  <c r="BE16"/>
  <c r="BF32"/>
  <c r="M5" i="219"/>
  <c r="N4"/>
  <c r="D2" i="214"/>
  <c r="BE10" i="8"/>
  <c r="BD11"/>
  <c r="BG13"/>
  <c r="BF14"/>
  <c r="BG14"/>
  <c r="BH14"/>
  <c r="BI14"/>
  <c r="BJ14"/>
  <c r="BG19"/>
  <c r="BE23"/>
  <c r="BF22"/>
  <c r="BE8"/>
  <c r="BF7"/>
  <c r="BE41"/>
  <c r="BF40"/>
  <c r="BG28"/>
  <c r="BF16"/>
  <c r="BG32"/>
  <c r="BF36"/>
  <c r="BE37"/>
  <c r="N5" i="219"/>
  <c r="O4"/>
  <c r="AF49" i="6"/>
  <c r="BE11" i="8"/>
  <c r="BF10"/>
  <c r="BH13"/>
  <c r="BH19"/>
  <c r="BG22"/>
  <c r="BF23"/>
  <c r="BG7"/>
  <c r="BF8"/>
  <c r="BG36"/>
  <c r="BF37"/>
  <c r="BG40"/>
  <c r="BF41"/>
  <c r="BH32"/>
  <c r="BG16"/>
  <c r="BH28"/>
  <c r="O5" i="219"/>
  <c r="P4"/>
  <c r="AK45" i="6"/>
  <c r="BF11" i="8"/>
  <c r="BG10"/>
  <c r="BI13"/>
  <c r="BH22"/>
  <c r="BG23"/>
  <c r="BI19"/>
  <c r="BI32"/>
  <c r="BG37"/>
  <c r="BH36"/>
  <c r="BH40"/>
  <c r="BG41"/>
  <c r="BH7"/>
  <c r="BG8"/>
  <c r="BI28"/>
  <c r="BH16"/>
  <c r="P5" i="219"/>
  <c r="Q4"/>
  <c r="BH10" i="8"/>
  <c r="BG11"/>
  <c r="BH11"/>
  <c r="BI11"/>
  <c r="BJ11"/>
  <c r="BI22"/>
  <c r="BH23"/>
  <c r="BJ13"/>
  <c r="BJ19"/>
  <c r="BJ28"/>
  <c r="BH8"/>
  <c r="BI7"/>
  <c r="BI16"/>
  <c r="BI36"/>
  <c r="BH37"/>
  <c r="BI40"/>
  <c r="BH41"/>
  <c r="BJ32"/>
  <c r="Q5" i="219"/>
  <c r="R4"/>
  <c r="BI10" i="8"/>
  <c r="BI23"/>
  <c r="BJ23"/>
  <c r="BJ22"/>
  <c r="BI41"/>
  <c r="BJ40"/>
  <c r="BJ41"/>
  <c r="BI8"/>
  <c r="BJ7"/>
  <c r="BJ8"/>
  <c r="BJ36"/>
  <c r="BJ37"/>
  <c r="BI37"/>
  <c r="BJ16"/>
  <c r="R5" i="219"/>
  <c r="S4"/>
  <c r="AE36" i="6"/>
  <c r="Y37" i="219" s="1"/>
  <c r="AH36" i="6"/>
  <c r="AB37" i="219" s="1"/>
  <c r="BJ10" i="8"/>
  <c r="S5" i="219"/>
  <c r="T4"/>
  <c r="T5"/>
  <c r="U4"/>
  <c r="U5"/>
  <c r="V4"/>
  <c r="W4"/>
  <c r="X4"/>
  <c r="Y4"/>
  <c r="Z4"/>
  <c r="AG11" i="6"/>
  <c r="AA4" i="219"/>
  <c r="AB4"/>
  <c r="AC4"/>
  <c r="AD4"/>
  <c r="AE4"/>
  <c r="B1" i="211"/>
  <c r="AJ19" i="2"/>
  <c r="L20"/>
  <c r="L2" i="170" s="1"/>
  <c r="AK19" i="2"/>
  <c r="AA20"/>
  <c r="B7" i="121" s="1"/>
  <c r="AE19" i="2"/>
  <c r="L19"/>
  <c r="Z19"/>
  <c r="O20"/>
  <c r="F2" i="216"/>
  <c r="W5" i="110"/>
  <c r="AB19" i="170"/>
  <c r="AB22"/>
  <c r="AB25"/>
  <c r="AB29"/>
  <c r="AB27"/>
  <c r="BG2" i="8"/>
  <c r="BC2"/>
  <c r="E4" i="4"/>
  <c r="G2" i="109"/>
  <c r="W4" i="110" s="1"/>
  <c r="G2" i="216"/>
  <c r="O4" i="218" s="1"/>
  <c r="B5"/>
  <c r="V20" i="2"/>
  <c r="B2" i="170"/>
  <c r="Q20" i="2"/>
  <c r="Q19"/>
  <c r="J19"/>
  <c r="AF20"/>
  <c r="C19"/>
  <c r="AI19"/>
  <c r="I19"/>
  <c r="AH19"/>
  <c r="S20"/>
  <c r="S2" i="168" s="1"/>
  <c r="B2"/>
  <c r="N20" i="2"/>
  <c r="N2" i="170" s="1"/>
  <c r="T20" i="2"/>
  <c r="T2" i="168" s="1"/>
  <c r="F19" i="2"/>
  <c r="W20"/>
  <c r="U20"/>
  <c r="U2" i="170" s="1"/>
  <c r="AJ20" i="2"/>
  <c r="AH20"/>
  <c r="K19"/>
  <c r="D19"/>
  <c r="U19"/>
  <c r="E19"/>
  <c r="O19"/>
  <c r="AK20"/>
  <c r="AE20"/>
  <c r="K20"/>
  <c r="AG20"/>
  <c r="S19"/>
  <c r="AI20"/>
  <c r="W19"/>
  <c r="H19"/>
  <c r="J20"/>
  <c r="J2" i="168" s="1"/>
  <c r="D20" i="2"/>
  <c r="F20"/>
  <c r="F2" i="170" s="1"/>
  <c r="V19" i="2"/>
  <c r="H20"/>
  <c r="H2" i="170" s="1"/>
  <c r="Z20" i="2"/>
  <c r="B8" i="121" s="1"/>
  <c r="C20" i="2"/>
  <c r="C2" i="170" s="1"/>
  <c r="M20" i="2"/>
  <c r="M2" i="170" s="1"/>
  <c r="AA19" i="2"/>
  <c r="M19"/>
  <c r="P20"/>
  <c r="P2" i="168" s="1"/>
  <c r="B17" s="1"/>
  <c r="G20" i="2"/>
  <c r="I20"/>
  <c r="R20"/>
  <c r="R2" i="168" s="1"/>
  <c r="AO3" i="4"/>
  <c r="AO25"/>
  <c r="D19" i="26"/>
  <c r="C78" i="5"/>
  <c r="F19" i="26" s="1"/>
  <c r="F22" i="27" s="1"/>
  <c r="C37" i="88"/>
  <c r="F37"/>
  <c r="P38" i="7"/>
  <c r="AH16" i="6"/>
  <c r="AH28" i="88" s="1"/>
  <c r="C47"/>
  <c r="F47"/>
  <c r="E42"/>
  <c r="AD42" s="1"/>
  <c r="D72" i="26"/>
  <c r="E22" i="168"/>
  <c r="E22" i="170"/>
  <c r="C18" i="211"/>
  <c r="C10"/>
  <c r="D56" i="27"/>
  <c r="D31" i="5"/>
  <c r="C31"/>
  <c r="F44" i="26" s="1"/>
  <c r="F47" i="27" s="1"/>
  <c r="AE28" i="170"/>
  <c r="B11" i="124"/>
  <c r="E26" i="88"/>
  <c r="AD26" s="1"/>
  <c r="U24" i="7"/>
  <c r="K24"/>
  <c r="O24"/>
  <c r="T24"/>
  <c r="L24"/>
  <c r="J24"/>
  <c r="M24"/>
  <c r="T51"/>
  <c r="D29" i="27"/>
  <c r="E26" i="26"/>
  <c r="AX40" i="8"/>
  <c r="AS1" s="1"/>
  <c r="AK1" s="1"/>
  <c r="F28" i="88"/>
  <c r="B40" i="105"/>
  <c r="B12" i="124"/>
  <c r="D58" i="26"/>
  <c r="E58" s="1"/>
  <c r="E61" i="27" s="1"/>
  <c r="D45" i="5"/>
  <c r="C45"/>
  <c r="F58" i="26" s="1"/>
  <c r="F61" i="27" s="1"/>
  <c r="AE24" i="170"/>
  <c r="AE26"/>
  <c r="AE22"/>
  <c r="AE20"/>
  <c r="AE23"/>
  <c r="B5" i="110"/>
  <c r="B40" i="124"/>
  <c r="C29" i="88"/>
  <c r="Q12" i="7"/>
  <c r="U12"/>
  <c r="T12"/>
  <c r="N12"/>
  <c r="J12"/>
  <c r="S12"/>
  <c r="R12"/>
  <c r="P12"/>
  <c r="M12"/>
  <c r="D55" i="26"/>
  <c r="D42" i="5"/>
  <c r="C42"/>
  <c r="F55" i="26" s="1"/>
  <c r="F58" i="27" s="1"/>
  <c r="AE30" i="170"/>
  <c r="D61" i="26"/>
  <c r="AE27" i="170"/>
  <c r="AE29"/>
  <c r="D48" i="5"/>
  <c r="B33" i="124"/>
  <c r="F49" i="88"/>
  <c r="C49"/>
  <c r="C53" i="5"/>
  <c r="F66" i="26" s="1"/>
  <c r="F69" i="27" s="1"/>
  <c r="D53" i="5"/>
  <c r="AO6" i="16"/>
  <c r="D7" i="26"/>
  <c r="D10" i="27" s="1"/>
  <c r="I5" i="101"/>
  <c r="B58" i="105"/>
  <c r="B59" i="124"/>
  <c r="B25"/>
  <c r="C21" i="5"/>
  <c r="F34" i="26" s="1"/>
  <c r="F37" i="27" s="1"/>
  <c r="D34" i="26"/>
  <c r="D37" i="27" s="1"/>
  <c r="D21" i="5"/>
  <c r="B15" i="124"/>
  <c r="R24" i="7"/>
  <c r="AE25" i="170"/>
  <c r="D66" i="26"/>
  <c r="P24" i="7"/>
  <c r="B42" i="105"/>
  <c r="C32" i="5"/>
  <c r="F45" i="26" s="1"/>
  <c r="F48" i="27" s="1"/>
  <c r="C27" i="5"/>
  <c r="F40" i="26" s="1"/>
  <c r="F43" i="27" s="1"/>
  <c r="D40" i="26"/>
  <c r="D27" i="5"/>
  <c r="E12" i="4"/>
  <c r="E28" i="168" s="1"/>
  <c r="E7" i="4"/>
  <c r="E15"/>
  <c r="E11"/>
  <c r="E27" i="168" s="1"/>
  <c r="E8" i="4"/>
  <c r="E24" i="170" s="1"/>
  <c r="E11" i="101"/>
  <c r="S22" i="109"/>
  <c r="T22" s="1"/>
  <c r="S29"/>
  <c r="U29" s="1"/>
  <c r="S21"/>
  <c r="T21" s="1"/>
  <c r="S20"/>
  <c r="K26" i="6"/>
  <c r="M26"/>
  <c r="D63" i="26"/>
  <c r="E63" s="1"/>
  <c r="G63" s="1"/>
  <c r="D50" i="5"/>
  <c r="N1" i="168"/>
  <c r="S27" i="7"/>
  <c r="D75" i="26"/>
  <c r="D78" i="27" s="1"/>
  <c r="C62" i="5"/>
  <c r="F75" i="26" s="1"/>
  <c r="F78" i="27" s="1"/>
  <c r="D62" i="5"/>
  <c r="E12" i="101"/>
  <c r="I12"/>
  <c r="D51" i="26"/>
  <c r="E51" s="1"/>
  <c r="E54" i="27" s="1"/>
  <c r="C38" i="5"/>
  <c r="F51" i="26" s="1"/>
  <c r="F54" i="27" s="1"/>
  <c r="D38" i="5"/>
  <c r="Q43" i="124"/>
  <c r="Q49"/>
  <c r="R49"/>
  <c r="Q20"/>
  <c r="R55"/>
  <c r="Q21"/>
  <c r="Q39"/>
  <c r="R39"/>
  <c r="Q33"/>
  <c r="R58"/>
  <c r="R52"/>
  <c r="R41"/>
  <c r="Q41"/>
  <c r="Q24"/>
  <c r="Q46"/>
  <c r="Q36"/>
  <c r="R13"/>
  <c r="Q16"/>
  <c r="R54"/>
  <c r="D2" i="170"/>
  <c r="B3" s="1"/>
  <c r="D2" i="168"/>
  <c r="B3" s="1"/>
  <c r="H2"/>
  <c r="T2" i="170"/>
  <c r="M2" i="168"/>
  <c r="F2"/>
  <c r="Q18"/>
  <c r="G2"/>
  <c r="G2" i="170"/>
  <c r="D61" i="27"/>
  <c r="D48"/>
  <c r="E45" i="26"/>
  <c r="E48" i="27" s="1"/>
  <c r="E24" i="168"/>
  <c r="E34" i="26"/>
  <c r="E37" i="27" s="1"/>
  <c r="E27" i="170"/>
  <c r="AC45" i="6"/>
  <c r="P42" i="8" s="1"/>
  <c r="AC35" i="6"/>
  <c r="P32" i="8" s="1"/>
  <c r="R43" i="124"/>
  <c r="R48"/>
  <c r="AC11" i="6"/>
  <c r="P8" i="8" s="1"/>
  <c r="AC55" i="6"/>
  <c r="W56" i="219" s="1"/>
  <c r="AC8" i="6"/>
  <c r="AC49"/>
  <c r="P46" i="8" s="1"/>
  <c r="AC50" i="6"/>
  <c r="W51" i="219" s="1"/>
  <c r="R10" i="168"/>
  <c r="E26" i="211"/>
  <c r="R9" i="168"/>
  <c r="R6"/>
  <c r="R8"/>
  <c r="R7"/>
  <c r="B54" i="211"/>
  <c r="E22"/>
  <c r="AW15" i="168"/>
  <c r="K41" i="121"/>
  <c r="B52" i="211"/>
  <c r="E24"/>
  <c r="E41" i="121"/>
  <c r="H41"/>
  <c r="B53" i="211"/>
  <c r="E23"/>
  <c r="B51"/>
  <c r="B41" i="121"/>
  <c r="E25" i="211"/>
  <c r="H18" i="196"/>
  <c r="H13"/>
  <c r="I18"/>
  <c r="I13"/>
  <c r="J18"/>
  <c r="J13"/>
  <c r="H14"/>
  <c r="I14"/>
  <c r="J14"/>
  <c r="O15"/>
  <c r="O17"/>
  <c r="O10"/>
  <c r="O14"/>
  <c r="O13"/>
  <c r="P28"/>
  <c r="O16"/>
  <c r="P25"/>
  <c r="O11"/>
  <c r="R25"/>
  <c r="R27"/>
  <c r="P26"/>
  <c r="R28"/>
  <c r="O19"/>
  <c r="O12"/>
  <c r="N27"/>
  <c r="N26"/>
  <c r="O18"/>
  <c r="N25"/>
  <c r="P27"/>
  <c r="N28"/>
  <c r="N24"/>
  <c r="P24"/>
  <c r="O20"/>
  <c r="R24"/>
  <c r="R26"/>
  <c r="N16"/>
  <c r="N15"/>
  <c r="Q25"/>
  <c r="N14"/>
  <c r="O24"/>
  <c r="N10"/>
  <c r="N12"/>
  <c r="N18"/>
  <c r="M26"/>
  <c r="O28"/>
  <c r="Q26"/>
  <c r="O27"/>
  <c r="N17"/>
  <c r="M24"/>
  <c r="M27"/>
  <c r="O25"/>
  <c r="N19"/>
  <c r="N11"/>
  <c r="M28"/>
  <c r="O26"/>
  <c r="M25"/>
  <c r="Q27"/>
  <c r="N20"/>
  <c r="Q24"/>
  <c r="N13"/>
  <c r="Q28"/>
  <c r="G15" i="170"/>
  <c r="B51" i="105" l="1"/>
  <c r="B52" i="124"/>
  <c r="Q60"/>
  <c r="R60"/>
  <c r="Q11"/>
  <c r="R11"/>
  <c r="R42"/>
  <c r="Q42"/>
  <c r="E32" i="26"/>
  <c r="G32" s="1"/>
  <c r="D35" i="27"/>
  <c r="B56" i="124"/>
  <c r="B55" i="105"/>
  <c r="N21" i="88"/>
  <c r="Q56" i="124"/>
  <c r="R56"/>
  <c r="B38" i="105"/>
  <c r="B39" i="124"/>
  <c r="R38"/>
  <c r="Q38"/>
  <c r="D62" i="27"/>
  <c r="E59" i="26"/>
  <c r="E62" i="27" s="1"/>
  <c r="B35" i="105"/>
  <c r="B36" i="124"/>
  <c r="B50" i="105"/>
  <c r="B51" i="124"/>
  <c r="K30" i="6"/>
  <c r="E75" i="26"/>
  <c r="E78" i="27" s="1"/>
  <c r="Q59" i="124"/>
  <c r="F32" i="88"/>
  <c r="B53" i="105"/>
  <c r="AQ20" i="4"/>
  <c r="D20" s="1"/>
  <c r="D75" i="196" s="1"/>
  <c r="AO17" i="4"/>
  <c r="AK30" i="6"/>
  <c r="AO13" i="4"/>
  <c r="C18" i="5"/>
  <c r="F31" i="26" s="1"/>
  <c r="F34" i="27" s="1"/>
  <c r="P37" i="7"/>
  <c r="M1" i="170"/>
  <c r="AQ16" i="4"/>
  <c r="D16" s="1"/>
  <c r="AN21"/>
  <c r="P19" i="7"/>
  <c r="AQ13" i="4"/>
  <c r="D13" s="1"/>
  <c r="D68" i="196" s="1"/>
  <c r="S53" i="7"/>
  <c r="O53"/>
  <c r="M53"/>
  <c r="K42"/>
  <c r="K15" i="6"/>
  <c r="AF59" i="88"/>
  <c r="AF67"/>
  <c r="AJ53" i="6"/>
  <c r="AD54" i="219" s="1"/>
  <c r="AD53" i="6"/>
  <c r="X54" i="219" s="1"/>
  <c r="AG40" i="6"/>
  <c r="T37" i="8" s="1"/>
  <c r="AK36" i="6"/>
  <c r="AE37" i="219" s="1"/>
  <c r="AC36" i="6"/>
  <c r="W37" i="219" s="1"/>
  <c r="AE35" i="6"/>
  <c r="AK22"/>
  <c r="AJ16"/>
  <c r="W13" i="8" s="1"/>
  <c r="AF15" i="6"/>
  <c r="AF27" i="88" s="1"/>
  <c r="AK13" i="6"/>
  <c r="X10" i="8" s="1"/>
  <c r="B4" i="212"/>
  <c r="B10" s="1"/>
  <c r="C12" i="213" s="1"/>
  <c r="B12" s="1"/>
  <c r="P50" i="7"/>
  <c r="AK40" i="6"/>
  <c r="X37" i="8" s="1"/>
  <c r="D72" i="27"/>
  <c r="AC42" i="6"/>
  <c r="W43" i="219" s="1"/>
  <c r="D19" i="5"/>
  <c r="B47" i="105"/>
  <c r="D46" i="26"/>
  <c r="U51" i="7"/>
  <c r="AV8" i="8"/>
  <c r="AH22" i="6"/>
  <c r="U19" i="8" s="1"/>
  <c r="AF48" i="6"/>
  <c r="Z49" i="219" s="1"/>
  <c r="F60" i="88"/>
  <c r="B20" i="124"/>
  <c r="AC48" i="6"/>
  <c r="W49" i="219" s="1"/>
  <c r="AC30" i="6"/>
  <c r="P27" i="8" s="1"/>
  <c r="D54" i="27"/>
  <c r="M46" i="6"/>
  <c r="N65" i="88"/>
  <c r="C19" i="5"/>
  <c r="F32" i="26" s="1"/>
  <c r="F35" i="27" s="1"/>
  <c r="B24" i="124"/>
  <c r="F1" i="109"/>
  <c r="B9" s="1"/>
  <c r="R51" i="7"/>
  <c r="O51"/>
  <c r="J38"/>
  <c r="AO24" i="4"/>
  <c r="AD48" i="6"/>
  <c r="X49" i="219" s="1"/>
  <c r="AF22" i="6"/>
  <c r="AD13"/>
  <c r="AI15"/>
  <c r="V12" i="8" s="1"/>
  <c r="AO11" i="4"/>
  <c r="AP11" s="1"/>
  <c r="L37" i="7"/>
  <c r="L41" i="105" s="1"/>
  <c r="P26" i="7"/>
  <c r="AN6" i="4"/>
  <c r="E13" i="101"/>
  <c r="D13" i="26"/>
  <c r="D16" i="27" s="1"/>
  <c r="AN20" i="4"/>
  <c r="U22" i="7"/>
  <c r="H27" i="124" s="1"/>
  <c r="U10" i="7"/>
  <c r="H15" i="124" s="1"/>
  <c r="T10" i="7"/>
  <c r="S9"/>
  <c r="Q19"/>
  <c r="AQ12" i="4"/>
  <c r="D12" s="1"/>
  <c r="R53" i="7"/>
  <c r="Q53"/>
  <c r="P53"/>
  <c r="N53"/>
  <c r="M40"/>
  <c r="K48" i="6"/>
  <c r="M48" s="1"/>
  <c r="C14" i="211"/>
  <c r="L30" i="6"/>
  <c r="AG5" i="1"/>
  <c r="AH5" s="1"/>
  <c r="C9" i="211"/>
  <c r="AG55" i="6"/>
  <c r="AA56" i="219" s="1"/>
  <c r="AK53" i="6"/>
  <c r="X50" i="8" s="1"/>
  <c r="AH40" i="6"/>
  <c r="U37" i="8" s="1"/>
  <c r="AD36" i="6"/>
  <c r="AD22"/>
  <c r="X23" i="219" s="1"/>
  <c r="AK16" i="6"/>
  <c r="AC16"/>
  <c r="AE13"/>
  <c r="Q50" i="7"/>
  <c r="AI44" i="6"/>
  <c r="AC45" i="219" s="1"/>
  <c r="D33" i="5"/>
  <c r="AC40" i="6"/>
  <c r="W41" i="219" s="1"/>
  <c r="AF42" i="6"/>
  <c r="Z43" i="219" s="1"/>
  <c r="AH15" i="6"/>
  <c r="AF31"/>
  <c r="S28" i="8" s="1"/>
  <c r="T26" i="7"/>
  <c r="AN4" i="4"/>
  <c r="AP4" s="1"/>
  <c r="N61" i="88"/>
  <c r="K26" i="7"/>
  <c r="B8" i="88"/>
  <c r="F38"/>
  <c r="AN16" i="4"/>
  <c r="K43" i="6"/>
  <c r="Q10" i="7"/>
  <c r="M19"/>
  <c r="L19"/>
  <c r="L24" i="124" s="1"/>
  <c r="J19" i="7"/>
  <c r="F24" i="124" s="1"/>
  <c r="Q42" i="7"/>
  <c r="P42"/>
  <c r="AK6" i="4"/>
  <c r="AL6" s="1"/>
  <c r="AM6" s="1"/>
  <c r="C61" i="88"/>
  <c r="M38"/>
  <c r="N19" i="7"/>
  <c r="K22" i="6"/>
  <c r="AK50"/>
  <c r="X47" i="8" s="1"/>
  <c r="AF53" i="6"/>
  <c r="AG36"/>
  <c r="AA37" i="219" s="1"/>
  <c r="AF30" i="6"/>
  <c r="S27" i="8" s="1"/>
  <c r="AF16" i="6"/>
  <c r="AH13"/>
  <c r="AB14" i="219" s="1"/>
  <c r="L9" i="6"/>
  <c r="M9" s="1"/>
  <c r="AH41"/>
  <c r="AB42" i="219" s="1"/>
  <c r="L22" i="6"/>
  <c r="K13"/>
  <c r="AC22"/>
  <c r="W23" i="219" s="1"/>
  <c r="N26" i="88"/>
  <c r="N20"/>
  <c r="AJ40" i="6"/>
  <c r="AD41" i="219" s="1"/>
  <c r="AE30" i="6"/>
  <c r="Y31" i="219" s="1"/>
  <c r="N51" i="7"/>
  <c r="AC15" i="6"/>
  <c r="W16" i="219" s="1"/>
  <c r="S51" i="7"/>
  <c r="AX32" i="8"/>
  <c r="AQ1" s="1"/>
  <c r="AI1" s="1"/>
  <c r="M43" i="6"/>
  <c r="S19" i="7"/>
  <c r="R22"/>
  <c r="O19"/>
  <c r="K19"/>
  <c r="J10"/>
  <c r="M48"/>
  <c r="K53"/>
  <c r="L15" i="6"/>
  <c r="K40"/>
  <c r="L42"/>
  <c r="K53"/>
  <c r="AJ55"/>
  <c r="AD56" i="219" s="1"/>
  <c r="AG53" i="6"/>
  <c r="T50" i="8" s="1"/>
  <c r="AG30" i="6"/>
  <c r="AH28"/>
  <c r="U25" i="8" s="1"/>
  <c r="AD25" i="6"/>
  <c r="AJ9"/>
  <c r="AD10" i="219" s="1"/>
  <c r="AH29" i="6"/>
  <c r="AH41" i="88" s="1"/>
  <c r="L13" i="6"/>
  <c r="N25" i="88"/>
  <c r="L51" i="7"/>
  <c r="AN25" i="4"/>
  <c r="C38" i="88"/>
  <c r="N38" s="1"/>
  <c r="N2" i="168"/>
  <c r="M38" i="7"/>
  <c r="AQ18" i="4"/>
  <c r="D18" s="1"/>
  <c r="D73" i="196" s="1"/>
  <c r="R2" i="170"/>
  <c r="C5" i="5"/>
  <c r="E8" i="88" s="1"/>
  <c r="C5" i="194" s="1"/>
  <c r="P51" i="7"/>
  <c r="AE42" i="6"/>
  <c r="R39" i="8" s="1"/>
  <c r="Q51" i="7"/>
  <c r="Y2" i="4"/>
  <c r="AQ15"/>
  <c r="D15" s="1"/>
  <c r="C70" i="196" s="1"/>
  <c r="AC53" i="6"/>
  <c r="P50" i="8" s="1"/>
  <c r="Q27" i="124"/>
  <c r="C116" i="2"/>
  <c r="C3" i="212" s="1"/>
  <c r="J51" i="7"/>
  <c r="B17" i="124"/>
  <c r="I6" i="101"/>
  <c r="AQ24" i="4"/>
  <c r="D24" s="1"/>
  <c r="AO19"/>
  <c r="AI9" i="6"/>
  <c r="V6" i="8" s="1"/>
  <c r="AJ30" i="6"/>
  <c r="AD31" i="219" s="1"/>
  <c r="AK48" i="6"/>
  <c r="AE49" i="219" s="1"/>
  <c r="AG13" i="6"/>
  <c r="AK31"/>
  <c r="T27" i="7"/>
  <c r="AN7" i="4"/>
  <c r="E61" i="88"/>
  <c r="AD61" s="1"/>
  <c r="C40" i="5"/>
  <c r="F53" i="26" s="1"/>
  <c r="F56" i="27" s="1"/>
  <c r="S27" i="109"/>
  <c r="U27" s="1"/>
  <c r="AN15" i="4"/>
  <c r="T19" i="7"/>
  <c r="M22"/>
  <c r="L22"/>
  <c r="R48"/>
  <c r="J53"/>
  <c r="U1" i="170"/>
  <c r="C17" i="211"/>
  <c r="I45" i="124"/>
  <c r="L36" i="6"/>
  <c r="L53"/>
  <c r="AK55"/>
  <c r="AE56" i="219" s="1"/>
  <c r="AH53" i="6"/>
  <c r="AI49"/>
  <c r="AC50" i="219" s="1"/>
  <c r="AH30" i="6"/>
  <c r="U27" i="8" s="1"/>
  <c r="AI22" i="6"/>
  <c r="V19" i="8" s="1"/>
  <c r="AK9" i="6"/>
  <c r="X6" i="8" s="1"/>
  <c r="AC9" i="6"/>
  <c r="P6" i="8" s="1"/>
  <c r="AE8" i="6"/>
  <c r="K11"/>
  <c r="M11" s="1"/>
  <c r="L52"/>
  <c r="S38" i="105"/>
  <c r="K50" i="7"/>
  <c r="G31" i="26"/>
  <c r="N38" i="7"/>
  <c r="R38"/>
  <c r="AE22" i="6"/>
  <c r="Y23" i="219" s="1"/>
  <c r="AK15" i="6"/>
  <c r="AE16" i="219" s="1"/>
  <c r="Q22" i="7"/>
  <c r="K51"/>
  <c r="L40" i="6"/>
  <c r="AC13"/>
  <c r="W14" i="219" s="1"/>
  <c r="Q53" i="124"/>
  <c r="AO9" i="4"/>
  <c r="AO8"/>
  <c r="AE31" i="6"/>
  <c r="R28" i="8" s="1"/>
  <c r="AN14" i="4"/>
  <c r="D40" i="5"/>
  <c r="P2" i="170"/>
  <c r="B17" s="1"/>
  <c r="Q18" s="1"/>
  <c r="G3" i="216"/>
  <c r="T38" i="7"/>
  <c r="AJ48" i="6"/>
  <c r="AD49" i="219" s="1"/>
  <c r="AN9" i="4"/>
  <c r="AN12"/>
  <c r="D41" i="27"/>
  <c r="I14" i="101"/>
  <c r="C12" i="5"/>
  <c r="AQ22" i="4"/>
  <c r="D22" s="1"/>
  <c r="E77" i="196" s="1"/>
  <c r="AN23" i="4"/>
  <c r="K46" i="6"/>
  <c r="S22" i="7"/>
  <c r="R10"/>
  <c r="O22"/>
  <c r="O10"/>
  <c r="U53"/>
  <c r="H57" i="105" s="1"/>
  <c r="L53" i="7"/>
  <c r="L58" i="124" s="1"/>
  <c r="J42" i="7"/>
  <c r="F47" i="124" s="1"/>
  <c r="C16" i="211"/>
  <c r="K21" i="124"/>
  <c r="D116" i="2"/>
  <c r="D3" i="212" s="1"/>
  <c r="C9" i="213" s="1"/>
  <c r="B9" s="1"/>
  <c r="AI53" i="6"/>
  <c r="V50" i="8" s="1"/>
  <c r="AJ49" i="6"/>
  <c r="AD50" i="219" s="1"/>
  <c r="AF40" i="6"/>
  <c r="S37" i="8" s="1"/>
  <c r="AG28" i="6"/>
  <c r="AA29" i="219" s="1"/>
  <c r="AJ23" i="6"/>
  <c r="AD24" i="219" s="1"/>
  <c r="L50" i="7"/>
  <c r="C21" i="16"/>
  <c r="AA5" i="219"/>
  <c r="C25" i="16"/>
  <c r="C22"/>
  <c r="B70" i="196"/>
  <c r="B45" s="1"/>
  <c r="L17" i="124"/>
  <c r="C20" i="16"/>
  <c r="V5" i="219"/>
  <c r="Y5"/>
  <c r="AC5"/>
  <c r="C29" i="16"/>
  <c r="K41" i="124"/>
  <c r="K47"/>
  <c r="H46" i="105"/>
  <c r="AD46" i="219"/>
  <c r="L11" i="105"/>
  <c r="H16"/>
  <c r="K57" i="124"/>
  <c r="L30"/>
  <c r="K53"/>
  <c r="J37" i="105"/>
  <c r="L18" i="124"/>
  <c r="K17"/>
  <c r="K13" i="105"/>
  <c r="K54"/>
  <c r="L55"/>
  <c r="K57"/>
  <c r="I38"/>
  <c r="I18"/>
  <c r="B8" i="214"/>
  <c r="K45" i="124"/>
  <c r="K16"/>
  <c r="B4" i="216"/>
  <c r="R15" s="1"/>
  <c r="I47" i="105"/>
  <c r="I55"/>
  <c r="I20"/>
  <c r="J27"/>
  <c r="I29"/>
  <c r="I7"/>
  <c r="D4" s="1"/>
  <c r="I40"/>
  <c r="J55"/>
  <c r="H25"/>
  <c r="J32"/>
  <c r="T29" i="109"/>
  <c r="L54" i="105"/>
  <c r="L10"/>
  <c r="K31"/>
  <c r="K40"/>
  <c r="K18"/>
  <c r="K32"/>
  <c r="K7"/>
  <c r="D5" s="1"/>
  <c r="K48"/>
  <c r="I27" i="124"/>
  <c r="J33"/>
  <c r="I39"/>
  <c r="I18"/>
  <c r="I33"/>
  <c r="G4" i="105"/>
  <c r="P7" i="107" s="1"/>
  <c r="J21" i="124"/>
  <c r="I11"/>
  <c r="I38"/>
  <c r="J56"/>
  <c r="I15" i="105"/>
  <c r="I58"/>
  <c r="I22" i="124"/>
  <c r="I52"/>
  <c r="I25"/>
  <c r="I41" i="105"/>
  <c r="I58" i="124"/>
  <c r="I19"/>
  <c r="I37"/>
  <c r="J17"/>
  <c r="I42"/>
  <c r="I13" i="105"/>
  <c r="J16"/>
  <c r="H43"/>
  <c r="H20"/>
  <c r="H53"/>
  <c r="H38"/>
  <c r="H30" i="124"/>
  <c r="M61" i="88"/>
  <c r="G3" i="222"/>
  <c r="C9" i="223" s="1"/>
  <c r="F9" s="1"/>
  <c r="F29" i="124"/>
  <c r="H20"/>
  <c r="F16" i="105"/>
  <c r="H17"/>
  <c r="G75" i="88"/>
  <c r="L37" i="105"/>
  <c r="F58" i="124"/>
  <c r="F39"/>
  <c r="F56"/>
  <c r="F32" i="105"/>
  <c r="F28"/>
  <c r="F24"/>
  <c r="F23"/>
  <c r="F11"/>
  <c r="F22" i="124"/>
  <c r="G76" i="88"/>
  <c r="F20" i="124"/>
  <c r="F19" i="105"/>
  <c r="M25" i="88"/>
  <c r="F2" i="4"/>
  <c r="F15" s="1"/>
  <c r="B20" i="16" s="1"/>
  <c r="D49" i="2"/>
  <c r="O3" i="4"/>
  <c r="K9" s="1"/>
  <c r="B3" i="109"/>
  <c r="N19" s="1"/>
  <c r="U21"/>
  <c r="BO6" i="4"/>
  <c r="L35" i="105"/>
  <c r="K10"/>
  <c r="K55"/>
  <c r="K33"/>
  <c r="K59"/>
  <c r="L23"/>
  <c r="L24"/>
  <c r="K50"/>
  <c r="K29"/>
  <c r="K39"/>
  <c r="L16"/>
  <c r="K44"/>
  <c r="I22"/>
  <c r="I46"/>
  <c r="I4"/>
  <c r="I31"/>
  <c r="I30"/>
  <c r="I35"/>
  <c r="I49"/>
  <c r="J50"/>
  <c r="I28"/>
  <c r="I54"/>
  <c r="I51"/>
  <c r="I59"/>
  <c r="I42"/>
  <c r="I34"/>
  <c r="J19"/>
  <c r="I43"/>
  <c r="J49"/>
  <c r="I25"/>
  <c r="I50"/>
  <c r="I44"/>
  <c r="I27"/>
  <c r="I14"/>
  <c r="J30"/>
  <c r="I16"/>
  <c r="I37"/>
  <c r="I52"/>
  <c r="I56"/>
  <c r="I32"/>
  <c r="I39"/>
  <c r="I24"/>
  <c r="I48"/>
  <c r="H11"/>
  <c r="H19"/>
  <c r="H55"/>
  <c r="H51"/>
  <c r="H24"/>
  <c r="H40"/>
  <c r="H38" i="124"/>
  <c r="H56" i="105"/>
  <c r="H28"/>
  <c r="H23"/>
  <c r="F38" i="124"/>
  <c r="F21"/>
  <c r="F25"/>
  <c r="F11"/>
  <c r="F17"/>
  <c r="B5" i="214"/>
  <c r="C12" i="215" s="1"/>
  <c r="F12" s="1"/>
  <c r="F15" i="124"/>
  <c r="F50"/>
  <c r="B10" i="214"/>
  <c r="C21" i="215" s="1"/>
  <c r="F21" s="1"/>
  <c r="Q34" i="124"/>
  <c r="R34"/>
  <c r="Q22"/>
  <c r="R22"/>
  <c r="B33" i="105"/>
  <c r="B34" i="124"/>
  <c r="R30"/>
  <c r="Q30"/>
  <c r="B59" i="105"/>
  <c r="B60" i="124"/>
  <c r="C71" i="5"/>
  <c r="F12" i="26" s="1"/>
  <c r="F15" i="27" s="1"/>
  <c r="D12" i="26"/>
  <c r="D1" i="168"/>
  <c r="D1" i="170"/>
  <c r="D9" i="27"/>
  <c r="E6" i="26"/>
  <c r="E9" i="27" s="1"/>
  <c r="AK4" i="4"/>
  <c r="AL4" s="1"/>
  <c r="AX28" i="8"/>
  <c r="AP1" s="1"/>
  <c r="AH1" s="1"/>
  <c r="BA2"/>
  <c r="BI2"/>
  <c r="BE2"/>
  <c r="AZ2"/>
  <c r="AY2"/>
  <c r="AV2" s="1"/>
  <c r="BF2"/>
  <c r="L36" i="124"/>
  <c r="R31"/>
  <c r="Q31"/>
  <c r="F48" i="88"/>
  <c r="C48"/>
  <c r="N48" s="1"/>
  <c r="F34"/>
  <c r="C34"/>
  <c r="E34" s="1"/>
  <c r="AD34" s="1"/>
  <c r="C27"/>
  <c r="N27" s="1"/>
  <c r="B44" i="124"/>
  <c r="B43" i="105"/>
  <c r="N30" i="7"/>
  <c r="O30"/>
  <c r="P30"/>
  <c r="J30"/>
  <c r="J34" i="105" s="1"/>
  <c r="Q30" i="7"/>
  <c r="P32"/>
  <c r="Q32"/>
  <c r="R32"/>
  <c r="S32"/>
  <c r="J32"/>
  <c r="K32"/>
  <c r="L32"/>
  <c r="L36" i="105" s="1"/>
  <c r="U43" i="7"/>
  <c r="K43"/>
  <c r="N43"/>
  <c r="M43"/>
  <c r="O43"/>
  <c r="J43"/>
  <c r="J48" i="124" s="1"/>
  <c r="C61" i="5"/>
  <c r="F74" i="26" s="1"/>
  <c r="F77" i="27" s="1"/>
  <c r="D74" i="26"/>
  <c r="D61" i="5"/>
  <c r="D54"/>
  <c r="C54"/>
  <c r="F67" i="26" s="1"/>
  <c r="F70" i="27" s="1"/>
  <c r="D67" i="26"/>
  <c r="D35"/>
  <c r="C22" i="5"/>
  <c r="F35" i="26" s="1"/>
  <c r="F38" i="27" s="1"/>
  <c r="D22" i="5"/>
  <c r="C15"/>
  <c r="F28" i="26" s="1"/>
  <c r="F31" i="27" s="1"/>
  <c r="D28" i="26"/>
  <c r="K29" i="7"/>
  <c r="L29"/>
  <c r="L33" i="105" s="1"/>
  <c r="M29" i="7"/>
  <c r="U29"/>
  <c r="H33" i="105" s="1"/>
  <c r="N29" i="7"/>
  <c r="O29"/>
  <c r="P29"/>
  <c r="S29"/>
  <c r="E2" i="170"/>
  <c r="E2" i="168"/>
  <c r="AH39" i="6"/>
  <c r="U36" i="8" s="1"/>
  <c r="AI39" i="6"/>
  <c r="AC40" i="219" s="1"/>
  <c r="AC39" i="6"/>
  <c r="W40" i="219" s="1"/>
  <c r="AJ39" i="6"/>
  <c r="W36" i="8" s="1"/>
  <c r="AI34" i="6"/>
  <c r="L34"/>
  <c r="AE34"/>
  <c r="R31" i="8" s="1"/>
  <c r="AC34" i="6"/>
  <c r="W35" i="219" s="1"/>
  <c r="H10" i="105"/>
  <c r="F10"/>
  <c r="J10"/>
  <c r="U19" i="109"/>
  <c r="T19"/>
  <c r="BF8" i="4"/>
  <c r="BF4"/>
  <c r="BF13"/>
  <c r="BF6"/>
  <c r="F51" i="105"/>
  <c r="F52" i="124"/>
  <c r="J51" i="105"/>
  <c r="Q37" i="124"/>
  <c r="R37"/>
  <c r="H17"/>
  <c r="I17"/>
  <c r="C57" i="88"/>
  <c r="N57" s="1"/>
  <c r="C41"/>
  <c r="F41"/>
  <c r="C35"/>
  <c r="E35" s="1"/>
  <c r="AD35" s="1"/>
  <c r="F35"/>
  <c r="N22"/>
  <c r="M22"/>
  <c r="B46" i="124"/>
  <c r="B45" i="105"/>
  <c r="AD35" i="6"/>
  <c r="X36" i="219" s="1"/>
  <c r="AK35" i="6"/>
  <c r="X32" i="8" s="1"/>
  <c r="AJ35" i="6"/>
  <c r="AD36" i="219" s="1"/>
  <c r="K35" i="6"/>
  <c r="J48" i="7"/>
  <c r="J52" i="105" s="1"/>
  <c r="L48" i="7"/>
  <c r="L52" i="105" s="1"/>
  <c r="P48" i="7"/>
  <c r="O48"/>
  <c r="S48"/>
  <c r="D29" i="26"/>
  <c r="D16" i="5"/>
  <c r="C16"/>
  <c r="F29" i="26" s="1"/>
  <c r="F32" i="27" s="1"/>
  <c r="AD45" i="6"/>
  <c r="Q42" i="8" s="1"/>
  <c r="AH45" i="6"/>
  <c r="AB46" i="219" s="1"/>
  <c r="AI45" i="6"/>
  <c r="V42" i="8" s="1"/>
  <c r="AE32" i="6"/>
  <c r="R29" i="8" s="1"/>
  <c r="AK32" i="6"/>
  <c r="AE33" i="219" s="1"/>
  <c r="AH32" i="6"/>
  <c r="U29" i="8" s="1"/>
  <c r="L21" i="6"/>
  <c r="M21"/>
  <c r="B6" i="212"/>
  <c r="B5"/>
  <c r="I26" i="105"/>
  <c r="L26"/>
  <c r="I36" i="124"/>
  <c r="I17" i="105"/>
  <c r="L17"/>
  <c r="T28" i="109"/>
  <c r="R35" i="124"/>
  <c r="U22" i="109"/>
  <c r="E1" i="170"/>
  <c r="D20" i="27"/>
  <c r="BD2" i="8"/>
  <c r="AV37"/>
  <c r="E13" i="26"/>
  <c r="E16" i="27" s="1"/>
  <c r="T37" i="7"/>
  <c r="M27" i="6"/>
  <c r="R43" i="7"/>
  <c r="D15" i="5"/>
  <c r="L27" i="6"/>
  <c r="AV20" i="8"/>
  <c r="AV41"/>
  <c r="T30" i="7"/>
  <c r="S41"/>
  <c r="BH6" i="4"/>
  <c r="K54" i="124"/>
  <c r="K18"/>
  <c r="T32" i="7"/>
  <c r="T29"/>
  <c r="J14" i="105"/>
  <c r="R10" i="170"/>
  <c r="R9"/>
  <c r="R8"/>
  <c r="D60" i="5"/>
  <c r="C60"/>
  <c r="F73" i="26" s="1"/>
  <c r="F76" i="27" s="1"/>
  <c r="R52" i="105"/>
  <c r="S52"/>
  <c r="J21"/>
  <c r="I21"/>
  <c r="K21"/>
  <c r="H21"/>
  <c r="E70" i="196"/>
  <c r="D70"/>
  <c r="K11" i="7"/>
  <c r="M11"/>
  <c r="S11"/>
  <c r="L11"/>
  <c r="L15" i="105" s="1"/>
  <c r="P27" i="7"/>
  <c r="O27"/>
  <c r="U27"/>
  <c r="H31" i="105" s="1"/>
  <c r="K27" i="7"/>
  <c r="J27"/>
  <c r="S37"/>
  <c r="U37"/>
  <c r="H41" i="105" s="1"/>
  <c r="D56" i="26"/>
  <c r="D43" i="5"/>
  <c r="D37"/>
  <c r="D50" i="26"/>
  <c r="D47" i="27"/>
  <c r="E44" i="26"/>
  <c r="G44" s="1"/>
  <c r="AK42" i="6"/>
  <c r="X39" i="8" s="1"/>
  <c r="AI42" i="6"/>
  <c r="D1" i="2"/>
  <c r="AT15" i="211" s="1"/>
  <c r="B2" i="4"/>
  <c r="D107" i="2" s="1"/>
  <c r="B124"/>
  <c r="D58" i="27"/>
  <c r="E55" i="26"/>
  <c r="E58" i="27" s="1"/>
  <c r="E19" i="26"/>
  <c r="G19" s="1"/>
  <c r="D22" i="27"/>
  <c r="E20" i="170"/>
  <c r="E20" i="168"/>
  <c r="E9" i="101"/>
  <c r="I9"/>
  <c r="D15" i="26"/>
  <c r="C74" i="5"/>
  <c r="F15" i="26" s="1"/>
  <c r="F18" i="27" s="1"/>
  <c r="Q23" i="124"/>
  <c r="R23"/>
  <c r="R18"/>
  <c r="Q18"/>
  <c r="J24"/>
  <c r="I28"/>
  <c r="I48"/>
  <c r="I44"/>
  <c r="I29"/>
  <c r="J15"/>
  <c r="J39"/>
  <c r="I15"/>
  <c r="I56"/>
  <c r="N43" i="88"/>
  <c r="E43"/>
  <c r="AD43" s="1"/>
  <c r="C30"/>
  <c r="E30" s="1"/>
  <c r="AD30" s="1"/>
  <c r="B31" i="105"/>
  <c r="B32" i="124"/>
  <c r="R36" i="7"/>
  <c r="J36"/>
  <c r="K36"/>
  <c r="L36"/>
  <c r="L40" i="105" s="1"/>
  <c r="P36" i="7"/>
  <c r="AQ3" i="4"/>
  <c r="D3" s="1"/>
  <c r="C58" i="196" s="1"/>
  <c r="B58" s="1"/>
  <c r="B33" s="1"/>
  <c r="AO5" i="4"/>
  <c r="AO18"/>
  <c r="AQ17"/>
  <c r="D17" s="1"/>
  <c r="D72" i="196" s="1"/>
  <c r="AO22" i="4"/>
  <c r="AQ21"/>
  <c r="D21" s="1"/>
  <c r="AQ25"/>
  <c r="AO14"/>
  <c r="AP14" s="1"/>
  <c r="AQ19"/>
  <c r="D19" s="1"/>
  <c r="D74" i="196" s="1"/>
  <c r="AO6" i="4"/>
  <c r="AP6" s="1"/>
  <c r="AQ6"/>
  <c r="D6" s="1"/>
  <c r="D22" i="168" s="1"/>
  <c r="AQ10" i="4"/>
  <c r="D10" s="1"/>
  <c r="D65" i="196" s="1"/>
  <c r="AQ14" i="4"/>
  <c r="D14" s="1"/>
  <c r="AO10"/>
  <c r="AO20"/>
  <c r="AO12"/>
  <c r="AQ23"/>
  <c r="D23" s="1"/>
  <c r="AO23"/>
  <c r="AP23" s="1"/>
  <c r="AO4"/>
  <c r="B45" i="124"/>
  <c r="B44" i="105"/>
  <c r="AI54" i="6"/>
  <c r="V51" i="8" s="1"/>
  <c r="AC54" i="6"/>
  <c r="AH54"/>
  <c r="AH66" i="88" s="1"/>
  <c r="I57" i="105"/>
  <c r="J57"/>
  <c r="K41"/>
  <c r="I33"/>
  <c r="H15"/>
  <c r="K15"/>
  <c r="I11"/>
  <c r="J11"/>
  <c r="Q44" i="7"/>
  <c r="N44"/>
  <c r="R44"/>
  <c r="O44"/>
  <c r="J17" i="105"/>
  <c r="Q29" i="7"/>
  <c r="O32"/>
  <c r="L30"/>
  <c r="L34" i="105" s="1"/>
  <c r="T41" i="7"/>
  <c r="L42" i="124"/>
  <c r="M36" i="88"/>
  <c r="I10" i="105"/>
  <c r="K39" i="124"/>
  <c r="J2" i="170"/>
  <c r="J52" i="124"/>
  <c r="R28"/>
  <c r="F65" i="88"/>
  <c r="M65" s="1"/>
  <c r="B35" i="124"/>
  <c r="C28" i="88"/>
  <c r="E28" s="1"/>
  <c r="AD28" s="1"/>
  <c r="K37" i="7"/>
  <c r="R27"/>
  <c r="X2" i="4"/>
  <c r="BC1" s="1"/>
  <c r="S43" i="7"/>
  <c r="BF5" i="4"/>
  <c r="N11" i="7"/>
  <c r="L35" i="6"/>
  <c r="Q48" i="7"/>
  <c r="L41"/>
  <c r="L46" i="124" s="1"/>
  <c r="AH35" i="6"/>
  <c r="AH47" i="88" s="1"/>
  <c r="AG27"/>
  <c r="J23" i="105"/>
  <c r="N62" i="88"/>
  <c r="F62"/>
  <c r="C39"/>
  <c r="F39"/>
  <c r="AD5" i="219"/>
  <c r="C28" i="16"/>
  <c r="C24" i="88"/>
  <c r="E24" s="1"/>
  <c r="AD24" s="1"/>
  <c r="F24"/>
  <c r="B50" i="124"/>
  <c r="B49" i="105"/>
  <c r="D57" i="5"/>
  <c r="C57"/>
  <c r="F70" i="26" s="1"/>
  <c r="F73" i="27" s="1"/>
  <c r="AK14" i="6"/>
  <c r="AE15" i="219" s="1"/>
  <c r="AH14" i="6"/>
  <c r="U11" i="8" s="1"/>
  <c r="AD14" i="6"/>
  <c r="X15" i="219" s="1"/>
  <c r="L14" i="6"/>
  <c r="AI14"/>
  <c r="V11" i="8" s="1"/>
  <c r="K14" i="6"/>
  <c r="S49" i="105"/>
  <c r="R49"/>
  <c r="S41"/>
  <c r="R41"/>
  <c r="C1" i="211"/>
  <c r="C2" i="168"/>
  <c r="D33" i="27"/>
  <c r="E30" i="26"/>
  <c r="E33" i="27" s="1"/>
  <c r="Q15" i="124"/>
  <c r="R15"/>
  <c r="K12"/>
  <c r="I12"/>
  <c r="C67" i="88"/>
  <c r="E67" s="1"/>
  <c r="AD67" s="1"/>
  <c r="F67"/>
  <c r="F53"/>
  <c r="C53"/>
  <c r="C19"/>
  <c r="E19" s="1"/>
  <c r="AD19" s="1"/>
  <c r="M19"/>
  <c r="L17" i="7"/>
  <c r="L22" i="124" s="1"/>
  <c r="P17" i="7"/>
  <c r="R17"/>
  <c r="T17"/>
  <c r="J21"/>
  <c r="J25" i="105" s="1"/>
  <c r="P21" i="7"/>
  <c r="O21"/>
  <c r="K21"/>
  <c r="R21"/>
  <c r="M21"/>
  <c r="T21"/>
  <c r="R39"/>
  <c r="N39"/>
  <c r="J39"/>
  <c r="C58" i="5"/>
  <c r="F71" i="26" s="1"/>
  <c r="F74" i="27" s="1"/>
  <c r="D58" i="5"/>
  <c r="D34"/>
  <c r="C34"/>
  <c r="F47" i="26" s="1"/>
  <c r="F50" i="27" s="1"/>
  <c r="D47" i="26"/>
  <c r="D39"/>
  <c r="C26" i="5"/>
  <c r="F39" i="26" s="1"/>
  <c r="F42" i="27" s="1"/>
  <c r="D33" i="26"/>
  <c r="C20" i="5"/>
  <c r="F33" i="26" s="1"/>
  <c r="F36" i="27" s="1"/>
  <c r="K10" i="6"/>
  <c r="M10" s="1"/>
  <c r="U10" s="1"/>
  <c r="AD10"/>
  <c r="X11" i="219" s="1"/>
  <c r="AG10" i="6"/>
  <c r="T7" i="8" s="1"/>
  <c r="AE10" i="6"/>
  <c r="Y11" i="219" s="1"/>
  <c r="AC10" i="6"/>
  <c r="W11" i="219" s="1"/>
  <c r="AH10" i="6"/>
  <c r="U7" i="8" s="1"/>
  <c r="AJ10" i="6"/>
  <c r="W7" i="8" s="1"/>
  <c r="E30" i="170"/>
  <c r="E30" i="168"/>
  <c r="B17" i="105"/>
  <c r="B18" i="124"/>
  <c r="P1" i="170"/>
  <c r="R7"/>
  <c r="BE15" s="1"/>
  <c r="K17" i="105"/>
  <c r="E28" i="170"/>
  <c r="F21" i="105"/>
  <c r="L2" i="168"/>
  <c r="Y23" i="216"/>
  <c r="AH34" i="6"/>
  <c r="U31" i="8" s="1"/>
  <c r="E21" i="26"/>
  <c r="E24" i="27" s="1"/>
  <c r="BB2" i="8"/>
  <c r="C7" i="5"/>
  <c r="K4" i="108" s="1"/>
  <c r="K58" i="124"/>
  <c r="K60"/>
  <c r="H37" i="105"/>
  <c r="R47" i="124"/>
  <c r="Q14"/>
  <c r="E65" i="88"/>
  <c r="AD65" s="1"/>
  <c r="H29" i="105"/>
  <c r="F56" i="88"/>
  <c r="B10"/>
  <c r="M32"/>
  <c r="AH62"/>
  <c r="AH27"/>
  <c r="AF34" i="6"/>
  <c r="S31" i="8" s="1"/>
  <c r="E54" i="26"/>
  <c r="G54" s="1"/>
  <c r="D34" i="27"/>
  <c r="BH2" i="8"/>
  <c r="L27" i="7"/>
  <c r="W2" i="4"/>
  <c r="BB1" s="1"/>
  <c r="BF11"/>
  <c r="F57" i="88"/>
  <c r="D73" i="26"/>
  <c r="C43" i="5"/>
  <c r="F56" i="26" s="1"/>
  <c r="F59" i="27" s="1"/>
  <c r="N27" i="7"/>
  <c r="R11"/>
  <c r="K30"/>
  <c r="F41" i="124"/>
  <c r="F33"/>
  <c r="B54" i="105"/>
  <c r="B13"/>
  <c r="O5" i="218"/>
  <c r="B11" i="216"/>
  <c r="K41" i="7"/>
  <c r="M41"/>
  <c r="J41"/>
  <c r="U41"/>
  <c r="H45" i="105" s="1"/>
  <c r="C14" i="5"/>
  <c r="F27" i="26" s="1"/>
  <c r="F30" i="27" s="1"/>
  <c r="D27" i="26"/>
  <c r="D52" i="27"/>
  <c r="E49" i="26"/>
  <c r="E52" i="27" s="1"/>
  <c r="BG75" i="124"/>
  <c r="L47"/>
  <c r="K48"/>
  <c r="K15"/>
  <c r="K28"/>
  <c r="I8"/>
  <c r="D4" s="1"/>
  <c r="L38"/>
  <c r="K32"/>
  <c r="J35" i="105"/>
  <c r="AG30" i="1"/>
  <c r="AH30" s="1"/>
  <c r="AG52"/>
  <c r="AH52" s="1"/>
  <c r="D52" i="26"/>
  <c r="C39" i="5"/>
  <c r="F52" i="26" s="1"/>
  <c r="F55" i="27" s="1"/>
  <c r="L24" i="6"/>
  <c r="K24"/>
  <c r="M24"/>
  <c r="N32" i="88"/>
  <c r="E32"/>
  <c r="AD32" s="1"/>
  <c r="O2" i="170"/>
  <c r="O2" i="168"/>
  <c r="D40" i="27"/>
  <c r="E37" i="26"/>
  <c r="E40" i="27" s="1"/>
  <c r="Q40" i="124"/>
  <c r="R40"/>
  <c r="E54" i="88"/>
  <c r="AD54" s="1"/>
  <c r="C54"/>
  <c r="N54" s="1"/>
  <c r="F54"/>
  <c r="U23" i="7"/>
  <c r="H27" i="105" s="1"/>
  <c r="K23" i="7"/>
  <c r="N23"/>
  <c r="M23"/>
  <c r="S23"/>
  <c r="L23"/>
  <c r="L28" i="124" s="1"/>
  <c r="C59" i="5"/>
  <c r="F72" i="26" s="1"/>
  <c r="F75" i="27" s="1"/>
  <c r="D59" i="5"/>
  <c r="D47"/>
  <c r="D60" i="26"/>
  <c r="K36" i="105"/>
  <c r="I36"/>
  <c r="H36"/>
  <c r="L53"/>
  <c r="D65" i="27"/>
  <c r="R41" i="7"/>
  <c r="BJ2" i="8"/>
  <c r="P43" i="7"/>
  <c r="Q43"/>
  <c r="C6" i="5"/>
  <c r="T43" i="7"/>
  <c r="L43"/>
  <c r="L47" i="105" s="1"/>
  <c r="S30" i="7"/>
  <c r="R6" i="170"/>
  <c r="K26" i="124"/>
  <c r="K13"/>
  <c r="K50"/>
  <c r="R51"/>
  <c r="D66" i="27"/>
  <c r="E75" i="196"/>
  <c r="D29" i="170"/>
  <c r="J38" i="105"/>
  <c r="J20"/>
  <c r="R45" i="124"/>
  <c r="I8" i="101"/>
  <c r="M27" i="7"/>
  <c r="D14" i="26"/>
  <c r="AD6" i="16"/>
  <c r="AV1" i="8"/>
  <c r="Z1" s="1"/>
  <c r="AG30" i="88"/>
  <c r="AE14" i="6"/>
  <c r="Y15" i="219" s="1"/>
  <c r="AF39" i="6"/>
  <c r="S36" i="8" s="1"/>
  <c r="D74" i="27"/>
  <c r="R37" i="7"/>
  <c r="F9" i="215"/>
  <c r="C80" i="5"/>
  <c r="F21" i="26" s="1"/>
  <c r="F24" i="27" s="1"/>
  <c r="AP19" i="4"/>
  <c r="U30" i="7"/>
  <c r="H34" i="105" s="1"/>
  <c r="N32" i="7"/>
  <c r="J29"/>
  <c r="J33" i="105" s="1"/>
  <c r="U48" i="7"/>
  <c r="H53" i="124" s="1"/>
  <c r="T48" i="7"/>
  <c r="O41"/>
  <c r="I14" i="124"/>
  <c r="S17" i="7"/>
  <c r="S21"/>
  <c r="K45" i="6"/>
  <c r="D20" i="5"/>
  <c r="AF56" i="88"/>
  <c r="AE45" i="6"/>
  <c r="Y46" i="219" s="1"/>
  <c r="AF35" i="6"/>
  <c r="S32" i="8" s="1"/>
  <c r="I23" i="105"/>
  <c r="I45"/>
  <c r="K23"/>
  <c r="AC18" i="6"/>
  <c r="W19" i="219" s="1"/>
  <c r="L19" i="105"/>
  <c r="J53"/>
  <c r="J54" i="124"/>
  <c r="R44"/>
  <c r="E20" i="4"/>
  <c r="E20" i="88"/>
  <c r="AD20" s="1"/>
  <c r="AE50" i="6"/>
  <c r="R47" i="8" s="1"/>
  <c r="AF19" i="6"/>
  <c r="Z20" i="219" s="1"/>
  <c r="AD28" i="6"/>
  <c r="X29" i="219" s="1"/>
  <c r="AI31" i="6"/>
  <c r="V28" i="8" s="1"/>
  <c r="R26" i="7"/>
  <c r="K46"/>
  <c r="N26"/>
  <c r="O46"/>
  <c r="AV17" i="8"/>
  <c r="U9" i="7"/>
  <c r="H13" i="105" s="1"/>
  <c r="Q9" i="7"/>
  <c r="O9"/>
  <c r="L25" i="6"/>
  <c r="M25" s="1"/>
  <c r="T25" s="1"/>
  <c r="K18"/>
  <c r="K29"/>
  <c r="L57" i="105"/>
  <c r="L28" i="6"/>
  <c r="M28" s="1"/>
  <c r="P28" s="1"/>
  <c r="L45"/>
  <c r="AE52"/>
  <c r="R49" i="8" s="1"/>
  <c r="AJ31" i="6"/>
  <c r="AD32" i="219" s="1"/>
  <c r="AD31" i="6"/>
  <c r="X32" i="219" s="1"/>
  <c r="E22" i="4"/>
  <c r="L29" i="6"/>
  <c r="AD50"/>
  <c r="Q47" i="8" s="1"/>
  <c r="M50" i="7"/>
  <c r="AG39" i="6"/>
  <c r="T36" i="8" s="1"/>
  <c r="AI35" i="6"/>
  <c r="AC36" i="219" s="1"/>
  <c r="K31" i="124"/>
  <c r="I19" i="105"/>
  <c r="I53"/>
  <c r="AC28" i="6"/>
  <c r="W29" i="219" s="1"/>
  <c r="E23" i="4"/>
  <c r="C28" i="5"/>
  <c r="F41" i="26" s="1"/>
  <c r="F44" i="27" s="1"/>
  <c r="AG19" i="6"/>
  <c r="T16" i="8" s="1"/>
  <c r="AI50" i="6"/>
  <c r="V47" i="8" s="1"/>
  <c r="AJ18" i="6"/>
  <c r="W15" i="8" s="1"/>
  <c r="AK18" i="6"/>
  <c r="X15" i="8" s="1"/>
  <c r="AF34" i="88"/>
  <c r="AG52" i="6"/>
  <c r="AI19"/>
  <c r="AC20" i="219" s="1"/>
  <c r="AG25" i="6"/>
  <c r="AA26" i="219" s="1"/>
  <c r="AF18" i="6"/>
  <c r="Z19" i="219" s="1"/>
  <c r="AJ29" i="6"/>
  <c r="W26" i="8" s="1"/>
  <c r="L26" i="7"/>
  <c r="L31" i="124" s="1"/>
  <c r="AP12" i="4"/>
  <c r="M26" i="7"/>
  <c r="U46"/>
  <c r="F51" i="124" s="1"/>
  <c r="AP25" i="4"/>
  <c r="M51" i="6"/>
  <c r="M9" i="7"/>
  <c r="L21" i="124"/>
  <c r="R31" i="7"/>
  <c r="C66" i="88"/>
  <c r="E66" s="1"/>
  <c r="AD66" s="1"/>
  <c r="P22" i="7"/>
  <c r="U26"/>
  <c r="H30" i="105" s="1"/>
  <c r="P46" i="7"/>
  <c r="D28" i="5"/>
  <c r="AH52" i="6"/>
  <c r="AB53" i="219" s="1"/>
  <c r="AD34" i="6"/>
  <c r="Q31" i="8" s="1"/>
  <c r="AI32" i="6"/>
  <c r="V29" i="8" s="1"/>
  <c r="AC32" i="6"/>
  <c r="P29" i="8" s="1"/>
  <c r="AI30" i="6"/>
  <c r="AF29"/>
  <c r="AI18"/>
  <c r="AC19" i="219" s="1"/>
  <c r="AE17" i="6"/>
  <c r="Y18" i="219" s="1"/>
  <c r="E17" i="4"/>
  <c r="E26" i="168"/>
  <c r="E5" i="4"/>
  <c r="L27" i="105"/>
  <c r="K52" i="6"/>
  <c r="L18"/>
  <c r="B20" i="105"/>
  <c r="S50" i="7"/>
  <c r="AC31" i="6"/>
  <c r="W32" i="219" s="1"/>
  <c r="AC52" i="6"/>
  <c r="P49" i="8" s="1"/>
  <c r="Q19" i="124"/>
  <c r="E3" i="4"/>
  <c r="AF52" i="6"/>
  <c r="Z53" i="219" s="1"/>
  <c r="AD19" i="6"/>
  <c r="Q16" i="8" s="1"/>
  <c r="AG29" i="6"/>
  <c r="AG41" i="88" s="1"/>
  <c r="B53" i="124"/>
  <c r="L46" i="7"/>
  <c r="L51" i="124" s="1"/>
  <c r="S26" i="7"/>
  <c r="M46"/>
  <c r="AP16" i="4"/>
  <c r="L51" i="6"/>
  <c r="I10" i="101"/>
  <c r="AV23" i="8"/>
  <c r="N22" i="7"/>
  <c r="K22"/>
  <c r="K9"/>
  <c r="J22"/>
  <c r="F27" i="124" s="1"/>
  <c r="J9" i="7"/>
  <c r="F14" i="124" s="1"/>
  <c r="K31" i="6"/>
  <c r="L52" i="124"/>
  <c r="E55" i="88"/>
  <c r="AD55" s="1"/>
  <c r="K36" i="6"/>
  <c r="AJ41"/>
  <c r="AD42" i="219" s="1"/>
  <c r="AJ32" i="6"/>
  <c r="AD33" i="219" s="1"/>
  <c r="AD32" i="6"/>
  <c r="Q29" i="8" s="1"/>
  <c r="AJ15" i="6"/>
  <c r="AD16" i="219" s="1"/>
  <c r="E19" i="4"/>
  <c r="E9"/>
  <c r="S48" i="105"/>
  <c r="R33"/>
  <c r="T50" i="7"/>
  <c r="AF28" i="88"/>
  <c r="AC29" i="6"/>
  <c r="W30" i="219" s="1"/>
  <c r="AC25" i="6"/>
  <c r="P22" i="8" s="1"/>
  <c r="E13" i="4"/>
  <c r="E18"/>
  <c r="AD52" i="6"/>
  <c r="Q49" i="8" s="1"/>
  <c r="AH67" i="88"/>
  <c r="T46" i="7"/>
  <c r="T9"/>
  <c r="R9"/>
  <c r="P9"/>
  <c r="N9"/>
  <c r="O31"/>
  <c r="H49" i="105"/>
  <c r="H11" i="124"/>
  <c r="AF65" i="88"/>
  <c r="AJ52" i="6"/>
  <c r="AD53" i="219" s="1"/>
  <c r="AC41" i="6"/>
  <c r="W42" i="219" s="1"/>
  <c r="AE15" i="6"/>
  <c r="Y16" i="219" s="1"/>
  <c r="AG14" i="6"/>
  <c r="AK10"/>
  <c r="X7" i="8" s="1"/>
  <c r="R57" i="105"/>
  <c r="U50" i="7"/>
  <c r="H54" i="105" s="1"/>
  <c r="F12" i="223"/>
  <c r="B12"/>
  <c r="H39" i="124"/>
  <c r="B14" i="212"/>
  <c r="C18" i="213" s="1"/>
  <c r="G18" s="1"/>
  <c r="H18" i="124"/>
  <c r="BO12" i="4"/>
  <c r="BO4"/>
  <c r="K25" i="105"/>
  <c r="I43" i="124"/>
  <c r="K47" i="105"/>
  <c r="K56" i="124"/>
  <c r="K52" i="105"/>
  <c r="K38"/>
  <c r="K56"/>
  <c r="I57" i="124"/>
  <c r="K45" i="105"/>
  <c r="K36" i="124"/>
  <c r="K14"/>
  <c r="K35" i="105"/>
  <c r="K40" i="124"/>
  <c r="I13"/>
  <c r="I60"/>
  <c r="K34" i="105"/>
  <c r="K53"/>
  <c r="K25" i="124"/>
  <c r="K37"/>
  <c r="K24"/>
  <c r="L20"/>
  <c r="L13"/>
  <c r="B7" i="212"/>
  <c r="H31" i="124"/>
  <c r="X23" i="216"/>
  <c r="L50" i="124"/>
  <c r="J58"/>
  <c r="J50"/>
  <c r="BO9" i="4"/>
  <c r="BO3"/>
  <c r="J31" i="124"/>
  <c r="H52"/>
  <c r="L29"/>
  <c r="BF75"/>
  <c r="H21"/>
  <c r="H50"/>
  <c r="BO7" i="4"/>
  <c r="K8" i="124"/>
  <c r="D5" s="1"/>
  <c r="K11" i="105"/>
  <c r="I26" i="124"/>
  <c r="I31"/>
  <c r="K42"/>
  <c r="K37" i="105"/>
  <c r="I53" i="124"/>
  <c r="K22" i="105"/>
  <c r="I49" i="124"/>
  <c r="I24"/>
  <c r="K27"/>
  <c r="K30"/>
  <c r="K49"/>
  <c r="K43" i="105"/>
  <c r="I50" i="124"/>
  <c r="K46" i="105"/>
  <c r="K22" i="124"/>
  <c r="K20" i="105"/>
  <c r="I54" i="124"/>
  <c r="K14" i="105"/>
  <c r="K44" i="124"/>
  <c r="L27"/>
  <c r="J20"/>
  <c r="L46" i="105"/>
  <c r="G5"/>
  <c r="S7" i="107" s="1"/>
  <c r="H25" i="124"/>
  <c r="H33"/>
  <c r="L55"/>
  <c r="J36"/>
  <c r="J12"/>
  <c r="L26"/>
  <c r="BO13" i="4"/>
  <c r="BO5"/>
  <c r="H32" i="124"/>
  <c r="H44"/>
  <c r="L25" i="105"/>
  <c r="L57" i="124"/>
  <c r="H57"/>
  <c r="H47"/>
  <c r="H26"/>
  <c r="H54"/>
  <c r="K16" i="105"/>
  <c r="K29" i="124"/>
  <c r="K38"/>
  <c r="K51"/>
  <c r="K42" i="105"/>
  <c r="K30"/>
  <c r="I55" i="124"/>
  <c r="K20"/>
  <c r="I47"/>
  <c r="K46"/>
  <c r="K26" i="105"/>
  <c r="I30" i="124"/>
  <c r="K51" i="105"/>
  <c r="I40" i="124"/>
  <c r="K27" i="105"/>
  <c r="K35" i="124"/>
  <c r="I35"/>
  <c r="H41"/>
  <c r="L28" i="105"/>
  <c r="L56"/>
  <c r="L49"/>
  <c r="B15" i="212"/>
  <c r="C21" i="213" s="1"/>
  <c r="G21" s="1"/>
  <c r="L25" i="124"/>
  <c r="J11"/>
  <c r="J38"/>
  <c r="L11"/>
  <c r="BO10" i="4"/>
  <c r="J28" i="124"/>
  <c r="L31" i="105"/>
  <c r="H16" i="124"/>
  <c r="L12" i="105"/>
  <c r="H29" i="124"/>
  <c r="H24"/>
  <c r="BO11" i="4"/>
  <c r="BO14"/>
  <c r="H22" i="124"/>
  <c r="K11"/>
  <c r="K28" i="105"/>
  <c r="I32" i="124"/>
  <c r="I51"/>
  <c r="K55"/>
  <c r="K19" i="105"/>
  <c r="I41" i="124"/>
  <c r="I46"/>
  <c r="I16"/>
  <c r="K33"/>
  <c r="K52"/>
  <c r="K49" i="105"/>
  <c r="I21" i="124"/>
  <c r="K58" i="105"/>
  <c r="K12"/>
  <c r="I20" i="124"/>
  <c r="K19"/>
  <c r="B11" i="212"/>
  <c r="C15" i="213" s="1"/>
  <c r="J22" i="124"/>
  <c r="L29" i="105"/>
  <c r="I5"/>
  <c r="L33" i="124"/>
  <c r="L56"/>
  <c r="L32"/>
  <c r="S11" i="8"/>
  <c r="AG21" i="88"/>
  <c r="Z15" i="219"/>
  <c r="Q19" i="8"/>
  <c r="V22"/>
  <c r="W52"/>
  <c r="U38"/>
  <c r="AG65" i="88"/>
  <c r="T19" i="8"/>
  <c r="U39"/>
  <c r="AD18" i="219"/>
  <c r="X33" i="8"/>
  <c r="P12"/>
  <c r="W31" i="219"/>
  <c r="W33" i="8"/>
  <c r="W15" i="219"/>
  <c r="AH48" i="88"/>
  <c r="V52" i="8"/>
  <c r="AC49" i="219"/>
  <c r="T28" i="8"/>
  <c r="Y26" i="219"/>
  <c r="W27" i="8"/>
  <c r="X52"/>
  <c r="S25"/>
  <c r="AC18" i="219"/>
  <c r="AD55"/>
  <c r="V7" i="8"/>
  <c r="AE18" i="219"/>
  <c r="P10" i="8"/>
  <c r="AB29" i="219"/>
  <c r="AE51"/>
  <c r="AC54"/>
  <c r="AG52" i="88"/>
  <c r="AG43"/>
  <c r="V41" i="8"/>
  <c r="AF42" i="88"/>
  <c r="R20" i="8"/>
  <c r="W12" i="219"/>
  <c r="AE36"/>
  <c r="R38" i="8"/>
  <c r="AH54" i="88"/>
  <c r="Y32" i="219"/>
  <c r="AC41"/>
  <c r="W36"/>
  <c r="X45" i="8"/>
  <c r="R52"/>
  <c r="X12"/>
  <c r="AF62" i="88"/>
  <c r="P20" i="8"/>
  <c r="P14"/>
  <c r="R7"/>
  <c r="W46"/>
  <c r="AC15" i="219"/>
  <c r="S49" i="8"/>
  <c r="V13"/>
  <c r="T15"/>
  <c r="P25"/>
  <c r="P19"/>
  <c r="AG22" i="88"/>
  <c r="Y43" i="219"/>
  <c r="AA42"/>
  <c r="Z11"/>
  <c r="U33" i="8"/>
  <c r="S19"/>
  <c r="AH21" i="88"/>
  <c r="T38" i="8"/>
  <c r="AE41" i="219"/>
  <c r="X38" i="8"/>
  <c r="AA11" i="219"/>
  <c r="V46" i="8"/>
  <c r="AB10" i="219"/>
  <c r="AD45"/>
  <c r="X24"/>
  <c r="W8" i="8"/>
  <c r="P52"/>
  <c r="P37"/>
  <c r="S45"/>
  <c r="AD14" i="219"/>
  <c r="R19" i="8"/>
  <c r="AF22" i="88"/>
  <c r="AD51" i="219"/>
  <c r="AF60" i="88"/>
  <c r="Q15" i="8"/>
  <c r="Q52"/>
  <c r="T32"/>
  <c r="AE24" i="219"/>
  <c r="AB17"/>
  <c r="Y20"/>
  <c r="AG47" i="88"/>
  <c r="W45" i="8"/>
  <c r="U13"/>
  <c r="AE10" i="219"/>
  <c r="Z31"/>
  <c r="X16" i="8"/>
  <c r="AB19" i="219"/>
  <c r="Z32"/>
  <c r="Z54"/>
  <c r="AA16"/>
  <c r="P33" i="8"/>
  <c r="W46" i="219"/>
  <c r="AH53" i="88"/>
  <c r="S50" i="8"/>
  <c r="T12"/>
  <c r="Q6"/>
  <c r="S39"/>
  <c r="AD15" i="219"/>
  <c r="AC37"/>
  <c r="AE55"/>
  <c r="T29" i="8"/>
  <c r="AA54" i="219"/>
  <c r="R46" i="8"/>
  <c r="Q46"/>
  <c r="AA41" i="219"/>
  <c r="X25" i="8"/>
  <c r="Q26"/>
  <c r="E1" i="216"/>
  <c r="Q45" i="8"/>
  <c r="V38"/>
  <c r="AF54" i="88"/>
  <c r="AC24" i="219"/>
  <c r="X17"/>
  <c r="Q12" i="8"/>
  <c r="AF43" i="88"/>
  <c r="P17" i="8"/>
  <c r="Q38"/>
  <c r="AB23" i="219"/>
  <c r="Y41"/>
  <c r="P47" i="8"/>
  <c r="W10" i="219"/>
  <c r="AH30" i="88"/>
  <c r="AH34"/>
  <c r="AE53" i="219"/>
  <c r="R50" i="8"/>
  <c r="S29"/>
  <c r="Q27"/>
  <c r="W6"/>
  <c r="W50" i="219"/>
  <c r="P39" i="8"/>
  <c r="R33"/>
  <c r="AC53" i="219"/>
  <c r="E66" i="27"/>
  <c r="G62" i="26"/>
  <c r="G71"/>
  <c r="E34" i="27"/>
  <c r="E56"/>
  <c r="AA50" i="219"/>
  <c r="T46" i="8"/>
  <c r="AG61" i="88"/>
  <c r="T24" i="109"/>
  <c r="U24"/>
  <c r="E44" i="88"/>
  <c r="AD44" s="1"/>
  <c r="W44" i="8"/>
  <c r="AD48" i="219"/>
  <c r="AA14"/>
  <c r="AG25" i="88"/>
  <c r="T10" i="8"/>
  <c r="AC32" i="219"/>
  <c r="J18" i="7"/>
  <c r="T18"/>
  <c r="K18"/>
  <c r="L18"/>
  <c r="L22" i="105" s="1"/>
  <c r="N18" i="7"/>
  <c r="O18"/>
  <c r="R18"/>
  <c r="U18"/>
  <c r="H22" i="105" s="1"/>
  <c r="Q18" i="7"/>
  <c r="P18"/>
  <c r="S18"/>
  <c r="M18"/>
  <c r="E66" i="26"/>
  <c r="G66" s="1"/>
  <c r="D69" i="27"/>
  <c r="E60" i="88"/>
  <c r="AD60" s="1"/>
  <c r="N60"/>
  <c r="AA31" i="219"/>
  <c r="AG42" i="88"/>
  <c r="T27" i="8"/>
  <c r="AA24" i="219"/>
  <c r="AG35" i="88"/>
  <c r="T20" i="8"/>
  <c r="AE23" i="219"/>
  <c r="X19" i="8"/>
  <c r="Q14"/>
  <c r="X18" i="219"/>
  <c r="Z17"/>
  <c r="S13" i="8"/>
  <c r="X28" i="216"/>
  <c r="Y28"/>
  <c r="W28"/>
  <c r="C69" i="5"/>
  <c r="F10" i="26" s="1"/>
  <c r="F13" i="27" s="1"/>
  <c r="D10" i="26"/>
  <c r="B17" i="2"/>
  <c r="AA12" i="219"/>
  <c r="T8" i="8"/>
  <c r="R15"/>
  <c r="Y19" i="219"/>
  <c r="C64" i="88"/>
  <c r="E64" s="1"/>
  <c r="AD64" s="1"/>
  <c r="F64"/>
  <c r="AG64"/>
  <c r="AF64"/>
  <c r="AH29"/>
  <c r="N29"/>
  <c r="AG29"/>
  <c r="F29"/>
  <c r="M29" s="1"/>
  <c r="E29"/>
  <c r="AD29" s="1"/>
  <c r="B46" i="105"/>
  <c r="B47" i="124"/>
  <c r="B21" i="105"/>
  <c r="B22" i="124"/>
  <c r="W9" i="219"/>
  <c r="P5" i="8"/>
  <c r="I2" i="168"/>
  <c r="I2" i="170"/>
  <c r="U51" i="8"/>
  <c r="Q57" i="124"/>
  <c r="R57"/>
  <c r="L33" i="6"/>
  <c r="M33"/>
  <c r="K33"/>
  <c r="Z14" i="219"/>
  <c r="S10" i="8"/>
  <c r="L12" i="6"/>
  <c r="M12"/>
  <c r="K12"/>
  <c r="X8" i="8"/>
  <c r="AE12" i="219"/>
  <c r="R8" i="8"/>
  <c r="Y12" i="219"/>
  <c r="AI8" i="6"/>
  <c r="L8"/>
  <c r="AK8"/>
  <c r="AG8"/>
  <c r="AF8"/>
  <c r="AJ8"/>
  <c r="AD8"/>
  <c r="K8"/>
  <c r="AH8"/>
  <c r="C26" i="16"/>
  <c r="AB5" i="219"/>
  <c r="B49" i="124"/>
  <c r="B48" i="105"/>
  <c r="AV5" i="8"/>
  <c r="Q37"/>
  <c r="E1" i="196"/>
  <c r="N49" i="88"/>
  <c r="E49"/>
  <c r="AD49" s="1"/>
  <c r="M49"/>
  <c r="F25" i="27"/>
  <c r="G22" i="26"/>
  <c r="AA45" i="219"/>
  <c r="AG56" i="88"/>
  <c r="T41" i="8"/>
  <c r="F57" i="124"/>
  <c r="J57"/>
  <c r="J56" i="105"/>
  <c r="F56"/>
  <c r="C40" i="88"/>
  <c r="M40" s="1"/>
  <c r="F40"/>
  <c r="AG40"/>
  <c r="AF40"/>
  <c r="AH40"/>
  <c r="E72" i="26"/>
  <c r="D75" i="27"/>
  <c r="X42" i="8"/>
  <c r="AE46" i="219"/>
  <c r="AA21"/>
  <c r="T17" i="8"/>
  <c r="AG32" i="88"/>
  <c r="D22" i="170"/>
  <c r="AG51" i="1"/>
  <c r="AH51" s="1"/>
  <c r="AG47"/>
  <c r="AH47" s="1"/>
  <c r="AG22"/>
  <c r="AH22" s="1"/>
  <c r="AI22" s="1"/>
  <c r="AC22" s="1"/>
  <c r="AD22" s="1"/>
  <c r="B27" i="124"/>
  <c r="F1" i="170"/>
  <c r="F1" i="168"/>
  <c r="AH23" i="88"/>
  <c r="AF23"/>
  <c r="C23"/>
  <c r="E23" s="1"/>
  <c r="AD23" s="1"/>
  <c r="AG23"/>
  <c r="F18"/>
  <c r="C18"/>
  <c r="M18" s="1"/>
  <c r="W20" i="219"/>
  <c r="P16" i="8"/>
  <c r="C74" i="196"/>
  <c r="Y9" i="219"/>
  <c r="R5" i="8"/>
  <c r="B36" i="105"/>
  <c r="B37" i="124"/>
  <c r="V31" i="8"/>
  <c r="AC35" i="219"/>
  <c r="AF61" i="88"/>
  <c r="Z50" i="219"/>
  <c r="S46" i="8"/>
  <c r="Z12" i="219"/>
  <c r="S8" i="8"/>
  <c r="AC14" i="219"/>
  <c r="V10" i="8"/>
  <c r="Z41" i="219"/>
  <c r="Y55"/>
  <c r="R51" i="8"/>
  <c r="E58" i="196"/>
  <c r="D19" i="170"/>
  <c r="D58" i="196"/>
  <c r="I59" i="124"/>
  <c r="K59"/>
  <c r="J51"/>
  <c r="H51"/>
  <c r="J43"/>
  <c r="I34"/>
  <c r="K34"/>
  <c r="I23"/>
  <c r="K23"/>
  <c r="L14"/>
  <c r="C23" i="5"/>
  <c r="F36" i="26" s="1"/>
  <c r="F39" i="27" s="1"/>
  <c r="D36" i="26"/>
  <c r="D23" i="5"/>
  <c r="B16" i="2"/>
  <c r="B95"/>
  <c r="E3" i="101"/>
  <c r="F6" i="2"/>
  <c r="D44" i="27"/>
  <c r="E41" i="26"/>
  <c r="N47" i="88"/>
  <c r="E47"/>
  <c r="AD47" s="1"/>
  <c r="X27" i="8"/>
  <c r="AE31" i="219"/>
  <c r="W50" i="8"/>
  <c r="AA18" i="219"/>
  <c r="T14" i="8"/>
  <c r="D71" i="196"/>
  <c r="C71"/>
  <c r="E71"/>
  <c r="F12" i="124"/>
  <c r="L12"/>
  <c r="H12"/>
  <c r="T33" i="8"/>
  <c r="AG48" i="88"/>
  <c r="AB33" i="219"/>
  <c r="AH44" i="88"/>
  <c r="R12" i="8"/>
  <c r="AA15" i="219"/>
  <c r="T11" i="8"/>
  <c r="AG26" i="88"/>
  <c r="Y14" i="219"/>
  <c r="R10" i="8"/>
  <c r="Q8"/>
  <c r="X12" i="219"/>
  <c r="B27" i="105"/>
  <c r="B28" i="124"/>
  <c r="S51" i="105"/>
  <c r="R51"/>
  <c r="R45"/>
  <c r="S45"/>
  <c r="S40"/>
  <c r="R40"/>
  <c r="R34"/>
  <c r="S34"/>
  <c r="AV14" i="8"/>
  <c r="I3" i="101"/>
  <c r="D51" i="27"/>
  <c r="E48" i="26"/>
  <c r="W29" i="216"/>
  <c r="Y29"/>
  <c r="X29"/>
  <c r="C70" i="5"/>
  <c r="F11" i="26" s="1"/>
  <c r="F14" i="27" s="1"/>
  <c r="D11" i="26"/>
  <c r="J16" i="124"/>
  <c r="F15" i="105"/>
  <c r="F16" i="124"/>
  <c r="W17" i="219"/>
  <c r="P13" i="8"/>
  <c r="U20" i="109"/>
  <c r="T20"/>
  <c r="AB54" i="219"/>
  <c r="U50" i="8"/>
  <c r="AH65" i="88"/>
  <c r="R6" i="8"/>
  <c r="Y10" i="219"/>
  <c r="L40" i="124"/>
  <c r="L39" i="105"/>
  <c r="L44"/>
  <c r="L45" i="124"/>
  <c r="F11" i="215"/>
  <c r="B11"/>
  <c r="Y22" i="216"/>
  <c r="W22"/>
  <c r="X22"/>
  <c r="B7" i="214"/>
  <c r="C18" i="215" s="1"/>
  <c r="B9" i="214"/>
  <c r="C15" i="215" s="1"/>
  <c r="B6" i="214"/>
  <c r="D15" i="215" s="1"/>
  <c r="K43" i="124"/>
  <c r="BH5" i="4"/>
  <c r="W3" i="26"/>
  <c r="B38" i="2" s="1"/>
  <c r="C38" s="1"/>
  <c r="AG11" i="1"/>
  <c r="AH11" s="1"/>
  <c r="D64" i="27"/>
  <c r="E61" i="26"/>
  <c r="Q2" i="170"/>
  <c r="Q2" i="168"/>
  <c r="AG62" i="88"/>
  <c r="T47" i="8"/>
  <c r="R26"/>
  <c r="Y30" i="219"/>
  <c r="T23" i="109"/>
  <c r="U23"/>
  <c r="L39" i="124"/>
  <c r="L38" i="105"/>
  <c r="B30"/>
  <c r="B31" i="124"/>
  <c r="E23" i="170"/>
  <c r="E23" i="168"/>
  <c r="J42" i="105"/>
  <c r="Z24" i="219"/>
  <c r="AF35" i="88"/>
  <c r="S20" i="8"/>
  <c r="X14" i="219"/>
  <c r="Q10" i="8"/>
  <c r="V25"/>
  <c r="AC29" i="219"/>
  <c r="U52" i="8"/>
  <c r="AB56" i="219"/>
  <c r="AB35"/>
  <c r="AH46" i="88"/>
  <c r="Z48" i="219"/>
  <c r="S44" i="8"/>
  <c r="E57" i="26"/>
  <c r="E60" i="27" s="1"/>
  <c r="D60"/>
  <c r="E70" i="26"/>
  <c r="G70" s="1"/>
  <c r="D73" i="27"/>
  <c r="R25" i="124"/>
  <c r="Q25"/>
  <c r="T14" i="7"/>
  <c r="K14"/>
  <c r="L14"/>
  <c r="M14"/>
  <c r="Q14"/>
  <c r="R14"/>
  <c r="U14"/>
  <c r="S14"/>
  <c r="O14"/>
  <c r="J14"/>
  <c r="P14"/>
  <c r="N14"/>
  <c r="L47" i="6"/>
  <c r="K47"/>
  <c r="AE47"/>
  <c r="AH47"/>
  <c r="AK47"/>
  <c r="AG47"/>
  <c r="AC47"/>
  <c r="AI47"/>
  <c r="AD47"/>
  <c r="E64" i="26"/>
  <c r="D67" i="27"/>
  <c r="E7" i="26"/>
  <c r="E10" i="27" s="1"/>
  <c r="H56" i="124"/>
  <c r="AF52" i="88"/>
  <c r="Z23" i="219"/>
  <c r="AE19"/>
  <c r="AA53"/>
  <c r="T49" i="8"/>
  <c r="I24" i="2"/>
  <c r="F2" i="212"/>
  <c r="G24" i="2"/>
  <c r="F2" i="214"/>
  <c r="D15" i="27"/>
  <c r="E12" i="26"/>
  <c r="C79" i="196"/>
  <c r="D79"/>
  <c r="E79"/>
  <c r="E78"/>
  <c r="C78"/>
  <c r="W25" i="8"/>
  <c r="AD29" i="219"/>
  <c r="D50" i="27"/>
  <c r="E47" i="26"/>
  <c r="C8" i="5"/>
  <c r="B11" i="88"/>
  <c r="C17"/>
  <c r="M17" s="1"/>
  <c r="C63"/>
  <c r="E63" s="1"/>
  <c r="AD63" s="1"/>
  <c r="F63"/>
  <c r="AG17" i="1"/>
  <c r="AH17" s="1"/>
  <c r="AG25"/>
  <c r="AH25" s="1"/>
  <c r="AG7"/>
  <c r="AH7" s="1"/>
  <c r="AG24"/>
  <c r="AH24" s="1"/>
  <c r="D52" i="5"/>
  <c r="C52"/>
  <c r="F65" i="26" s="1"/>
  <c r="F68" i="27" s="1"/>
  <c r="D65" i="26"/>
  <c r="Q33" i="8"/>
  <c r="X37" i="219"/>
  <c r="Z36"/>
  <c r="AF47" i="88"/>
  <c r="R55" i="105"/>
  <c r="S55"/>
  <c r="S43"/>
  <c r="R43"/>
  <c r="R37"/>
  <c r="S37"/>
  <c r="S32"/>
  <c r="R32"/>
  <c r="S2" i="170"/>
  <c r="J15" i="105"/>
  <c r="L51"/>
  <c r="L20"/>
  <c r="AP21" i="4"/>
  <c r="AV33" i="8"/>
  <c r="E62" i="88"/>
  <c r="AD62" s="1"/>
  <c r="Z16" i="219"/>
  <c r="S12" i="8"/>
  <c r="Z56" i="219"/>
  <c r="S52" i="8"/>
  <c r="E67" i="196"/>
  <c r="C67"/>
  <c r="B67" s="1"/>
  <c r="B42" s="1"/>
  <c r="D67"/>
  <c r="D28" i="170"/>
  <c r="D28" i="168"/>
  <c r="C13" i="211"/>
  <c r="C15"/>
  <c r="C8"/>
  <c r="V26" i="216"/>
  <c r="V25"/>
  <c r="V27"/>
  <c r="V19"/>
  <c r="V24"/>
  <c r="V21"/>
  <c r="V30"/>
  <c r="V20"/>
  <c r="C58" i="88"/>
  <c r="F58"/>
  <c r="N41"/>
  <c r="E41"/>
  <c r="AD41" s="1"/>
  <c r="N35" i="7"/>
  <c r="U35"/>
  <c r="F39" i="105" s="1"/>
  <c r="J35" i="7"/>
  <c r="Q35"/>
  <c r="S38"/>
  <c r="L38"/>
  <c r="L42" i="105" s="1"/>
  <c r="K38" i="7"/>
  <c r="U38"/>
  <c r="H42" i="105" s="1"/>
  <c r="O38" i="7"/>
  <c r="J40"/>
  <c r="K40"/>
  <c r="S40"/>
  <c r="Q40"/>
  <c r="R40"/>
  <c r="T54"/>
  <c r="J54"/>
  <c r="J58" i="105" s="1"/>
  <c r="S54" i="7"/>
  <c r="L54"/>
  <c r="O54"/>
  <c r="U54"/>
  <c r="H58" i="105" s="1"/>
  <c r="R54" i="7"/>
  <c r="N54"/>
  <c r="P54"/>
  <c r="L13" i="105"/>
  <c r="V39" i="8"/>
  <c r="AC43" i="219"/>
  <c r="S33" i="8"/>
  <c r="AF48" i="88"/>
  <c r="X26" i="8"/>
  <c r="AE30" i="219"/>
  <c r="B29" i="105"/>
  <c r="B30" i="124"/>
  <c r="R39" i="105"/>
  <c r="S39"/>
  <c r="G26" i="26"/>
  <c r="AP20" i="4"/>
  <c r="C19" i="211"/>
  <c r="E56" i="88"/>
  <c r="AD56" s="1"/>
  <c r="N56"/>
  <c r="J28" i="105"/>
  <c r="J29" i="124"/>
  <c r="K2" i="170"/>
  <c r="K2" i="168"/>
  <c r="X21" i="219"/>
  <c r="Q17" i="8"/>
  <c r="AD23" i="219"/>
  <c r="W19" i="8"/>
  <c r="AG28" i="88"/>
  <c r="AA17" i="219"/>
  <c r="AB50"/>
  <c r="AH61" i="88"/>
  <c r="Z10" i="219"/>
  <c r="AF21" i="88"/>
  <c r="AB16" i="219"/>
  <c r="U12" i="8"/>
  <c r="V26"/>
  <c r="AC30" i="219"/>
  <c r="E72" i="27"/>
  <c r="G69" i="26"/>
  <c r="AH43" i="88"/>
  <c r="AB32" i="219"/>
  <c r="U28" i="8"/>
  <c r="D23" i="27"/>
  <c r="E20" i="26"/>
  <c r="E23" i="27" s="1"/>
  <c r="L21" i="105"/>
  <c r="H45" i="124"/>
  <c r="H44" i="105"/>
  <c r="S1" i="170"/>
  <c r="S1" i="168"/>
  <c r="H6" i="88"/>
  <c r="D4" i="194" s="1"/>
  <c r="I16" i="88"/>
  <c r="AE20" i="6"/>
  <c r="AJ20"/>
  <c r="K20"/>
  <c r="L20"/>
  <c r="AF20"/>
  <c r="AI20"/>
  <c r="AH20"/>
  <c r="AK20"/>
  <c r="L55" i="7"/>
  <c r="T55"/>
  <c r="K55"/>
  <c r="S55"/>
  <c r="R55"/>
  <c r="O55"/>
  <c r="Q55"/>
  <c r="P55"/>
  <c r="M55"/>
  <c r="J55"/>
  <c r="N55"/>
  <c r="B15" i="105"/>
  <c r="B16" i="124"/>
  <c r="E40" i="26"/>
  <c r="G40" s="1"/>
  <c r="D43" i="27"/>
  <c r="E37" i="88"/>
  <c r="AD37" s="1"/>
  <c r="N37"/>
  <c r="Q22" i="8"/>
  <c r="X26" i="219"/>
  <c r="AB18"/>
  <c r="U14" i="8"/>
  <c r="M42" i="88"/>
  <c r="N42"/>
  <c r="J25" i="124"/>
  <c r="J24" i="105"/>
  <c r="C59" i="196"/>
  <c r="B59" s="1"/>
  <c r="B34" s="1"/>
  <c r="D59"/>
  <c r="D20" i="170"/>
  <c r="E59" i="196"/>
  <c r="T1" i="168"/>
  <c r="T1" i="170"/>
  <c r="F54" i="124"/>
  <c r="L54"/>
  <c r="H37"/>
  <c r="F18"/>
  <c r="J18"/>
  <c r="E51" i="88"/>
  <c r="AD51" s="1"/>
  <c r="N51"/>
  <c r="F44"/>
  <c r="AG44"/>
  <c r="N44"/>
  <c r="AF44"/>
  <c r="H32" i="105"/>
  <c r="L32"/>
  <c r="B23" i="124"/>
  <c r="B22" i="105"/>
  <c r="B18"/>
  <c r="B19" i="124"/>
  <c r="AV11" i="8"/>
  <c r="T13"/>
  <c r="U46"/>
  <c r="C79" i="5"/>
  <c r="F20" i="26" s="1"/>
  <c r="F23" i="27" s="1"/>
  <c r="D16" i="26"/>
  <c r="M28" i="88"/>
  <c r="N28"/>
  <c r="C75" i="196"/>
  <c r="AH31" i="88"/>
  <c r="AB20" i="219"/>
  <c r="AE32"/>
  <c r="X28" i="8"/>
  <c r="L44" i="124"/>
  <c r="L43" i="105"/>
  <c r="F17" i="215"/>
  <c r="B17"/>
  <c r="Z2" i="4"/>
  <c r="BD1" s="1"/>
  <c r="AK7"/>
  <c r="AL7" s="1"/>
  <c r="R50" i="124"/>
  <c r="Q50"/>
  <c r="Q32"/>
  <c r="R32"/>
  <c r="C52" i="88"/>
  <c r="E52" s="1"/>
  <c r="AD52" s="1"/>
  <c r="F52"/>
  <c r="C45"/>
  <c r="M45" s="1"/>
  <c r="AG23" i="1"/>
  <c r="AH23" s="1"/>
  <c r="AG43"/>
  <c r="AH43" s="1"/>
  <c r="AG46"/>
  <c r="AH46" s="1"/>
  <c r="AG39"/>
  <c r="AH39" s="1"/>
  <c r="AG9"/>
  <c r="AH9" s="1"/>
  <c r="AG12"/>
  <c r="AH12" s="1"/>
  <c r="AG16"/>
  <c r="AH16" s="1"/>
  <c r="AG20"/>
  <c r="AH20" s="1"/>
  <c r="AG37"/>
  <c r="AH37" s="1"/>
  <c r="AG3"/>
  <c r="AH3" s="1"/>
  <c r="AG33"/>
  <c r="AH33" s="1"/>
  <c r="AG40"/>
  <c r="AH40" s="1"/>
  <c r="AG44"/>
  <c r="AH44" s="1"/>
  <c r="AG21"/>
  <c r="AH21" s="1"/>
  <c r="AG14"/>
  <c r="AH14" s="1"/>
  <c r="AG34"/>
  <c r="AH34" s="1"/>
  <c r="AG10"/>
  <c r="AH10" s="1"/>
  <c r="AG38"/>
  <c r="AH38" s="1"/>
  <c r="AG8"/>
  <c r="AH8" s="1"/>
  <c r="AG36"/>
  <c r="AH36" s="1"/>
  <c r="AG48"/>
  <c r="AH48" s="1"/>
  <c r="AG26"/>
  <c r="AH26" s="1"/>
  <c r="AG31"/>
  <c r="AH31" s="1"/>
  <c r="AG41"/>
  <c r="AH41" s="1"/>
  <c r="AG28"/>
  <c r="AG15"/>
  <c r="AH15" s="1"/>
  <c r="AG50"/>
  <c r="AH50" s="1"/>
  <c r="AG18"/>
  <c r="AH18" s="1"/>
  <c r="AG35"/>
  <c r="AH35" s="1"/>
  <c r="AG4"/>
  <c r="AH4" s="1"/>
  <c r="AG13"/>
  <c r="AH13" s="1"/>
  <c r="AG32"/>
  <c r="AH32" s="1"/>
  <c r="AG29"/>
  <c r="AG49"/>
  <c r="AH49" s="1"/>
  <c r="AG45"/>
  <c r="AH45" s="1"/>
  <c r="AG19"/>
  <c r="AH19" s="1"/>
  <c r="AG42"/>
  <c r="AH42" s="1"/>
  <c r="AG27"/>
  <c r="AH27" s="1"/>
  <c r="AG6"/>
  <c r="AH6" s="1"/>
  <c r="AD39" i="6"/>
  <c r="L39"/>
  <c r="M39" s="1"/>
  <c r="AE39"/>
  <c r="AK39"/>
  <c r="Y36" i="219"/>
  <c r="R32" i="8"/>
  <c r="M6" i="6"/>
  <c r="K6"/>
  <c r="L6"/>
  <c r="C24" i="16"/>
  <c r="Z5" i="219"/>
  <c r="F20" i="105"/>
  <c r="F49"/>
  <c r="F13"/>
  <c r="F34"/>
  <c r="G2"/>
  <c r="F55"/>
  <c r="F14"/>
  <c r="F37"/>
  <c r="F53"/>
  <c r="F17"/>
  <c r="F57"/>
  <c r="F38"/>
  <c r="B25"/>
  <c r="B26" i="124"/>
  <c r="R54" i="105"/>
  <c r="S54"/>
  <c r="S31"/>
  <c r="R31"/>
  <c r="G51" i="26"/>
  <c r="Y17" i="219"/>
  <c r="U55" i="7"/>
  <c r="AB51" i="219"/>
  <c r="U47" i="8"/>
  <c r="Q32"/>
  <c r="AB30" i="170"/>
  <c r="AB23"/>
  <c r="AB20"/>
  <c r="F46" i="88"/>
  <c r="M46" s="1"/>
  <c r="E46"/>
  <c r="AD46" s="1"/>
  <c r="N46"/>
  <c r="J8" i="7"/>
  <c r="U8"/>
  <c r="Q8"/>
  <c r="T8"/>
  <c r="Q37"/>
  <c r="N37"/>
  <c r="J37"/>
  <c r="O37"/>
  <c r="J25"/>
  <c r="M25"/>
  <c r="S56" i="105"/>
  <c r="R56"/>
  <c r="R50"/>
  <c r="S50"/>
  <c r="AV29" i="8"/>
  <c r="AB24" i="219"/>
  <c r="AH35" i="88"/>
  <c r="X46" i="8"/>
  <c r="AE50" i="219"/>
  <c r="G1" i="170"/>
  <c r="G1" i="168"/>
  <c r="C59" i="88"/>
  <c r="E59" s="1"/>
  <c r="AD59" s="1"/>
  <c r="F59"/>
  <c r="D29" i="5"/>
  <c r="C29"/>
  <c r="F42" i="26" s="1"/>
  <c r="F45" i="27" s="1"/>
  <c r="D42" i="26"/>
  <c r="AQ5" i="4"/>
  <c r="D5" s="1"/>
  <c r="AQ8"/>
  <c r="D8" s="1"/>
  <c r="AN17"/>
  <c r="AN13"/>
  <c r="AN10"/>
  <c r="AQ9"/>
  <c r="D9" s="1"/>
  <c r="AN18"/>
  <c r="AN8"/>
  <c r="AP8" s="1"/>
  <c r="AN5"/>
  <c r="AQ7"/>
  <c r="D7" s="1"/>
  <c r="AQ11"/>
  <c r="D11" s="1"/>
  <c r="AN22"/>
  <c r="AN24"/>
  <c r="AP24" s="1"/>
  <c r="AN3"/>
  <c r="AP3" s="1"/>
  <c r="K42" i="6"/>
  <c r="AD42"/>
  <c r="AG42"/>
  <c r="AJ42"/>
  <c r="X13" i="8"/>
  <c r="AE17" i="219"/>
  <c r="B57" i="124"/>
  <c r="B56" i="105"/>
  <c r="L54" i="6"/>
  <c r="K54"/>
  <c r="AD54"/>
  <c r="AG54"/>
  <c r="AF54"/>
  <c r="K34"/>
  <c r="AG34"/>
  <c r="AJ34"/>
  <c r="AK34"/>
  <c r="R58" i="105"/>
  <c r="S58"/>
  <c r="Z45" i="219"/>
  <c r="S41" i="8"/>
  <c r="AA46" i="219"/>
  <c r="T42" i="8"/>
  <c r="F6" i="26"/>
  <c r="F9" i="27" s="1"/>
  <c r="D5" i="26"/>
  <c r="B9" i="88"/>
  <c r="BF9" i="4"/>
  <c r="BF10"/>
  <c r="BF12"/>
  <c r="BF7"/>
  <c r="E68" i="196"/>
  <c r="I1" i="168"/>
  <c r="I1" i="170"/>
  <c r="E2" i="216"/>
  <c r="E2" i="109"/>
  <c r="F31" i="88"/>
  <c r="M31" s="1"/>
  <c r="N31"/>
  <c r="E31"/>
  <c r="AD31" s="1"/>
  <c r="K10" i="7"/>
  <c r="L10"/>
  <c r="M10"/>
  <c r="N10"/>
  <c r="Q31"/>
  <c r="T31"/>
  <c r="U31"/>
  <c r="G73" i="88" s="1"/>
  <c r="P31" i="7"/>
  <c r="M31"/>
  <c r="AO21" i="4"/>
  <c r="AO15"/>
  <c r="AO7"/>
  <c r="AP7" s="1"/>
  <c r="R47" i="105"/>
  <c r="S47"/>
  <c r="R35"/>
  <c r="S35"/>
  <c r="S47" i="8"/>
  <c r="X20" i="219"/>
  <c r="AG34" i="88"/>
  <c r="U8" i="8"/>
  <c r="T6"/>
  <c r="G38" i="26"/>
  <c r="V2" i="4"/>
  <c r="E25" i="88"/>
  <c r="AD25" s="1"/>
  <c r="S30" i="109"/>
  <c r="S25"/>
  <c r="S26"/>
  <c r="D46" i="5"/>
  <c r="C46"/>
  <c r="F59" i="26" s="1"/>
  <c r="F62" i="27" s="1"/>
  <c r="AH48" i="6"/>
  <c r="AG48"/>
  <c r="AE48"/>
  <c r="AF25"/>
  <c r="AK25"/>
  <c r="AH25"/>
  <c r="AJ25"/>
  <c r="B37" i="105"/>
  <c r="B38" i="124"/>
  <c r="S59" i="105"/>
  <c r="R59"/>
  <c r="R42"/>
  <c r="S42"/>
  <c r="S30"/>
  <c r="R30"/>
  <c r="R23"/>
  <c r="S46"/>
  <c r="D55" i="5"/>
  <c r="D68" i="26"/>
  <c r="K19" i="6"/>
  <c r="AJ19"/>
  <c r="AE44"/>
  <c r="AH44"/>
  <c r="AK44"/>
  <c r="AC44"/>
  <c r="AD44"/>
  <c r="AF41"/>
  <c r="L41"/>
  <c r="K41"/>
  <c r="L17"/>
  <c r="M17" s="1"/>
  <c r="AF17"/>
  <c r="AF29" i="88" s="1"/>
  <c r="M44" i="7"/>
  <c r="U44"/>
  <c r="L44"/>
  <c r="T44"/>
  <c r="K44"/>
  <c r="S44"/>
  <c r="P44"/>
  <c r="AF45" i="6"/>
  <c r="AE28"/>
  <c r="T39" i="7"/>
  <c r="O39"/>
  <c r="R8" i="105"/>
  <c r="R26" s="1"/>
  <c r="Q9" i="124"/>
  <c r="C12" i="211"/>
  <c r="L31" i="6"/>
  <c r="R44" i="105"/>
  <c r="R36"/>
  <c r="J44" i="7"/>
  <c r="R50"/>
  <c r="J50"/>
  <c r="N50"/>
  <c r="G45" i="26"/>
  <c r="E29" i="27"/>
  <c r="M32" i="6"/>
  <c r="S32" s="1"/>
  <c r="F29" i="8" s="1"/>
  <c r="M23" i="6"/>
  <c r="G17" i="26"/>
  <c r="G58"/>
  <c r="G43"/>
  <c r="E41" i="27"/>
  <c r="G34" i="26"/>
  <c r="E21" i="27"/>
  <c r="G18" i="26"/>
  <c r="M16" i="6"/>
  <c r="AB16" s="1"/>
  <c r="M55"/>
  <c r="T55" s="1"/>
  <c r="M49"/>
  <c r="Y49" s="1"/>
  <c r="M15" l="1"/>
  <c r="Z15" s="1"/>
  <c r="M12" i="8" s="1"/>
  <c r="G12" i="213"/>
  <c r="M52" i="6"/>
  <c r="W52" s="1"/>
  <c r="J49" i="8" s="1"/>
  <c r="B9" i="212"/>
  <c r="M22" i="6"/>
  <c r="P22" s="1"/>
  <c r="M30"/>
  <c r="S30" s="1"/>
  <c r="M31" i="219" s="1"/>
  <c r="G59" i="26"/>
  <c r="M40" i="6"/>
  <c r="S40" s="1"/>
  <c r="M41" i="219" s="1"/>
  <c r="G75" i="26"/>
  <c r="M36" i="6"/>
  <c r="T36" s="1"/>
  <c r="G33" i="8" s="1"/>
  <c r="M13" i="6"/>
  <c r="T13" s="1"/>
  <c r="G10" i="8" s="1"/>
  <c r="M53" i="6"/>
  <c r="Q53" s="1"/>
  <c r="D50" i="8" s="1"/>
  <c r="N34" i="88"/>
  <c r="D49" i="27"/>
  <c r="E46" i="26"/>
  <c r="AD17" i="219"/>
  <c r="AP18" i="4"/>
  <c r="W54" i="219"/>
  <c r="R21" i="105"/>
  <c r="C68" i="196"/>
  <c r="B68" s="1"/>
  <c r="B43" s="1"/>
  <c r="F46" i="105"/>
  <c r="E65" i="196"/>
  <c r="H14" i="105"/>
  <c r="H14" i="124"/>
  <c r="W20" i="8"/>
  <c r="AG67" i="88"/>
  <c r="T25" i="8"/>
  <c r="AH25" i="88"/>
  <c r="N6" i="16"/>
  <c r="J46" i="105"/>
  <c r="H26"/>
  <c r="AP9" i="4"/>
  <c r="U10" i="8"/>
  <c r="AP5" i="4"/>
  <c r="C65" i="196"/>
  <c r="B65" s="1"/>
  <c r="B40" s="1"/>
  <c r="AE14" i="219"/>
  <c r="E35" i="27"/>
  <c r="AB31" i="219"/>
  <c r="AB30"/>
  <c r="D61" i="196"/>
  <c r="T27" i="109"/>
  <c r="AC23" i="219"/>
  <c r="J47" i="124"/>
  <c r="AT18" i="211"/>
  <c r="G41" i="26"/>
  <c r="U26" i="8"/>
  <c r="G72" i="26"/>
  <c r="G53"/>
  <c r="AE54" i="219"/>
  <c r="Q50" i="8"/>
  <c r="M54" i="88"/>
  <c r="D29" i="168"/>
  <c r="P45" i="8"/>
  <c r="T52"/>
  <c r="AP15" i="4"/>
  <c r="AH52" i="88"/>
  <c r="D26" i="168"/>
  <c r="AH42" i="88"/>
  <c r="E73" i="196"/>
  <c r="E61"/>
  <c r="AP17" i="4"/>
  <c r="AC16" i="219"/>
  <c r="D26" i="170"/>
  <c r="AB41" i="219"/>
  <c r="C77" i="196"/>
  <c r="E72"/>
  <c r="H58" i="124"/>
  <c r="E18" i="88"/>
  <c r="AD18" s="1"/>
  <c r="C73" i="196"/>
  <c r="B73" s="1"/>
  <c r="B48" s="1"/>
  <c r="C61"/>
  <c r="B61" s="1"/>
  <c r="B36" s="1"/>
  <c r="R27" i="8"/>
  <c r="W37"/>
  <c r="AC10" i="219"/>
  <c r="AP13" i="4"/>
  <c r="D77" i="196"/>
  <c r="C72"/>
  <c r="E38" i="88"/>
  <c r="AD38" s="1"/>
  <c r="V11" i="6"/>
  <c r="P12" i="219" s="1"/>
  <c r="AB11" i="6"/>
  <c r="C26" i="2"/>
  <c r="C4" i="124" s="1"/>
  <c r="AT17" i="211"/>
  <c r="AT11"/>
  <c r="AA40" i="219"/>
  <c r="AG51" i="88"/>
  <c r="P15" i="8"/>
  <c r="S16"/>
  <c r="U32"/>
  <c r="P38"/>
  <c r="W32"/>
  <c r="W28"/>
  <c r="P31"/>
  <c r="R11"/>
  <c r="P28"/>
  <c r="AF31" i="88"/>
  <c r="W49" i="8"/>
  <c r="AC46" i="219"/>
  <c r="V36" i="8"/>
  <c r="AH22" i="88"/>
  <c r="AB36" i="219"/>
  <c r="AH26" i="88"/>
  <c r="AH51"/>
  <c r="AI24" i="1"/>
  <c r="AC24" s="1"/>
  <c r="W12" i="8"/>
  <c r="R42"/>
  <c r="X11"/>
  <c r="X51" i="219"/>
  <c r="Q11" i="8"/>
  <c r="AG37" i="88"/>
  <c r="R14" i="8"/>
  <c r="AE11" i="219"/>
  <c r="Y33"/>
  <c r="AF51" i="88"/>
  <c r="W29" i="8"/>
  <c r="P7"/>
  <c r="V32"/>
  <c r="T22"/>
  <c r="Y53" i="219"/>
  <c r="AA30"/>
  <c r="AB40"/>
  <c r="Z40"/>
  <c r="AD19"/>
  <c r="V16" i="8"/>
  <c r="U42"/>
  <c r="AC33" i="219"/>
  <c r="Q25" i="8"/>
  <c r="AH57" i="88"/>
  <c r="T26" i="8"/>
  <c r="AD30" i="219"/>
  <c r="Y35"/>
  <c r="X53"/>
  <c r="V15" i="8"/>
  <c r="K12" i="4"/>
  <c r="K3"/>
  <c r="F22"/>
  <c r="B27" i="16" s="1"/>
  <c r="F12" i="4"/>
  <c r="B17" i="16" s="1"/>
  <c r="F23" i="4"/>
  <c r="B28" i="16" s="1"/>
  <c r="T15" i="216"/>
  <c r="K8" i="4"/>
  <c r="F24"/>
  <c r="B29" i="16" s="1"/>
  <c r="F18" i="4"/>
  <c r="B23" i="16" s="1"/>
  <c r="F6" i="4"/>
  <c r="F22" i="168" s="1"/>
  <c r="G22" s="1"/>
  <c r="B9" i="223"/>
  <c r="F20" i="4"/>
  <c r="B25" i="16" s="1"/>
  <c r="S15" i="216"/>
  <c r="F10" i="4"/>
  <c r="F26" i="170" s="1"/>
  <c r="Q19" i="216"/>
  <c r="P19"/>
  <c r="F3" i="4"/>
  <c r="B8" i="16" s="1"/>
  <c r="F17" i="4"/>
  <c r="B22" i="16" s="1"/>
  <c r="F4" i="4"/>
  <c r="K9" i="211" s="1"/>
  <c r="F16" i="4"/>
  <c r="B21" i="16" s="1"/>
  <c r="F19" i="4"/>
  <c r="B24" i="16" s="1"/>
  <c r="H35" i="124"/>
  <c r="M39" i="88"/>
  <c r="H52" i="105"/>
  <c r="F27"/>
  <c r="L37" i="124"/>
  <c r="F58" i="105"/>
  <c r="H42" i="124"/>
  <c r="F43"/>
  <c r="L45" i="105"/>
  <c r="F35"/>
  <c r="F41"/>
  <c r="F34" i="124"/>
  <c r="K10" i="4"/>
  <c r="K11"/>
  <c r="K7"/>
  <c r="K4"/>
  <c r="K5"/>
  <c r="Y23" i="6"/>
  <c r="S24" i="219" s="1"/>
  <c r="L35" i="124"/>
  <c r="L34"/>
  <c r="R48" i="6"/>
  <c r="E45" i="8" s="1"/>
  <c r="H34" i="124"/>
  <c r="L30" i="105"/>
  <c r="F33"/>
  <c r="L23" i="124"/>
  <c r="J34"/>
  <c r="L50" i="105"/>
  <c r="F36" i="124"/>
  <c r="F42" i="105"/>
  <c r="H23" i="124"/>
  <c r="F22" i="105"/>
  <c r="M35" i="88"/>
  <c r="H50" i="105"/>
  <c r="F50"/>
  <c r="M50" i="88"/>
  <c r="W9" i="6"/>
  <c r="Q10" i="219" s="1"/>
  <c r="M56" i="88"/>
  <c r="L41" i="124"/>
  <c r="F30" i="105"/>
  <c r="M43" i="88"/>
  <c r="F45" i="105"/>
  <c r="M41" i="88"/>
  <c r="M47"/>
  <c r="J14" i="124"/>
  <c r="F31"/>
  <c r="F28"/>
  <c r="B12" i="215"/>
  <c r="O19" i="109"/>
  <c r="K14" i="4"/>
  <c r="K13"/>
  <c r="K6"/>
  <c r="M45" i="6"/>
  <c r="Z45" s="1"/>
  <c r="M42" i="8" s="1"/>
  <c r="B1" i="105"/>
  <c r="O4" i="107" s="1"/>
  <c r="B21" i="215"/>
  <c r="B20"/>
  <c r="G30" i="26"/>
  <c r="M29" i="6"/>
  <c r="W29" s="1"/>
  <c r="J26" i="8" s="1"/>
  <c r="E22" i="27"/>
  <c r="M35" i="6"/>
  <c r="AB35" s="1"/>
  <c r="O32" i="8" s="1"/>
  <c r="G49" i="26"/>
  <c r="M31" i="6"/>
  <c r="U31" s="1"/>
  <c r="O32" i="219" s="1"/>
  <c r="M18" i="6"/>
  <c r="W18" s="1"/>
  <c r="J15" i="8" s="1"/>
  <c r="M14" i="6"/>
  <c r="P14" s="1"/>
  <c r="D69" i="196"/>
  <c r="D30" i="170"/>
  <c r="F40" i="105"/>
  <c r="J41" i="124"/>
  <c r="J40" i="105"/>
  <c r="E15" i="26"/>
  <c r="D18" i="27"/>
  <c r="D17"/>
  <c r="E14" i="26"/>
  <c r="D36" i="27"/>
  <c r="E33" i="26"/>
  <c r="J43" i="105"/>
  <c r="F43"/>
  <c r="F44" i="124"/>
  <c r="D76" i="196"/>
  <c r="C76"/>
  <c r="B76" s="1"/>
  <c r="B51" s="1"/>
  <c r="E76"/>
  <c r="M57" i="88"/>
  <c r="E57"/>
  <c r="AD57" s="1"/>
  <c r="E21" i="170"/>
  <c r="E21" i="168"/>
  <c r="D63" i="27"/>
  <c r="E60" i="26"/>
  <c r="E10" i="88"/>
  <c r="AJ6" i="16"/>
  <c r="L9" i="67" s="1"/>
  <c r="W55" i="219"/>
  <c r="P51" i="8"/>
  <c r="D77" i="27"/>
  <c r="E74" i="26"/>
  <c r="F35" i="124"/>
  <c r="J35"/>
  <c r="AM4" i="4"/>
  <c r="BH4"/>
  <c r="M24" i="88"/>
  <c r="J44" i="124"/>
  <c r="M34" i="88"/>
  <c r="M62"/>
  <c r="R12" i="105"/>
  <c r="AE43" i="219"/>
  <c r="F52" i="105"/>
  <c r="E69" i="196"/>
  <c r="S15" i="8"/>
  <c r="AT12" i="211"/>
  <c r="B21" i="213"/>
  <c r="D19" i="168"/>
  <c r="M23" i="88"/>
  <c r="M60"/>
  <c r="W38" i="8"/>
  <c r="AC51" i="219"/>
  <c r="H55" i="124"/>
  <c r="M33" i="88"/>
  <c r="J31" i="105"/>
  <c r="F32" i="124"/>
  <c r="J36" i="105"/>
  <c r="F36"/>
  <c r="G74" i="88"/>
  <c r="J26" i="105"/>
  <c r="J27" i="124"/>
  <c r="H47" i="105"/>
  <c r="H48" i="124"/>
  <c r="AC31" i="219"/>
  <c r="V27" i="8"/>
  <c r="E29" i="168"/>
  <c r="E29" i="170"/>
  <c r="F13" i="4"/>
  <c r="AF41" i="88"/>
  <c r="S26" i="8"/>
  <c r="Z30" i="219"/>
  <c r="Z2"/>
  <c r="X2"/>
  <c r="Y2"/>
  <c r="AB2"/>
  <c r="V2"/>
  <c r="C124" i="2"/>
  <c r="L2" i="6" s="1"/>
  <c r="W2" i="219"/>
  <c r="AA2"/>
  <c r="AE2"/>
  <c r="AD2"/>
  <c r="B54" i="8"/>
  <c r="C54" s="1"/>
  <c r="AC2" i="219"/>
  <c r="D32" i="27"/>
  <c r="E29" i="26"/>
  <c r="G9" i="213"/>
  <c r="J32" i="124"/>
  <c r="G21" i="26"/>
  <c r="G37"/>
  <c r="C69" i="196"/>
  <c r="B69" s="1"/>
  <c r="B44" s="1"/>
  <c r="AT9" i="211"/>
  <c r="W33" i="219"/>
  <c r="AC55"/>
  <c r="X33"/>
  <c r="AY15" i="170"/>
  <c r="G13" i="26"/>
  <c r="N52" i="88"/>
  <c r="F46" i="124"/>
  <c r="D30" i="168"/>
  <c r="AT16" i="211"/>
  <c r="AD40" i="219"/>
  <c r="R10" i="105"/>
  <c r="R18"/>
  <c r="J59" i="124"/>
  <c r="N23" i="88"/>
  <c r="X35" i="219"/>
  <c r="U49" i="8"/>
  <c r="X29"/>
  <c r="Y51" i="219"/>
  <c r="H28" i="124"/>
  <c r="F26"/>
  <c r="M51" i="88"/>
  <c r="N67"/>
  <c r="J26" i="124"/>
  <c r="N53" i="88"/>
  <c r="M53"/>
  <c r="AT19" i="211"/>
  <c r="AT10"/>
  <c r="G2" i="4"/>
  <c r="C24" i="2"/>
  <c r="D6"/>
  <c r="C6"/>
  <c r="AT13" i="211"/>
  <c r="C27" i="2"/>
  <c r="E19" i="168"/>
  <c r="E19" i="170"/>
  <c r="E25" i="168"/>
  <c r="E25" i="170"/>
  <c r="E52" i="26"/>
  <c r="D55" i="27"/>
  <c r="E50" i="26"/>
  <c r="D53" i="27"/>
  <c r="E67" i="26"/>
  <c r="D70" i="27"/>
  <c r="E47"/>
  <c r="AF30" i="88"/>
  <c r="F31" i="105"/>
  <c r="M52" i="88"/>
  <c r="D4" i="16"/>
  <c r="D5" s="1"/>
  <c r="F23" i="124"/>
  <c r="L53"/>
  <c r="M48" i="88"/>
  <c r="J53" i="124"/>
  <c r="R19" i="105"/>
  <c r="Q7" i="8"/>
  <c r="AP22" i="4"/>
  <c r="F14"/>
  <c r="F30" i="168" s="1"/>
  <c r="E39" i="88"/>
  <c r="AD39" s="1"/>
  <c r="Z35" i="219"/>
  <c r="AT8" i="211"/>
  <c r="C25" i="2"/>
  <c r="C3" i="105" s="1"/>
  <c r="D78" i="196"/>
  <c r="W53" i="219"/>
  <c r="L16" i="124"/>
  <c r="J23"/>
  <c r="R16" i="105"/>
  <c r="E74" i="196"/>
  <c r="AB55" i="219"/>
  <c r="R14" i="105"/>
  <c r="Q28" i="8"/>
  <c r="AB15" i="219"/>
  <c r="L48" i="124"/>
  <c r="J45" i="105"/>
  <c r="E53" i="88"/>
  <c r="AD53" s="1"/>
  <c r="N66"/>
  <c r="F53" i="124"/>
  <c r="F48"/>
  <c r="M55" i="88"/>
  <c r="F47" i="105"/>
  <c r="J47"/>
  <c r="D30" i="27"/>
  <c r="E27" i="26"/>
  <c r="E73"/>
  <c r="D76" i="27"/>
  <c r="E56" i="26"/>
  <c r="D59" i="27"/>
  <c r="D31"/>
  <c r="E28" i="26"/>
  <c r="E27" i="88"/>
  <c r="AD27" s="1"/>
  <c r="M27"/>
  <c r="J13" i="105"/>
  <c r="M21" i="88"/>
  <c r="E9"/>
  <c r="F5" i="26"/>
  <c r="F8" i="27" s="1"/>
  <c r="K3" i="108"/>
  <c r="Y6" i="16"/>
  <c r="E9" i="67" s="1"/>
  <c r="E39" i="26"/>
  <c r="D42" i="27"/>
  <c r="D38"/>
  <c r="E35" i="26"/>
  <c r="J37" i="124"/>
  <c r="M44" i="88"/>
  <c r="J46" i="124"/>
  <c r="F25" i="105"/>
  <c r="BH15" i="170"/>
  <c r="F26" i="105"/>
  <c r="H46" i="124"/>
  <c r="AH64" i="88"/>
  <c r="P36" i="8"/>
  <c r="X46" i="219"/>
  <c r="P26" i="8"/>
  <c r="N30" i="88"/>
  <c r="E57" i="27"/>
  <c r="G55" i="26"/>
  <c r="AP10" i="4"/>
  <c r="E45" i="88"/>
  <c r="AD45" s="1"/>
  <c r="AB11" i="219"/>
  <c r="F37" i="124"/>
  <c r="AF46" i="88"/>
  <c r="AT14" i="211"/>
  <c r="BB15" i="170"/>
  <c r="AD11" i="219"/>
  <c r="AA20"/>
  <c r="AG31" i="88"/>
  <c r="W26" i="219"/>
  <c r="F21" i="4"/>
  <c r="B26" i="16" s="1"/>
  <c r="N35" i="88"/>
  <c r="E48"/>
  <c r="AD48" s="1"/>
  <c r="G15" i="213"/>
  <c r="B15"/>
  <c r="B18"/>
  <c r="AI42" i="1"/>
  <c r="AC42" s="1"/>
  <c r="Y9" i="6"/>
  <c r="L6" i="8" s="1"/>
  <c r="S9" i="6"/>
  <c r="M10" i="219" s="1"/>
  <c r="T9" i="6"/>
  <c r="N10" i="219" s="1"/>
  <c r="Q25" i="6"/>
  <c r="K26" i="219" s="1"/>
  <c r="U9" i="6"/>
  <c r="H6" i="8" s="1"/>
  <c r="AB9" i="6"/>
  <c r="V10" i="219" s="1"/>
  <c r="AA9" i="6"/>
  <c r="G13" i="105" s="1"/>
  <c r="X9" i="6"/>
  <c r="R10" i="219" s="1"/>
  <c r="Q9" i="6"/>
  <c r="D6" i="8" s="1"/>
  <c r="V9" i="6"/>
  <c r="I6" i="8" s="1"/>
  <c r="R9" i="6"/>
  <c r="L10" i="219" s="1"/>
  <c r="Z9" i="6"/>
  <c r="M6" i="8" s="1"/>
  <c r="P9" i="6"/>
  <c r="AU12" i="211" s="1"/>
  <c r="AI52" i="1"/>
  <c r="AC52" s="1"/>
  <c r="AI8"/>
  <c r="AC8" s="1"/>
  <c r="AI6"/>
  <c r="AC6" s="1"/>
  <c r="AI9"/>
  <c r="AC9" s="1"/>
  <c r="AI32"/>
  <c r="AC32" s="1"/>
  <c r="AI34"/>
  <c r="AC34" s="1"/>
  <c r="AI20"/>
  <c r="AC20" s="1"/>
  <c r="AI35"/>
  <c r="AC35" s="1"/>
  <c r="AI48"/>
  <c r="AC48" s="1"/>
  <c r="AI37"/>
  <c r="AC37" s="1"/>
  <c r="AI44"/>
  <c r="AC44" s="1"/>
  <c r="AI49"/>
  <c r="AC49" s="1"/>
  <c r="AI17"/>
  <c r="AC17" s="1"/>
  <c r="U32" i="6"/>
  <c r="H29" i="8" s="1"/>
  <c r="Z11" i="6"/>
  <c r="T12" i="219" s="1"/>
  <c r="E73" i="27"/>
  <c r="E75"/>
  <c r="M54" i="6"/>
  <c r="W54" s="1"/>
  <c r="J51" i="8" s="1"/>
  <c r="Q32" i="6"/>
  <c r="Q10"/>
  <c r="D7" i="8" s="1"/>
  <c r="W11" i="6"/>
  <c r="Q12" i="219" s="1"/>
  <c r="V10" i="6"/>
  <c r="I7" i="8" s="1"/>
  <c r="E44" i="27"/>
  <c r="R39" i="6"/>
  <c r="E36" i="8" s="1"/>
  <c r="Y39" i="6"/>
  <c r="L36" i="8" s="1"/>
  <c r="U39" i="6"/>
  <c r="O40" i="219" s="1"/>
  <c r="Z39" i="6"/>
  <c r="M36" i="8" s="1"/>
  <c r="V39" i="6"/>
  <c r="I36" i="8" s="1"/>
  <c r="Q39" i="6"/>
  <c r="D36" i="8" s="1"/>
  <c r="AB39" i="6"/>
  <c r="O36" i="8" s="1"/>
  <c r="W39" i="6"/>
  <c r="Q40" i="219" s="1"/>
  <c r="S11" i="6"/>
  <c r="F8" i="8" s="1"/>
  <c r="E69" i="27"/>
  <c r="Y11" i="6"/>
  <c r="S12" i="219" s="1"/>
  <c r="AA11" i="6"/>
  <c r="G16" i="124" s="1"/>
  <c r="X11" i="6"/>
  <c r="R12" i="219" s="1"/>
  <c r="G57" i="26"/>
  <c r="Y32" i="6"/>
  <c r="T11"/>
  <c r="N12" i="219" s="1"/>
  <c r="AB49" i="6"/>
  <c r="O46" i="8" s="1"/>
  <c r="M19" i="6"/>
  <c r="AB19" s="1"/>
  <c r="O16" i="8" s="1"/>
  <c r="M47" i="6"/>
  <c r="Q47" s="1"/>
  <c r="U11"/>
  <c r="H8" i="8" s="1"/>
  <c r="Y25" i="6"/>
  <c r="S26" i="219" s="1"/>
  <c r="P11" i="6"/>
  <c r="M20"/>
  <c r="Y20" s="1"/>
  <c r="Q11"/>
  <c r="AV14" i="211" s="1"/>
  <c r="R11" i="6"/>
  <c r="E8" i="8" s="1"/>
  <c r="M8" i="6"/>
  <c r="Z8" s="1"/>
  <c r="V17"/>
  <c r="I14" i="8" s="1"/>
  <c r="S17" i="6"/>
  <c r="M18" i="219" s="1"/>
  <c r="Y21"/>
  <c r="R17" i="8"/>
  <c r="H48" i="27"/>
  <c r="J48" s="1"/>
  <c r="O25" i="6"/>
  <c r="AF53" i="88"/>
  <c r="S38" i="8"/>
  <c r="Z42" i="219"/>
  <c r="AB45"/>
  <c r="AH56" i="88"/>
  <c r="U41" i="8"/>
  <c r="AG60" i="88"/>
  <c r="T45" i="8"/>
  <c r="AA49" i="219"/>
  <c r="Z2" i="108"/>
  <c r="V4"/>
  <c r="O2"/>
  <c r="X31" i="8"/>
  <c r="AE35" i="219"/>
  <c r="J30" i="124"/>
  <c r="F30"/>
  <c r="J29" i="105"/>
  <c r="M37" i="88"/>
  <c r="J13" i="124"/>
  <c r="F12" i="105"/>
  <c r="J12"/>
  <c r="M20" i="88"/>
  <c r="F13" i="124"/>
  <c r="M67" i="88"/>
  <c r="J60" i="124"/>
  <c r="F60"/>
  <c r="F59" i="105"/>
  <c r="J59"/>
  <c r="W17" i="8"/>
  <c r="AD21" i="219"/>
  <c r="E58" i="88"/>
  <c r="AD58" s="1"/>
  <c r="M58"/>
  <c r="W26" i="216"/>
  <c r="Y26"/>
  <c r="X26"/>
  <c r="B78" i="196"/>
  <c r="B53" s="1"/>
  <c r="G12" i="26"/>
  <c r="E15" i="27"/>
  <c r="AC48" i="219"/>
  <c r="V44" i="8"/>
  <c r="D14" i="27"/>
  <c r="E11" i="26"/>
  <c r="AE9" i="219"/>
  <c r="X5" i="8"/>
  <c r="AE45" i="219"/>
  <c r="X41" i="8"/>
  <c r="Y49" i="219"/>
  <c r="R45" i="8"/>
  <c r="L14" i="105"/>
  <c r="L15" i="124"/>
  <c r="E5" i="26"/>
  <c r="D8" i="27"/>
  <c r="X43" i="219"/>
  <c r="Q39" i="8"/>
  <c r="E42" i="26"/>
  <c r="D45" i="27"/>
  <c r="H12" i="105"/>
  <c r="H13" i="124"/>
  <c r="Y25" i="216"/>
  <c r="W25"/>
  <c r="X25"/>
  <c r="B79" i="196"/>
  <c r="B54" s="1"/>
  <c r="X48" i="219"/>
  <c r="Q44" i="8"/>
  <c r="R44"/>
  <c r="Y48" i="219"/>
  <c r="H19" i="124"/>
  <c r="H18" i="105"/>
  <c r="T5" i="8"/>
  <c r="AG20" i="88"/>
  <c r="AA9" i="219"/>
  <c r="E10" i="26"/>
  <c r="D13" i="27"/>
  <c r="Q28" i="6"/>
  <c r="D25" i="8" s="1"/>
  <c r="AI4" i="1"/>
  <c r="AC4" s="1"/>
  <c r="AI21"/>
  <c r="AC21" s="1"/>
  <c r="AI12"/>
  <c r="AC12" s="1"/>
  <c r="H43" i="124"/>
  <c r="M34" i="6"/>
  <c r="T34" s="1"/>
  <c r="N35" i="219" s="1"/>
  <c r="AB10" i="6"/>
  <c r="V11" i="219" s="1"/>
  <c r="P39" i="6"/>
  <c r="AA39"/>
  <c r="U40" i="219" s="1"/>
  <c r="T39" i="6"/>
  <c r="N40" i="219" s="1"/>
  <c r="G6" i="26"/>
  <c r="E43" i="27"/>
  <c r="R13" i="105"/>
  <c r="AI13" i="1"/>
  <c r="AC13" s="1"/>
  <c r="AI31"/>
  <c r="AC31" s="1"/>
  <c r="AI14"/>
  <c r="AC14" s="1"/>
  <c r="AI16"/>
  <c r="AC16" s="1"/>
  <c r="AI5"/>
  <c r="AC5" s="1"/>
  <c r="AI7"/>
  <c r="AC7" s="1"/>
  <c r="E17" i="88"/>
  <c r="AD17" s="1"/>
  <c r="N64"/>
  <c r="M66"/>
  <c r="R41" i="8"/>
  <c r="Y45" i="219"/>
  <c r="AD35"/>
  <c r="W31" i="8"/>
  <c r="E64" i="196"/>
  <c r="D25" i="168"/>
  <c r="F9" i="4"/>
  <c r="D64" i="196"/>
  <c r="C64"/>
  <c r="B64" s="1"/>
  <c r="B39" s="1"/>
  <c r="D25" i="170"/>
  <c r="E67" i="27"/>
  <c r="G64" i="26"/>
  <c r="T25" i="109"/>
  <c r="U25"/>
  <c r="AA55" i="219"/>
  <c r="T51" i="8"/>
  <c r="AG66" i="88"/>
  <c r="C62" i="196"/>
  <c r="B62" s="1"/>
  <c r="B37" s="1"/>
  <c r="E62"/>
  <c r="F7" i="4"/>
  <c r="D62" i="196"/>
  <c r="D23" i="168"/>
  <c r="D23" i="170"/>
  <c r="AH29" i="1"/>
  <c r="AB20" i="2"/>
  <c r="AB19"/>
  <c r="AH28" i="1"/>
  <c r="AF32" i="88"/>
  <c r="S17" i="8"/>
  <c r="Z21" i="219"/>
  <c r="Y19" i="216"/>
  <c r="W19"/>
  <c r="X19"/>
  <c r="B72" i="196"/>
  <c r="B47" s="1"/>
  <c r="G48" i="26"/>
  <c r="E51" i="27"/>
  <c r="B71" i="196"/>
  <c r="B46" s="1"/>
  <c r="E36" i="26"/>
  <c r="D39" i="27"/>
  <c r="W5" i="8"/>
  <c r="AD9" i="219"/>
  <c r="Q17" i="124"/>
  <c r="Q12"/>
  <c r="Q26"/>
  <c r="S14" i="8"/>
  <c r="Z18" i="219"/>
  <c r="D71" i="27"/>
  <c r="E68" i="26"/>
  <c r="Z26" i="219"/>
  <c r="S22" i="8"/>
  <c r="AF37" i="88"/>
  <c r="T26" i="109"/>
  <c r="U26"/>
  <c r="AF66" i="88"/>
  <c r="Z55" i="219"/>
  <c r="S51" i="8"/>
  <c r="C66" i="196"/>
  <c r="B66" s="1"/>
  <c r="B41" s="1"/>
  <c r="D27" i="168"/>
  <c r="E66" i="196"/>
  <c r="D66"/>
  <c r="D27" i="170"/>
  <c r="F11" i="4"/>
  <c r="N59" i="88"/>
  <c r="M59"/>
  <c r="AC21" i="219"/>
  <c r="V17" i="8"/>
  <c r="X24" i="216"/>
  <c r="Y24"/>
  <c r="W24"/>
  <c r="B77" i="196"/>
  <c r="B52" s="1"/>
  <c r="E50" i="27"/>
  <c r="G47" i="26"/>
  <c r="AE48" i="219"/>
  <c r="X44" i="8"/>
  <c r="M26" i="88"/>
  <c r="F18" i="105"/>
  <c r="J19" i="124"/>
  <c r="J18" i="105"/>
  <c r="F19" i="124"/>
  <c r="B18" i="215"/>
  <c r="F18"/>
  <c r="Q5" i="8"/>
  <c r="X9" i="219"/>
  <c r="F29" i="105"/>
  <c r="AI23" i="1"/>
  <c r="AC23" s="1"/>
  <c r="R28" i="105"/>
  <c r="N17" i="88"/>
  <c r="AI11" i="1"/>
  <c r="AC11" s="1"/>
  <c r="H59" i="124"/>
  <c r="E40" i="88"/>
  <c r="AD40" s="1"/>
  <c r="M64"/>
  <c r="Z25" i="6"/>
  <c r="M22" i="8" s="1"/>
  <c r="S39" i="6"/>
  <c r="F36" i="8" s="1"/>
  <c r="R11" i="105"/>
  <c r="R22"/>
  <c r="R24"/>
  <c r="Q29" i="124"/>
  <c r="AI15" i="1"/>
  <c r="AC15" s="1"/>
  <c r="AI38"/>
  <c r="AC38" s="1"/>
  <c r="AI3"/>
  <c r="AC3" s="1"/>
  <c r="AI43"/>
  <c r="AC43" s="1"/>
  <c r="M42" i="6"/>
  <c r="T42" s="1"/>
  <c r="F59" i="124"/>
  <c r="R20" i="105"/>
  <c r="N18" i="88"/>
  <c r="N40"/>
  <c r="AI30" i="1"/>
  <c r="AC30" s="1"/>
  <c r="R25" i="105"/>
  <c r="M41" i="6"/>
  <c r="T41" s="1"/>
  <c r="T30" i="109"/>
  <c r="U30"/>
  <c r="Q51" i="8"/>
  <c r="X55" i="219"/>
  <c r="X40"/>
  <c r="Q36" i="8"/>
  <c r="E16" i="26"/>
  <c r="D19" i="27"/>
  <c r="Q41" i="8"/>
  <c r="X45" i="219"/>
  <c r="W39" i="8"/>
  <c r="AD43" i="219"/>
  <c r="D63" i="196"/>
  <c r="C63"/>
  <c r="B63" s="1"/>
  <c r="B38" s="1"/>
  <c r="D24" i="170"/>
  <c r="E63" i="196"/>
  <c r="D24" i="168"/>
  <c r="F8" i="4"/>
  <c r="H7" i="224"/>
  <c r="H7" i="107"/>
  <c r="Z46" i="219"/>
  <c r="S42" i="8"/>
  <c r="AF57" i="88"/>
  <c r="X22" i="8"/>
  <c r="AE26" i="219"/>
  <c r="H59" i="105"/>
  <c r="H60" i="124"/>
  <c r="R36" i="8"/>
  <c r="Y40" i="219"/>
  <c r="AB21"/>
  <c r="AH32" i="88"/>
  <c r="U17" i="8"/>
  <c r="L58" i="105"/>
  <c r="L59" i="124"/>
  <c r="F45"/>
  <c r="F44" i="105"/>
  <c r="J44"/>
  <c r="J45" i="124"/>
  <c r="H39" i="105"/>
  <c r="H40" i="124"/>
  <c r="X21" i="216"/>
  <c r="W21"/>
  <c r="Y21"/>
  <c r="E65" i="26"/>
  <c r="D68" i="27"/>
  <c r="K5" i="108"/>
  <c r="E11" i="88"/>
  <c r="AU6" i="16"/>
  <c r="S9" i="67" s="1"/>
  <c r="F7" i="26"/>
  <c r="T44" i="8"/>
  <c r="AA48" i="219"/>
  <c r="AG59" i="88"/>
  <c r="L18" i="105"/>
  <c r="L19" i="124"/>
  <c r="E64" i="27"/>
  <c r="G61" i="26"/>
  <c r="B15" i="215"/>
  <c r="F15"/>
  <c r="AI41" i="1"/>
  <c r="AC41" s="1"/>
  <c r="AI10"/>
  <c r="AC10" s="1"/>
  <c r="X25" i="6"/>
  <c r="K22" i="8" s="1"/>
  <c r="X39" i="6"/>
  <c r="K36" i="8" s="1"/>
  <c r="AI45" i="1"/>
  <c r="AC45" s="1"/>
  <c r="AI50"/>
  <c r="AC50" s="1"/>
  <c r="AI33"/>
  <c r="AC33" s="1"/>
  <c r="AI46"/>
  <c r="AC46" s="1"/>
  <c r="R27" i="105"/>
  <c r="L43" i="124"/>
  <c r="AI51" i="1"/>
  <c r="AC51" s="1"/>
  <c r="F55" i="124"/>
  <c r="J54" i="105"/>
  <c r="J55" i="124"/>
  <c r="L48" i="105"/>
  <c r="L49" i="124"/>
  <c r="AD26" i="219"/>
  <c r="W22" i="8"/>
  <c r="AB49" i="219"/>
  <c r="AH60" i="88"/>
  <c r="U45" i="8"/>
  <c r="B75" i="196"/>
  <c r="B50" s="1"/>
  <c r="L59" i="105"/>
  <c r="L60" i="124"/>
  <c r="Y20" i="216"/>
  <c r="X20"/>
  <c r="W20"/>
  <c r="B74" i="196"/>
  <c r="B49" s="1"/>
  <c r="W45" i="219"/>
  <c r="P41" i="8"/>
  <c r="AA43" i="219"/>
  <c r="T39" i="8"/>
  <c r="AG54" i="88"/>
  <c r="D60" i="196"/>
  <c r="E60"/>
  <c r="D21" i="168"/>
  <c r="C60" i="196"/>
  <c r="B60" s="1"/>
  <c r="B35" s="1"/>
  <c r="F5" i="4"/>
  <c r="D21" i="170"/>
  <c r="Y27" i="216"/>
  <c r="W27"/>
  <c r="X27"/>
  <c r="U44" i="8"/>
  <c r="AB48" i="219"/>
  <c r="AH59" i="88"/>
  <c r="Z9" i="219"/>
  <c r="AF20" i="88"/>
  <c r="S5" i="8"/>
  <c r="J48" i="105"/>
  <c r="F49" i="124"/>
  <c r="J49"/>
  <c r="F48" i="105"/>
  <c r="R25" i="8"/>
  <c r="Y29" i="219"/>
  <c r="H48" i="105"/>
  <c r="H49" i="124"/>
  <c r="AD20" i="219"/>
  <c r="W16" i="8"/>
  <c r="AB26" i="219"/>
  <c r="U22" i="8"/>
  <c r="AH37" i="88"/>
  <c r="H36" i="124"/>
  <c r="H35" i="105"/>
  <c r="AA35" i="219"/>
  <c r="AG46" i="88"/>
  <c r="T31" i="8"/>
  <c r="J41" i="105"/>
  <c r="F42" i="124"/>
  <c r="J42"/>
  <c r="X36" i="8"/>
  <c r="AE40" i="219"/>
  <c r="BH7" i="4"/>
  <c r="AM7"/>
  <c r="AE21" i="219"/>
  <c r="X17" i="8"/>
  <c r="F40" i="124"/>
  <c r="J40"/>
  <c r="J39" i="105"/>
  <c r="Y30" i="216"/>
  <c r="X30"/>
  <c r="W30"/>
  <c r="W48" i="219"/>
  <c r="P44" i="8"/>
  <c r="AB9" i="219"/>
  <c r="U5" i="8"/>
  <c r="AH20" i="88"/>
  <c r="AC9" i="219"/>
  <c r="V5" i="8"/>
  <c r="J22" i="105"/>
  <c r="M30" i="88"/>
  <c r="F54" i="105"/>
  <c r="V25" i="6"/>
  <c r="I22" i="8" s="1"/>
  <c r="R29" i="105"/>
  <c r="R15"/>
  <c r="R17"/>
  <c r="AA25" i="6"/>
  <c r="G30" i="124" s="1"/>
  <c r="AB25" i="6"/>
  <c r="O22" i="8" s="1"/>
  <c r="AI19" i="1"/>
  <c r="AC19" s="1"/>
  <c r="AI18"/>
  <c r="AC18" s="1"/>
  <c r="AI36"/>
  <c r="AC36" s="1"/>
  <c r="AI40"/>
  <c r="AC40" s="1"/>
  <c r="AI39"/>
  <c r="AC39" s="1"/>
  <c r="G20" i="26"/>
  <c r="M63" i="88"/>
  <c r="AI47" i="1"/>
  <c r="AC47" s="1"/>
  <c r="AA32" i="6"/>
  <c r="G37" i="124" s="1"/>
  <c r="Y28" i="6"/>
  <c r="S29" i="219" s="1"/>
  <c r="P32" i="6"/>
  <c r="J33" i="219" s="1"/>
  <c r="M33"/>
  <c r="T28" i="6"/>
  <c r="N29" i="219" s="1"/>
  <c r="X32" i="6"/>
  <c r="R33" i="219" s="1"/>
  <c r="S25" i="6"/>
  <c r="F22" i="8" s="1"/>
  <c r="AB32" i="6"/>
  <c r="O29" i="8" s="1"/>
  <c r="T23" i="6"/>
  <c r="N24" i="219" s="1"/>
  <c r="AB23" i="6"/>
  <c r="V24" i="219" s="1"/>
  <c r="V32" i="6"/>
  <c r="P33" i="219" s="1"/>
  <c r="Z32" i="6"/>
  <c r="M29" i="8" s="1"/>
  <c r="S28" i="6"/>
  <c r="M29" i="219" s="1"/>
  <c r="AA23" i="6"/>
  <c r="U24" i="219" s="1"/>
  <c r="Z55" i="6"/>
  <c r="M52" i="8" s="1"/>
  <c r="T32" i="6"/>
  <c r="N33" i="219" s="1"/>
  <c r="W23" i="6"/>
  <c r="J20" i="8" s="1"/>
  <c r="W32" i="6"/>
  <c r="R32"/>
  <c r="E29" i="8" s="1"/>
  <c r="R23" i="6"/>
  <c r="E20" i="8" s="1"/>
  <c r="U23" i="6"/>
  <c r="H20" i="8" s="1"/>
  <c r="V28" i="6"/>
  <c r="I25" i="8" s="1"/>
  <c r="W48" i="6"/>
  <c r="J45" i="8" s="1"/>
  <c r="Q23" i="6"/>
  <c r="D20" i="8" s="1"/>
  <c r="V23" i="6"/>
  <c r="P24" i="219" s="1"/>
  <c r="S23" i="6"/>
  <c r="M24" i="219" s="1"/>
  <c r="Z23" i="6"/>
  <c r="M20" i="8" s="1"/>
  <c r="AB28" i="6"/>
  <c r="O25" i="8" s="1"/>
  <c r="X23" i="6"/>
  <c r="K20" i="8" s="1"/>
  <c r="P25" i="6"/>
  <c r="Y55"/>
  <c r="S56" i="219" s="1"/>
  <c r="P23" i="6"/>
  <c r="Q55"/>
  <c r="K56" i="219" s="1"/>
  <c r="R55" i="6"/>
  <c r="X16"/>
  <c r="K13" i="8" s="1"/>
  <c r="R17" i="6"/>
  <c r="T17"/>
  <c r="G14" i="8" s="1"/>
  <c r="R49" i="6"/>
  <c r="L50" i="219" s="1"/>
  <c r="P16" i="6"/>
  <c r="J17" i="219" s="1"/>
  <c r="R10" i="6"/>
  <c r="L11" i="219" s="1"/>
  <c r="Y17" i="6"/>
  <c r="S18" i="219" s="1"/>
  <c r="Q16" i="6"/>
  <c r="AV19" i="211" s="1"/>
  <c r="W17" i="6"/>
  <c r="AA17"/>
  <c r="Z17"/>
  <c r="M14" i="8" s="1"/>
  <c r="X17" i="6"/>
  <c r="V55"/>
  <c r="I52" i="8" s="1"/>
  <c r="Z28" i="6"/>
  <c r="M25" i="8" s="1"/>
  <c r="AA28" i="6"/>
  <c r="G32" i="105" s="1"/>
  <c r="AB17" i="6"/>
  <c r="V18" i="219" s="1"/>
  <c r="Q49" i="6"/>
  <c r="K50" i="219" s="1"/>
  <c r="U25" i="6"/>
  <c r="P55"/>
  <c r="AA49"/>
  <c r="G53" i="105" s="1"/>
  <c r="W25" i="6"/>
  <c r="Q17"/>
  <c r="R25"/>
  <c r="G22" i="8"/>
  <c r="N26" i="219"/>
  <c r="U17" i="6"/>
  <c r="O18" i="219" s="1"/>
  <c r="X55" i="6"/>
  <c r="P17"/>
  <c r="X49"/>
  <c r="K46" i="8" s="1"/>
  <c r="J29" i="219"/>
  <c r="C25" i="8"/>
  <c r="S50" i="219"/>
  <c r="L46" i="8"/>
  <c r="O11" i="219"/>
  <c r="H7" i="8"/>
  <c r="V48" i="6"/>
  <c r="T16"/>
  <c r="Y48"/>
  <c r="T10"/>
  <c r="AA48"/>
  <c r="W49"/>
  <c r="V49"/>
  <c r="Z16"/>
  <c r="AA10"/>
  <c r="U48"/>
  <c r="X10"/>
  <c r="W10"/>
  <c r="T48"/>
  <c r="P48"/>
  <c r="Z49"/>
  <c r="P49"/>
  <c r="V16"/>
  <c r="R16"/>
  <c r="AB55"/>
  <c r="W55"/>
  <c r="S55"/>
  <c r="U55"/>
  <c r="AA55"/>
  <c r="Q48"/>
  <c r="S10"/>
  <c r="X28"/>
  <c r="W28"/>
  <c r="P10"/>
  <c r="X48"/>
  <c r="S48"/>
  <c r="T49"/>
  <c r="U49"/>
  <c r="Y16"/>
  <c r="W16"/>
  <c r="O13" i="8"/>
  <c r="V17" i="219"/>
  <c r="R28" i="6"/>
  <c r="U28"/>
  <c r="N56" i="219"/>
  <c r="G52" i="8"/>
  <c r="AB48" i="6"/>
  <c r="Z10"/>
  <c r="U16"/>
  <c r="Y10"/>
  <c r="Z48"/>
  <c r="S49"/>
  <c r="S16"/>
  <c r="AA16"/>
  <c r="K44"/>
  <c r="K50"/>
  <c r="L44"/>
  <c r="L50"/>
  <c r="U15" l="1"/>
  <c r="H12" i="8" s="1"/>
  <c r="Y15" i="6"/>
  <c r="L12" i="8" s="1"/>
  <c r="V15" i="6"/>
  <c r="I12" i="8" s="1"/>
  <c r="X15" i="6"/>
  <c r="K12" i="8" s="1"/>
  <c r="AB15" i="6"/>
  <c r="V16" i="219" s="1"/>
  <c r="T16"/>
  <c r="R15" i="6"/>
  <c r="E12" i="8" s="1"/>
  <c r="S15" i="6"/>
  <c r="M16" i="219" s="1"/>
  <c r="W15" i="6"/>
  <c r="Q16" i="219" s="1"/>
  <c r="AA15" i="6"/>
  <c r="G19" i="105" s="1"/>
  <c r="T15" i="6"/>
  <c r="N16" i="219" s="1"/>
  <c r="P15" i="6"/>
  <c r="AU18" i="211" s="1"/>
  <c r="Q15" i="6"/>
  <c r="AV18" i="211" s="1"/>
  <c r="Q52" i="6"/>
  <c r="D49" i="8" s="1"/>
  <c r="T52" i="6"/>
  <c r="N53" i="219" s="1"/>
  <c r="Y52" i="6"/>
  <c r="S53" i="219" s="1"/>
  <c r="R52" i="6"/>
  <c r="E49" i="8" s="1"/>
  <c r="U52" i="6"/>
  <c r="H49" i="8" s="1"/>
  <c r="AR49" s="1"/>
  <c r="AJ49" s="1"/>
  <c r="S52" i="6"/>
  <c r="M53" i="219" s="1"/>
  <c r="Y13" i="6"/>
  <c r="S14" i="219" s="1"/>
  <c r="AA52" i="6"/>
  <c r="U53" i="219" s="1"/>
  <c r="X52" i="6"/>
  <c r="R53" i="219" s="1"/>
  <c r="AB52" i="6"/>
  <c r="V53" i="219" s="1"/>
  <c r="Z52" i="6"/>
  <c r="T53" i="219" s="1"/>
  <c r="Q53"/>
  <c r="P52" i="6"/>
  <c r="C49" i="8" s="1"/>
  <c r="V52" i="6"/>
  <c r="P53" i="219" s="1"/>
  <c r="W53" i="6"/>
  <c r="J50" i="8" s="1"/>
  <c r="Y53" i="6"/>
  <c r="L50" i="8" s="1"/>
  <c r="R53" i="6"/>
  <c r="E50" i="8" s="1"/>
  <c r="Z53" i="6"/>
  <c r="M50" i="8" s="1"/>
  <c r="T53" i="6"/>
  <c r="G50" i="8" s="1"/>
  <c r="X53" i="6"/>
  <c r="R54" i="219" s="1"/>
  <c r="X13" i="6"/>
  <c r="R14" i="219" s="1"/>
  <c r="Z13" i="6"/>
  <c r="M10" i="8" s="1"/>
  <c r="N14" i="219"/>
  <c r="V40" i="6"/>
  <c r="I37" i="8" s="1"/>
  <c r="F37"/>
  <c r="Z40" i="6"/>
  <c r="M37" i="8" s="1"/>
  <c r="W40" i="6"/>
  <c r="J37" i="8" s="1"/>
  <c r="AB30" i="6"/>
  <c r="V31" i="219" s="1"/>
  <c r="F27" i="8"/>
  <c r="W30" i="6"/>
  <c r="J27" i="8" s="1"/>
  <c r="P30" i="6"/>
  <c r="X22"/>
  <c r="R23" i="219" s="1"/>
  <c r="X30" i="6"/>
  <c r="R31" i="219" s="1"/>
  <c r="R30" i="6"/>
  <c r="L31" i="219" s="1"/>
  <c r="T40" i="6"/>
  <c r="N41" i="219" s="1"/>
  <c r="Y30" i="6"/>
  <c r="L27" i="8" s="1"/>
  <c r="AA30" i="6"/>
  <c r="G34" i="105" s="1"/>
  <c r="Z30" i="6"/>
  <c r="M27" i="8" s="1"/>
  <c r="Q22" i="6"/>
  <c r="K23" i="219" s="1"/>
  <c r="Z22" i="6"/>
  <c r="M19" i="8" s="1"/>
  <c r="W22" i="6"/>
  <c r="J19" i="8" s="1"/>
  <c r="U30" i="6"/>
  <c r="H27" i="8" s="1"/>
  <c r="V30" i="6"/>
  <c r="I27" i="8" s="1"/>
  <c r="T30" i="6"/>
  <c r="N31" i="219" s="1"/>
  <c r="U22" i="6"/>
  <c r="H19" i="8" s="1"/>
  <c r="Y40" i="6"/>
  <c r="L37" i="8" s="1"/>
  <c r="AB40" i="6"/>
  <c r="V41" i="219" s="1"/>
  <c r="Q30" i="6"/>
  <c r="K31" i="219" s="1"/>
  <c r="V22" i="6"/>
  <c r="I19" i="8" s="1"/>
  <c r="P40" i="6"/>
  <c r="Q40"/>
  <c r="D37" i="8" s="1"/>
  <c r="AB22" i="6"/>
  <c r="V23" i="219" s="1"/>
  <c r="R40" i="6"/>
  <c r="E37" i="8" s="1"/>
  <c r="S22" i="6"/>
  <c r="F19" i="8" s="1"/>
  <c r="R22" i="6"/>
  <c r="L23" i="219" s="1"/>
  <c r="AA22" i="6"/>
  <c r="U23" i="219" s="1"/>
  <c r="X40" i="6"/>
  <c r="R41" i="219" s="1"/>
  <c r="Y22" i="6"/>
  <c r="S23" i="219" s="1"/>
  <c r="U40" i="6"/>
  <c r="H37" i="8" s="1"/>
  <c r="T22" i="6"/>
  <c r="N23" i="219" s="1"/>
  <c r="AA40" i="6"/>
  <c r="G45" i="124" s="1"/>
  <c r="AA13" i="6"/>
  <c r="N10" i="8" s="1"/>
  <c r="AB13" i="6"/>
  <c r="V14" i="219" s="1"/>
  <c r="N37"/>
  <c r="S36" i="6"/>
  <c r="F33" i="8" s="1"/>
  <c r="V36" i="6"/>
  <c r="I33" i="8" s="1"/>
  <c r="K54" i="219"/>
  <c r="AA36" i="6"/>
  <c r="G40" i="105" s="1"/>
  <c r="R36" i="6"/>
  <c r="E33" i="8" s="1"/>
  <c r="X36" i="6"/>
  <c r="R37" i="219" s="1"/>
  <c r="U13" i="6"/>
  <c r="O14" i="219" s="1"/>
  <c r="P13" i="6"/>
  <c r="Y36"/>
  <c r="L33" i="8" s="1"/>
  <c r="S53" i="6"/>
  <c r="M54" i="219" s="1"/>
  <c r="V53" i="6"/>
  <c r="I50" i="8" s="1"/>
  <c r="AB53" i="6"/>
  <c r="O50" i="8" s="1"/>
  <c r="P36" i="6"/>
  <c r="W36"/>
  <c r="Q37" i="219" s="1"/>
  <c r="Q13" i="6"/>
  <c r="AV16" i="211" s="1"/>
  <c r="V13" i="6"/>
  <c r="P14" i="219" s="1"/>
  <c r="Z36" i="6"/>
  <c r="M33" i="8" s="1"/>
  <c r="Q36" i="6"/>
  <c r="D33" i="8" s="1"/>
  <c r="AA53" i="6"/>
  <c r="G58" i="124" s="1"/>
  <c r="R13" i="6"/>
  <c r="L14" i="219" s="1"/>
  <c r="S13" i="6"/>
  <c r="F10" i="8" s="1"/>
  <c r="AB36" i="6"/>
  <c r="O33" i="8" s="1"/>
  <c r="P53" i="6"/>
  <c r="W13"/>
  <c r="Q14" i="219" s="1"/>
  <c r="U36" i="6"/>
  <c r="O37" i="219" s="1"/>
  <c r="U53" i="6"/>
  <c r="O54" i="219" s="1"/>
  <c r="G46" i="26"/>
  <c r="E49" i="27"/>
  <c r="V12" i="219"/>
  <c r="O8" i="8"/>
  <c r="I8"/>
  <c r="G26" i="2"/>
  <c r="C4" i="105"/>
  <c r="H4" i="124"/>
  <c r="BF77" s="1"/>
  <c r="AD30" i="1"/>
  <c r="H20" i="27" s="1"/>
  <c r="J20" s="1"/>
  <c r="F22" i="170"/>
  <c r="G22" s="1"/>
  <c r="F19"/>
  <c r="G19" s="1"/>
  <c r="O34" s="1"/>
  <c r="C22" i="109"/>
  <c r="K8" i="211"/>
  <c r="E8" s="1"/>
  <c r="F8" s="1"/>
  <c r="C28" i="216"/>
  <c r="F19" i="168"/>
  <c r="G19" s="1"/>
  <c r="C19" i="216"/>
  <c r="C20" i="109"/>
  <c r="C22" i="216"/>
  <c r="B9" i="16"/>
  <c r="K17" i="211"/>
  <c r="E17" s="1"/>
  <c r="D17" s="1"/>
  <c r="F28" i="168"/>
  <c r="G28" s="1"/>
  <c r="C28" i="109"/>
  <c r="F28" i="170"/>
  <c r="G28" s="1"/>
  <c r="B15" i="16"/>
  <c r="C26" i="216"/>
  <c r="C19" i="109"/>
  <c r="K11" i="211"/>
  <c r="E11" s="1"/>
  <c r="D11" s="1"/>
  <c r="G11" s="1"/>
  <c r="B11" i="16"/>
  <c r="C26" i="109"/>
  <c r="K15" i="211"/>
  <c r="E15" s="1"/>
  <c r="F15" s="1"/>
  <c r="C20" i="216"/>
  <c r="F26" i="168"/>
  <c r="G26" s="1"/>
  <c r="F20" i="170"/>
  <c r="G20" s="1"/>
  <c r="F20" i="168"/>
  <c r="G20" s="1"/>
  <c r="J6" i="8"/>
  <c r="AR6" s="1"/>
  <c r="AJ6" s="1"/>
  <c r="F30" i="170"/>
  <c r="G30" s="1"/>
  <c r="L20" i="8"/>
  <c r="L49" i="219"/>
  <c r="J29" i="88"/>
  <c r="K29" s="1"/>
  <c r="X14" i="6"/>
  <c r="K11" i="8" s="1"/>
  <c r="W35" i="6"/>
  <c r="J32" i="8" s="1"/>
  <c r="C30" i="216"/>
  <c r="B19" i="16"/>
  <c r="E25" i="2"/>
  <c r="K19" i="211"/>
  <c r="BF19" s="1"/>
  <c r="C30" i="109"/>
  <c r="E24" i="2"/>
  <c r="E2" i="212" s="1"/>
  <c r="Y45" i="6"/>
  <c r="S46" i="219" s="1"/>
  <c r="T45" i="6"/>
  <c r="G42" i="8" s="1"/>
  <c r="X45" i="6"/>
  <c r="R46" i="219" s="1"/>
  <c r="V45" i="6"/>
  <c r="I42" i="8" s="1"/>
  <c r="U45" i="6"/>
  <c r="O46" i="219" s="1"/>
  <c r="AE27" i="88"/>
  <c r="R45" i="6"/>
  <c r="E42" i="8" s="1"/>
  <c r="T46" i="219"/>
  <c r="Q45" i="6"/>
  <c r="K46" i="219" s="1"/>
  <c r="S45" i="6"/>
  <c r="F42" i="8" s="1"/>
  <c r="W45" i="6"/>
  <c r="J42" i="8" s="1"/>
  <c r="AB45" i="6"/>
  <c r="V46" i="219" s="1"/>
  <c r="P45" i="6"/>
  <c r="J46" i="219" s="1"/>
  <c r="AA45" i="6"/>
  <c r="N42" i="8" s="1"/>
  <c r="Z31" i="6"/>
  <c r="M28" i="8" s="1"/>
  <c r="E29" i="105"/>
  <c r="E59"/>
  <c r="Z14" i="6"/>
  <c r="M11" i="8" s="1"/>
  <c r="W14" i="6"/>
  <c r="Q15" i="219" s="1"/>
  <c r="E27" i="105"/>
  <c r="E16" i="124"/>
  <c r="J40" i="88"/>
  <c r="K40" s="1"/>
  <c r="AE51"/>
  <c r="E32" i="105"/>
  <c r="E33" i="124"/>
  <c r="AU17" i="211"/>
  <c r="AE40" i="88"/>
  <c r="T18" i="6"/>
  <c r="G15" i="8" s="1"/>
  <c r="P18" i="6"/>
  <c r="Q29"/>
  <c r="D26" i="8" s="1"/>
  <c r="P35" i="6"/>
  <c r="Q30" i="219"/>
  <c r="Y35" i="6"/>
  <c r="L32" i="8" s="1"/>
  <c r="Y29" i="6"/>
  <c r="L26" i="8" s="1"/>
  <c r="AA29" i="6"/>
  <c r="G33" i="105" s="1"/>
  <c r="T35" i="6"/>
  <c r="G32" i="8" s="1"/>
  <c r="X29" i="6"/>
  <c r="K26" i="8" s="1"/>
  <c r="T29" i="6"/>
  <c r="G26" i="8" s="1"/>
  <c r="S29" i="6"/>
  <c r="F26" i="8" s="1"/>
  <c r="V35" i="6"/>
  <c r="I32" i="8" s="1"/>
  <c r="Z29" i="6"/>
  <c r="M26" i="8" s="1"/>
  <c r="U29" i="6"/>
  <c r="O30" i="219" s="1"/>
  <c r="P29" i="6"/>
  <c r="AB29"/>
  <c r="V30" i="219" s="1"/>
  <c r="V29" i="6"/>
  <c r="I26" i="8" s="1"/>
  <c r="R29" i="6"/>
  <c r="L30" i="219" s="1"/>
  <c r="X35" i="6"/>
  <c r="R36" i="219" s="1"/>
  <c r="AA35" i="6"/>
  <c r="N32" i="8" s="1"/>
  <c r="V36" i="219"/>
  <c r="AA14" i="6"/>
  <c r="U15" i="219" s="1"/>
  <c r="R14" i="6"/>
  <c r="L15" i="219" s="1"/>
  <c r="R31" i="6"/>
  <c r="E28" i="8" s="1"/>
  <c r="R35" i="6"/>
  <c r="L36" i="219" s="1"/>
  <c r="U35" i="6"/>
  <c r="H32" i="8" s="1"/>
  <c r="C11"/>
  <c r="U14" i="6"/>
  <c r="O15" i="219" s="1"/>
  <c r="S35" i="6"/>
  <c r="M36" i="219" s="1"/>
  <c r="C19" i="8"/>
  <c r="G25" i="2"/>
  <c r="Q35" i="6"/>
  <c r="D32" i="8" s="1"/>
  <c r="Z35" i="6"/>
  <c r="M32" i="8" s="1"/>
  <c r="AA31" i="6"/>
  <c r="G36" i="124" s="1"/>
  <c r="P31" i="6"/>
  <c r="Q31"/>
  <c r="D28" i="8" s="1"/>
  <c r="J15" i="219"/>
  <c r="J23"/>
  <c r="S18" i="6"/>
  <c r="M19" i="219" s="1"/>
  <c r="AA18" i="6"/>
  <c r="U19" i="219" s="1"/>
  <c r="X31" i="6"/>
  <c r="R32" i="219" s="1"/>
  <c r="T31" i="6"/>
  <c r="G28" i="8" s="1"/>
  <c r="C3" i="124"/>
  <c r="Y31" i="6"/>
  <c r="L28" i="8" s="1"/>
  <c r="Y18" i="6"/>
  <c r="L15" i="8" s="1"/>
  <c r="AB14" i="6"/>
  <c r="O11" i="8" s="1"/>
  <c r="V18" i="6"/>
  <c r="P19" i="219" s="1"/>
  <c r="Z18" i="6"/>
  <c r="T19" i="219" s="1"/>
  <c r="U18" i="6"/>
  <c r="O19" i="219" s="1"/>
  <c r="X18" i="6"/>
  <c r="R19" i="219" s="1"/>
  <c r="V14" i="6"/>
  <c r="P15" i="219" s="1"/>
  <c r="Q14" i="6"/>
  <c r="AV17" i="211" s="1"/>
  <c r="S31" i="6"/>
  <c r="F28" i="8" s="1"/>
  <c r="W31" i="6"/>
  <c r="Q32" i="219" s="1"/>
  <c r="H3" i="124"/>
  <c r="BE77" s="1"/>
  <c r="Q19" i="219"/>
  <c r="Q18" i="6"/>
  <c r="D15" i="8" s="1"/>
  <c r="T14" i="6"/>
  <c r="G11" i="8" s="1"/>
  <c r="V31" i="6"/>
  <c r="P32" i="219" s="1"/>
  <c r="AB31" i="6"/>
  <c r="O28" i="8" s="1"/>
  <c r="AB18" i="6"/>
  <c r="V19" i="219" s="1"/>
  <c r="R18" i="6"/>
  <c r="L19" i="219" s="1"/>
  <c r="Y14" i="6"/>
  <c r="S15" i="219" s="1"/>
  <c r="S14" i="6"/>
  <c r="F11" i="8" s="1"/>
  <c r="M44" i="6"/>
  <c r="W44" s="1"/>
  <c r="J41" i="8" s="1"/>
  <c r="M50" i="6"/>
  <c r="X50" s="1"/>
  <c r="R51" i="219" s="1"/>
  <c r="E38" i="27"/>
  <c r="G35" i="26"/>
  <c r="G29"/>
  <c r="E32" i="27"/>
  <c r="C6" i="194"/>
  <c r="AO8" i="88"/>
  <c r="G56" i="26"/>
  <c r="E59" i="27"/>
  <c r="E36"/>
  <c r="G33" i="26"/>
  <c r="C5" i="124"/>
  <c r="H5"/>
  <c r="BG77" s="1"/>
  <c r="G27" i="2"/>
  <c r="C5" i="105"/>
  <c r="G19" i="4"/>
  <c r="F49" i="196" s="1"/>
  <c r="G10" i="4"/>
  <c r="F40" i="196" s="1"/>
  <c r="G16" i="4"/>
  <c r="F46" i="196" s="1"/>
  <c r="G12" i="4"/>
  <c r="F42" i="196" s="1"/>
  <c r="G14" i="4"/>
  <c r="F44" i="196" s="1"/>
  <c r="G24" i="4"/>
  <c r="F54" i="196" s="1"/>
  <c r="G15" i="4"/>
  <c r="F45" i="196" s="1"/>
  <c r="G11" i="4"/>
  <c r="F41" i="196" s="1"/>
  <c r="G18" i="4"/>
  <c r="F48" i="196" s="1"/>
  <c r="G8" i="4"/>
  <c r="F38" i="196" s="1"/>
  <c r="G9" i="4"/>
  <c r="F39" i="196" s="1"/>
  <c r="G5" i="4"/>
  <c r="F35" i="196" s="1"/>
  <c r="G21" i="4"/>
  <c r="F51" i="196" s="1"/>
  <c r="G22" i="4"/>
  <c r="F52" i="196" s="1"/>
  <c r="G7" i="4"/>
  <c r="F37" i="196" s="1"/>
  <c r="G17" i="4"/>
  <c r="F47" i="196" s="1"/>
  <c r="G3" i="4"/>
  <c r="F33" i="196" s="1"/>
  <c r="G4" i="4"/>
  <c r="F34" i="196" s="1"/>
  <c r="G13" i="4"/>
  <c r="F43" i="196" s="1"/>
  <c r="G20" i="4"/>
  <c r="F50" i="196" s="1"/>
  <c r="G23" i="4"/>
  <c r="F53" i="196" s="1"/>
  <c r="G6" i="4"/>
  <c r="F36" i="196" s="1"/>
  <c r="Y2" i="108"/>
  <c r="V3"/>
  <c r="N2"/>
  <c r="E4" i="224"/>
  <c r="C2" i="124"/>
  <c r="H2"/>
  <c r="BD77" s="1"/>
  <c r="C2" i="105"/>
  <c r="C2" i="88"/>
  <c r="C2" i="212"/>
  <c r="C115" i="2"/>
  <c r="C1" i="222"/>
  <c r="C2" i="214"/>
  <c r="C3" i="194"/>
  <c r="E77" i="27"/>
  <c r="G74" i="26"/>
  <c r="E76" i="27"/>
  <c r="G73" i="26"/>
  <c r="F29" i="168"/>
  <c r="G29" s="1"/>
  <c r="C29" i="216"/>
  <c r="B18" i="16"/>
  <c r="F29" i="170"/>
  <c r="G29" s="1"/>
  <c r="C29" i="109"/>
  <c r="K18" i="211"/>
  <c r="G14" i="26"/>
  <c r="E17" i="27"/>
  <c r="E53"/>
  <c r="G50" i="26"/>
  <c r="E18" i="27"/>
  <c r="G15" i="26"/>
  <c r="G39"/>
  <c r="E42" i="27"/>
  <c r="C4" i="196"/>
  <c r="C9" i="168"/>
  <c r="L9" i="121" s="1"/>
  <c r="C9" i="170"/>
  <c r="G6" i="2"/>
  <c r="G60" i="26"/>
  <c r="E63" i="27"/>
  <c r="G28" i="26"/>
  <c r="E31" i="27"/>
  <c r="E55"/>
  <c r="G52" i="26"/>
  <c r="E30" i="27"/>
  <c r="G27" i="26"/>
  <c r="E70" i="27"/>
  <c r="G67" i="26"/>
  <c r="C7" i="194"/>
  <c r="AP8" i="88"/>
  <c r="R29" i="124"/>
  <c r="O10" i="219"/>
  <c r="S29" i="105"/>
  <c r="S26"/>
  <c r="F6" i="8"/>
  <c r="S10" i="219"/>
  <c r="K6" i="8"/>
  <c r="AQ6" s="1"/>
  <c r="AI6" s="1"/>
  <c r="AV12" i="211"/>
  <c r="D22" i="8"/>
  <c r="AQ22" s="1"/>
  <c r="AI22" s="1"/>
  <c r="AD51" i="1"/>
  <c r="H77" i="27" s="1"/>
  <c r="J77" s="1"/>
  <c r="T10" i="219"/>
  <c r="E6" i="8"/>
  <c r="G6"/>
  <c r="E13" i="105"/>
  <c r="G14" i="124"/>
  <c r="C6" i="8"/>
  <c r="U10" i="219"/>
  <c r="N6" i="8"/>
  <c r="E14" i="124"/>
  <c r="O6" i="8"/>
  <c r="AI25" i="1"/>
  <c r="AC25" s="1"/>
  <c r="AE21" i="88"/>
  <c r="AD46" i="1"/>
  <c r="O49" i="6" s="1"/>
  <c r="I50" i="219" s="1"/>
  <c r="J10"/>
  <c r="J21" i="88"/>
  <c r="G21" s="1"/>
  <c r="AD48" i="1"/>
  <c r="H25" i="27" s="1"/>
  <c r="J25" s="1"/>
  <c r="P10" i="219"/>
  <c r="K10"/>
  <c r="K8" i="8"/>
  <c r="AD44" i="1"/>
  <c r="O47" i="6" s="1"/>
  <c r="AI26" i="1"/>
  <c r="AC26" s="1"/>
  <c r="AD43"/>
  <c r="O46" i="6" s="1"/>
  <c r="I47" i="219" s="1"/>
  <c r="AD50" i="1"/>
  <c r="H76" i="27" s="1"/>
  <c r="J76" s="1"/>
  <c r="K11" i="219"/>
  <c r="Q8" i="6"/>
  <c r="K9" i="219" s="1"/>
  <c r="AV13" i="211"/>
  <c r="M40" i="219"/>
  <c r="T24"/>
  <c r="O33"/>
  <c r="M12"/>
  <c r="M8" i="8"/>
  <c r="Q54" i="6"/>
  <c r="K55" i="219" s="1"/>
  <c r="R40"/>
  <c r="S54" i="6"/>
  <c r="F51" i="8" s="1"/>
  <c r="J8"/>
  <c r="AR8" s="1"/>
  <c r="AJ8" s="1"/>
  <c r="AA54" i="6"/>
  <c r="G58" i="105" s="1"/>
  <c r="T33" i="219"/>
  <c r="R54" i="6"/>
  <c r="E51" i="8" s="1"/>
  <c r="P54" i="6"/>
  <c r="Q55" i="219"/>
  <c r="V54" i="6"/>
  <c r="I51" i="8" s="1"/>
  <c r="Z54" i="6"/>
  <c r="M51" i="8" s="1"/>
  <c r="T54" i="6"/>
  <c r="U54"/>
  <c r="H51" i="8" s="1"/>
  <c r="AR51" s="1"/>
  <c r="AJ51" s="1"/>
  <c r="AB54" i="6"/>
  <c r="V55" i="219" s="1"/>
  <c r="Y54" i="6"/>
  <c r="T29" i="219"/>
  <c r="X54" i="6"/>
  <c r="S33" i="219"/>
  <c r="AA20" i="6"/>
  <c r="U21" i="219" s="1"/>
  <c r="Q20" i="6"/>
  <c r="K21" i="219" s="1"/>
  <c r="L29" i="8"/>
  <c r="L8"/>
  <c r="E15" i="105"/>
  <c r="E60" i="124"/>
  <c r="J24" i="219"/>
  <c r="C8" i="8"/>
  <c r="H36"/>
  <c r="AE35" i="88"/>
  <c r="D29" i="8"/>
  <c r="L52"/>
  <c r="Z20" i="6"/>
  <c r="M17" i="8" s="1"/>
  <c r="F14"/>
  <c r="K33" i="219"/>
  <c r="X20" i="6"/>
  <c r="R21" i="219" s="1"/>
  <c r="E9" i="211"/>
  <c r="D9" s="1"/>
  <c r="J37" i="88"/>
  <c r="K37" s="1"/>
  <c r="V20" i="6"/>
  <c r="I17" i="8" s="1"/>
  <c r="P56" i="219"/>
  <c r="J12"/>
  <c r="K29"/>
  <c r="Q49"/>
  <c r="D52" i="8"/>
  <c r="G29" i="105"/>
  <c r="X47" i="6"/>
  <c r="K44" i="8" s="1"/>
  <c r="AE29" i="88"/>
  <c r="T40" i="219"/>
  <c r="G27" i="105"/>
  <c r="AB8" i="6"/>
  <c r="O5" i="8" s="1"/>
  <c r="K40" i="219"/>
  <c r="E30" i="124"/>
  <c r="T19" i="6"/>
  <c r="U8"/>
  <c r="I29" i="8"/>
  <c r="N22"/>
  <c r="G29"/>
  <c r="V50" i="219"/>
  <c r="E43" i="105"/>
  <c r="P8" i="6"/>
  <c r="R20"/>
  <c r="E17" i="8" s="1"/>
  <c r="AB20" i="6"/>
  <c r="O17" i="8" s="1"/>
  <c r="X19" i="6"/>
  <c r="R47"/>
  <c r="L48" i="219" s="1"/>
  <c r="V19" i="6"/>
  <c r="T8"/>
  <c r="W19"/>
  <c r="J16" i="8" s="1"/>
  <c r="R8" i="6"/>
  <c r="E44" i="124"/>
  <c r="W8" i="6"/>
  <c r="Q9" i="219" s="1"/>
  <c r="S41" i="6"/>
  <c r="M42" i="219" s="1"/>
  <c r="U19" i="6"/>
  <c r="H16" i="8" s="1"/>
  <c r="C36"/>
  <c r="AS36" s="1"/>
  <c r="AK36" s="1"/>
  <c r="V8" i="6"/>
  <c r="P9" i="219" s="1"/>
  <c r="G44" i="124"/>
  <c r="N36" i="8"/>
  <c r="I20"/>
  <c r="AQ20" s="1"/>
  <c r="AI20" s="1"/>
  <c r="L22"/>
  <c r="J40" i="219"/>
  <c r="X8" i="6"/>
  <c r="K5" i="8" s="1"/>
  <c r="U20" i="6"/>
  <c r="P19"/>
  <c r="L25" i="8"/>
  <c r="G43" i="105"/>
  <c r="P40" i="219"/>
  <c r="J51" i="88"/>
  <c r="G51" s="1"/>
  <c r="AA8" i="6"/>
  <c r="G13" i="124" s="1"/>
  <c r="K12" i="219"/>
  <c r="Y42" i="6"/>
  <c r="S8"/>
  <c r="V34"/>
  <c r="U47"/>
  <c r="O48" i="219" s="1"/>
  <c r="N8" i="8"/>
  <c r="S34" i="6"/>
  <c r="F31" i="8" s="1"/>
  <c r="Y47" i="6"/>
  <c r="V40" i="219"/>
  <c r="J36" i="8"/>
  <c r="K17" i="219"/>
  <c r="V26"/>
  <c r="V42" i="6"/>
  <c r="P43" i="219" s="1"/>
  <c r="Q42" i="6"/>
  <c r="D39" i="8" s="1"/>
  <c r="Y19" i="6"/>
  <c r="S20" i="219" s="1"/>
  <c r="P34" i="6"/>
  <c r="W47"/>
  <c r="J44" i="8" s="1"/>
  <c r="Y8" i="6"/>
  <c r="Z19"/>
  <c r="M26" i="219"/>
  <c r="T47" i="6"/>
  <c r="D8" i="8"/>
  <c r="AA47" i="6"/>
  <c r="G36" i="8"/>
  <c r="S47" i="6"/>
  <c r="F44" i="8" s="1"/>
  <c r="P47" i="6"/>
  <c r="E46" i="8"/>
  <c r="L12" i="219"/>
  <c r="G8" i="8"/>
  <c r="P11" i="219"/>
  <c r="Z47" i="6"/>
  <c r="T48" i="219" s="1"/>
  <c r="V47" i="6"/>
  <c r="P26" i="219"/>
  <c r="S40"/>
  <c r="O12"/>
  <c r="G28" i="124"/>
  <c r="AB47" i="6"/>
  <c r="S21" i="219"/>
  <c r="L17" i="8"/>
  <c r="N43" i="219"/>
  <c r="G39" i="8"/>
  <c r="T9" i="219"/>
  <c r="M5" i="8"/>
  <c r="R26" i="219"/>
  <c r="L40"/>
  <c r="U12"/>
  <c r="R42" i="6"/>
  <c r="K29" i="8"/>
  <c r="G15" i="105"/>
  <c r="N25" i="8"/>
  <c r="AU14" i="211"/>
  <c r="P20" i="6"/>
  <c r="S19"/>
  <c r="AA19"/>
  <c r="R19"/>
  <c r="X42"/>
  <c r="Z42"/>
  <c r="M39" i="8" s="1"/>
  <c r="T20" i="6"/>
  <c r="P18" i="219"/>
  <c r="E7" i="8"/>
  <c r="N20"/>
  <c r="AE23" i="88"/>
  <c r="S20" i="6"/>
  <c r="M21" i="219" s="1"/>
  <c r="S42" i="6"/>
  <c r="W20"/>
  <c r="Q19"/>
  <c r="J23" i="88"/>
  <c r="G23" s="1"/>
  <c r="G31" i="8"/>
  <c r="G38"/>
  <c r="N42" i="219"/>
  <c r="K16" i="211"/>
  <c r="E16" s="1"/>
  <c r="D16" s="1"/>
  <c r="C27" i="216"/>
  <c r="B16" i="16"/>
  <c r="F27" i="168"/>
  <c r="G27" s="1"/>
  <c r="C27" i="109"/>
  <c r="F27" i="170"/>
  <c r="G27" s="1"/>
  <c r="E19" i="27"/>
  <c r="G16" i="26"/>
  <c r="AI29" i="1"/>
  <c r="AC20" i="2"/>
  <c r="G42" i="26"/>
  <c r="E45" i="27"/>
  <c r="E68"/>
  <c r="G65" i="26"/>
  <c r="G68"/>
  <c r="E71" i="27"/>
  <c r="C25" i="216"/>
  <c r="K14" i="211"/>
  <c r="C25" i="109"/>
  <c r="F25" i="170"/>
  <c r="G25" s="1"/>
  <c r="F25" i="168"/>
  <c r="G25" s="1"/>
  <c r="B14" i="16"/>
  <c r="W34" i="6"/>
  <c r="AA34"/>
  <c r="X34"/>
  <c r="Z34"/>
  <c r="R34"/>
  <c r="U34"/>
  <c r="Y34"/>
  <c r="Q34"/>
  <c r="S27" i="105"/>
  <c r="S12"/>
  <c r="C14" i="8"/>
  <c r="S15" i="105"/>
  <c r="AD35" i="1"/>
  <c r="Z41" i="6"/>
  <c r="AA41"/>
  <c r="AD47" i="1"/>
  <c r="S13" i="105"/>
  <c r="V41" i="6"/>
  <c r="W41"/>
  <c r="N18" i="219"/>
  <c r="K24"/>
  <c r="J18"/>
  <c r="J35" i="88"/>
  <c r="H35" s="1"/>
  <c r="C22" i="8"/>
  <c r="AS22" s="1"/>
  <c r="AK22" s="1"/>
  <c r="O20"/>
  <c r="S17" i="105"/>
  <c r="AD40" i="1"/>
  <c r="Q41" i="6"/>
  <c r="AD45" i="1"/>
  <c r="O48" i="6" s="1"/>
  <c r="I49" i="219" s="1"/>
  <c r="S20" i="105"/>
  <c r="AI27" i="1"/>
  <c r="AC27" s="1"/>
  <c r="AB41" i="6"/>
  <c r="U41"/>
  <c r="R41"/>
  <c r="AD34" i="1"/>
  <c r="AD3"/>
  <c r="O6" i="6" s="1"/>
  <c r="AD23" i="1"/>
  <c r="B13" i="16"/>
  <c r="F24" i="170"/>
  <c r="G24" s="1"/>
  <c r="C24" i="216"/>
  <c r="F24" i="168"/>
  <c r="G24" s="1"/>
  <c r="K13" i="211"/>
  <c r="C24" i="109"/>
  <c r="C8" i="194"/>
  <c r="AQ8" i="88"/>
  <c r="C23" i="216"/>
  <c r="F23" i="168"/>
  <c r="G23" s="1"/>
  <c r="F23" i="170"/>
  <c r="G23" s="1"/>
  <c r="K12" i="211"/>
  <c r="C23" i="109"/>
  <c r="B12" i="16"/>
  <c r="G10" i="26"/>
  <c r="E13" i="27"/>
  <c r="G5" i="26"/>
  <c r="E8" i="27"/>
  <c r="I26" i="219"/>
  <c r="G20" i="8"/>
  <c r="S10" i="105"/>
  <c r="S16"/>
  <c r="T26" i="219"/>
  <c r="U26"/>
  <c r="G25" i="8"/>
  <c r="J26" i="219"/>
  <c r="S11" i="105"/>
  <c r="AD49" i="1"/>
  <c r="R12" i="124"/>
  <c r="S18" i="105"/>
  <c r="S19"/>
  <c r="AD38" i="1"/>
  <c r="AD37"/>
  <c r="AD39"/>
  <c r="AD36"/>
  <c r="AD21"/>
  <c r="AD18"/>
  <c r="AD9"/>
  <c r="AD4"/>
  <c r="O7" i="6" s="1"/>
  <c r="V5" i="108"/>
  <c r="P2"/>
  <c r="AA2"/>
  <c r="AI28" i="1"/>
  <c r="AC19" i="2"/>
  <c r="G11" i="26"/>
  <c r="E14" i="27"/>
  <c r="AD19" i="1"/>
  <c r="O22" i="6" s="1"/>
  <c r="AD20" i="1"/>
  <c r="AD12"/>
  <c r="AD14"/>
  <c r="AD10"/>
  <c r="AD17"/>
  <c r="AD16"/>
  <c r="AD13"/>
  <c r="O16" i="6" s="1"/>
  <c r="I17" i="219" s="1"/>
  <c r="AD11" i="1"/>
  <c r="AD15"/>
  <c r="AD8"/>
  <c r="AD7"/>
  <c r="AD6"/>
  <c r="AD5"/>
  <c r="S14" i="105"/>
  <c r="C13" i="8"/>
  <c r="H14"/>
  <c r="Y41" i="6"/>
  <c r="AD52" i="1"/>
  <c r="E37" i="124"/>
  <c r="P29" i="219"/>
  <c r="AE37" i="88"/>
  <c r="J29" i="8"/>
  <c r="AR29" s="1"/>
  <c r="AJ29" s="1"/>
  <c r="H28"/>
  <c r="S22" i="105"/>
  <c r="R26" i="124"/>
  <c r="AD24" i="1"/>
  <c r="O27" i="6" s="1"/>
  <c r="S23" i="105"/>
  <c r="AD42" i="1"/>
  <c r="O45" i="6" s="1"/>
  <c r="I46" i="219" s="1"/>
  <c r="AD41" i="1"/>
  <c r="E39" i="27"/>
  <c r="G36" i="26"/>
  <c r="AD31" i="1"/>
  <c r="AD33"/>
  <c r="AD32"/>
  <c r="C21" i="216"/>
  <c r="C21" i="109"/>
  <c r="F21" i="170"/>
  <c r="G21" s="1"/>
  <c r="K10" i="211"/>
  <c r="E10" s="1"/>
  <c r="F10" s="1"/>
  <c r="F21" i="168"/>
  <c r="G21" s="1"/>
  <c r="B10" i="16"/>
  <c r="F10" i="27"/>
  <c r="G7" i="26"/>
  <c r="W42" i="6"/>
  <c r="P42"/>
  <c r="AA42"/>
  <c r="AB42"/>
  <c r="U42"/>
  <c r="D44" i="8"/>
  <c r="K48" i="219"/>
  <c r="S28" i="105"/>
  <c r="R17" i="124"/>
  <c r="O7" i="8"/>
  <c r="V20" i="219"/>
  <c r="J44" i="88"/>
  <c r="H44" s="1"/>
  <c r="T18" i="219"/>
  <c r="L33"/>
  <c r="X41" i="6"/>
  <c r="P41"/>
  <c r="S25" i="105"/>
  <c r="S24"/>
  <c r="AB34" i="6"/>
  <c r="S21" i="105"/>
  <c r="O14" i="8"/>
  <c r="E36" i="105"/>
  <c r="F25" i="8"/>
  <c r="D13"/>
  <c r="E22" i="124"/>
  <c r="G36" i="105"/>
  <c r="T56" i="219"/>
  <c r="N29" i="8"/>
  <c r="Q24" i="219"/>
  <c r="F107" i="2"/>
  <c r="V33" i="219"/>
  <c r="O24"/>
  <c r="E21" i="105"/>
  <c r="U50" i="219"/>
  <c r="G26" i="170"/>
  <c r="U33" i="219"/>
  <c r="L24"/>
  <c r="G54" i="124"/>
  <c r="G30" i="168"/>
  <c r="F20" i="8"/>
  <c r="AE44" i="88"/>
  <c r="C29" i="8"/>
  <c r="AS29" s="1"/>
  <c r="AK29" s="1"/>
  <c r="Q33" i="219"/>
  <c r="R17"/>
  <c r="E21" i="124"/>
  <c r="R50" i="219"/>
  <c r="L56"/>
  <c r="J28" i="88"/>
  <c r="K28" s="1"/>
  <c r="E52" i="8"/>
  <c r="J67" i="88"/>
  <c r="G67" s="1"/>
  <c r="E20" i="105"/>
  <c r="AE67" i="88"/>
  <c r="V29" i="219"/>
  <c r="E28" i="124"/>
  <c r="L14" i="8"/>
  <c r="AE28" i="88"/>
  <c r="C52" i="8"/>
  <c r="R24" i="219"/>
  <c r="AU19" i="211"/>
  <c r="U29" i="219"/>
  <c r="D46" i="8"/>
  <c r="J56" i="219"/>
  <c r="C20" i="8"/>
  <c r="R56" i="219"/>
  <c r="N46" i="8"/>
  <c r="J22"/>
  <c r="Q26" i="219"/>
  <c r="L18"/>
  <c r="E14" i="8"/>
  <c r="K52"/>
  <c r="E22"/>
  <c r="L26" i="219"/>
  <c r="R18"/>
  <c r="K14" i="8"/>
  <c r="J14"/>
  <c r="Q18" i="219"/>
  <c r="G33" i="124"/>
  <c r="O26" i="219"/>
  <c r="H22" i="8"/>
  <c r="N14"/>
  <c r="G21" i="105"/>
  <c r="G22" i="124"/>
  <c r="U18" i="219"/>
  <c r="D14" i="8"/>
  <c r="K18" i="219"/>
  <c r="H25" i="8"/>
  <c r="O29" i="219"/>
  <c r="N52" i="8"/>
  <c r="G60" i="124"/>
  <c r="G59" i="105"/>
  <c r="U56" i="219"/>
  <c r="N49"/>
  <c r="G45" i="8"/>
  <c r="G13"/>
  <c r="N17" i="219"/>
  <c r="AU13" i="211"/>
  <c r="J11" i="219"/>
  <c r="J22" i="88"/>
  <c r="C7" i="8"/>
  <c r="E15" i="124"/>
  <c r="AE22" i="88"/>
  <c r="E14" i="105"/>
  <c r="D45" i="8"/>
  <c r="K49" i="219"/>
  <c r="E52" i="105"/>
  <c r="AE60" i="88"/>
  <c r="C45" i="8"/>
  <c r="J60" i="88"/>
  <c r="E53" i="124"/>
  <c r="J49" i="219"/>
  <c r="N7" i="8"/>
  <c r="U11" i="219"/>
  <c r="G15" i="124"/>
  <c r="G14" i="105"/>
  <c r="M45" i="8"/>
  <c r="T49" i="219"/>
  <c r="K45" i="8"/>
  <c r="R49" i="219"/>
  <c r="M46" i="8"/>
  <c r="T50" i="219"/>
  <c r="H45" i="8"/>
  <c r="O49" i="219"/>
  <c r="AQ36" i="8"/>
  <c r="AI36" s="1"/>
  <c r="S49" i="219"/>
  <c r="L45" i="8"/>
  <c r="M7"/>
  <c r="T11" i="219"/>
  <c r="M56"/>
  <c r="F52" i="8"/>
  <c r="Q50" i="219"/>
  <c r="J46" i="8"/>
  <c r="H13"/>
  <c r="O17" i="219"/>
  <c r="Q17"/>
  <c r="J13" i="8"/>
  <c r="R29" i="219"/>
  <c r="K25" i="8"/>
  <c r="AQ25" s="1"/>
  <c r="AI25" s="1"/>
  <c r="H52"/>
  <c r="O56" i="219"/>
  <c r="Q29"/>
  <c r="J25" i="8"/>
  <c r="T17" i="219"/>
  <c r="M13" i="8"/>
  <c r="S11" i="219"/>
  <c r="L7" i="8"/>
  <c r="M50" i="219"/>
  <c r="F46" i="8"/>
  <c r="M49" i="219"/>
  <c r="F45" i="8"/>
  <c r="C46"/>
  <c r="E53" i="105"/>
  <c r="J50" i="219"/>
  <c r="E54" i="124"/>
  <c r="AE61" i="88"/>
  <c r="J61"/>
  <c r="AR20" i="8"/>
  <c r="AJ20" s="1"/>
  <c r="F13"/>
  <c r="M17" i="219"/>
  <c r="O45" i="8"/>
  <c r="V49" i="219"/>
  <c r="N50"/>
  <c r="G46" i="8"/>
  <c r="O52"/>
  <c r="V56" i="219"/>
  <c r="I13" i="8"/>
  <c r="P17" i="219"/>
  <c r="R11"/>
  <c r="K7" i="8"/>
  <c r="N11" i="219"/>
  <c r="G7" i="8"/>
  <c r="S17" i="219"/>
  <c r="L13" i="8"/>
  <c r="L29" i="219"/>
  <c r="E25" i="8"/>
  <c r="Q11" i="219"/>
  <c r="J7" i="8"/>
  <c r="AR7" s="1"/>
  <c r="AJ7" s="1"/>
  <c r="I46"/>
  <c r="P50" i="219"/>
  <c r="I45" i="8"/>
  <c r="P49" i="219"/>
  <c r="M11"/>
  <c r="F7" i="8"/>
  <c r="N13"/>
  <c r="U17" i="219"/>
  <c r="G21" i="124"/>
  <c r="G20" i="105"/>
  <c r="O50" i="219"/>
  <c r="H46" i="8"/>
  <c r="J52"/>
  <c r="Q56" i="219"/>
  <c r="E13" i="8"/>
  <c r="L17" i="219"/>
  <c r="N45" i="8"/>
  <c r="U49" i="219"/>
  <c r="G53" i="124"/>
  <c r="G52" i="105"/>
  <c r="P75" i="8"/>
  <c r="L59"/>
  <c r="P61"/>
  <c r="F73"/>
  <c r="V59"/>
  <c r="X66"/>
  <c r="K89"/>
  <c r="W105"/>
  <c r="K66"/>
  <c r="R78"/>
  <c r="F60"/>
  <c r="U61"/>
  <c r="T67"/>
  <c r="R105"/>
  <c r="W66"/>
  <c r="I82"/>
  <c r="M67"/>
  <c r="U89"/>
  <c r="V89"/>
  <c r="J78"/>
  <c r="V98"/>
  <c r="S82"/>
  <c r="V105"/>
  <c r="O89"/>
  <c r="F61"/>
  <c r="D61"/>
  <c r="T98"/>
  <c r="V67"/>
  <c r="F98"/>
  <c r="L75"/>
  <c r="W98"/>
  <c r="M60"/>
  <c r="O75"/>
  <c r="X61"/>
  <c r="Q75"/>
  <c r="J98"/>
  <c r="D59"/>
  <c r="P98"/>
  <c r="D82"/>
  <c r="P105"/>
  <c r="T59"/>
  <c r="W73"/>
  <c r="N73"/>
  <c r="R82"/>
  <c r="I89"/>
  <c r="S61"/>
  <c r="T99"/>
  <c r="E67"/>
  <c r="W59"/>
  <c r="U67"/>
  <c r="I61"/>
  <c r="G61"/>
  <c r="M78"/>
  <c r="M105"/>
  <c r="V66"/>
  <c r="S105"/>
  <c r="P59"/>
  <c r="I60"/>
  <c r="C78"/>
  <c r="L105"/>
  <c r="O105"/>
  <c r="O61"/>
  <c r="Q67"/>
  <c r="U78"/>
  <c r="I75"/>
  <c r="S75"/>
  <c r="P67"/>
  <c r="C66"/>
  <c r="K98"/>
  <c r="Z13"/>
  <c r="S98"/>
  <c r="Q99"/>
  <c r="Q78"/>
  <c r="L61"/>
  <c r="O82"/>
  <c r="Q61"/>
  <c r="M59"/>
  <c r="W75"/>
  <c r="K75"/>
  <c r="I59"/>
  <c r="M73"/>
  <c r="G105"/>
  <c r="Z36"/>
  <c r="Q105"/>
  <c r="X98"/>
  <c r="Z46"/>
  <c r="W78"/>
  <c r="G98"/>
  <c r="I78"/>
  <c r="X99"/>
  <c r="K73"/>
  <c r="V73"/>
  <c r="P66"/>
  <c r="Q59"/>
  <c r="Z22"/>
  <c r="G59"/>
  <c r="H61"/>
  <c r="D99"/>
  <c r="W89"/>
  <c r="R75"/>
  <c r="G67"/>
  <c r="Q98"/>
  <c r="U75"/>
  <c r="N75"/>
  <c r="D73"/>
  <c r="Z25"/>
  <c r="D60"/>
  <c r="G89"/>
  <c r="T73"/>
  <c r="Z45"/>
  <c r="J75"/>
  <c r="F59"/>
  <c r="T75"/>
  <c r="S67"/>
  <c r="Z8"/>
  <c r="R59"/>
  <c r="E75"/>
  <c r="I98"/>
  <c r="Z29"/>
  <c r="Q66"/>
  <c r="L89"/>
  <c r="X78"/>
  <c r="L99"/>
  <c r="Z7"/>
  <c r="K99"/>
  <c r="W99"/>
  <c r="X73"/>
  <c r="X89"/>
  <c r="Z14"/>
  <c r="X59"/>
  <c r="I67"/>
  <c r="R98"/>
  <c r="D78"/>
  <c r="V61"/>
  <c r="W60"/>
  <c r="H60"/>
  <c r="E98"/>
  <c r="Q89"/>
  <c r="Z20"/>
  <c r="G66"/>
  <c r="M75"/>
  <c r="I105"/>
  <c r="V75"/>
  <c r="T78"/>
  <c r="Z6"/>
  <c r="K105"/>
  <c r="C61"/>
  <c r="S78"/>
  <c r="J59"/>
  <c r="G75"/>
  <c r="U99"/>
  <c r="U66"/>
  <c r="J105"/>
  <c r="K60"/>
  <c r="T66"/>
  <c r="S66"/>
  <c r="L73"/>
  <c r="U60"/>
  <c r="V78"/>
  <c r="F89"/>
  <c r="D89"/>
  <c r="R61"/>
  <c r="R99"/>
  <c r="T61"/>
  <c r="S73"/>
  <c r="O78"/>
  <c r="N66"/>
  <c r="U59"/>
  <c r="G82"/>
  <c r="H73"/>
  <c r="O59"/>
  <c r="L66"/>
  <c r="W82"/>
  <c r="X67"/>
  <c r="U98"/>
  <c r="Q82"/>
  <c r="J89"/>
  <c r="F66"/>
  <c r="W67"/>
  <c r="R89"/>
  <c r="D66"/>
  <c r="X105"/>
  <c r="N61"/>
  <c r="O66"/>
  <c r="F67"/>
  <c r="Z52"/>
  <c r="X75"/>
  <c r="U105"/>
  <c r="T82"/>
  <c r="E59"/>
  <c r="U73"/>
  <c r="F75"/>
  <c r="T89"/>
  <c r="R60"/>
  <c r="W61"/>
  <c r="L98"/>
  <c r="E89"/>
  <c r="Q60"/>
  <c r="H59"/>
  <c r="E73"/>
  <c r="T105"/>
  <c r="G78"/>
  <c r="P89"/>
  <c r="M89"/>
  <c r="K82"/>
  <c r="R67"/>
  <c r="K61"/>
  <c r="D67"/>
  <c r="P73"/>
  <c r="X60"/>
  <c r="F82"/>
  <c r="P99"/>
  <c r="E82"/>
  <c r="V99"/>
  <c r="V82"/>
  <c r="E61"/>
  <c r="U82"/>
  <c r="R73"/>
  <c r="O99"/>
  <c r="R66"/>
  <c r="N60"/>
  <c r="M99"/>
  <c r="S59"/>
  <c r="P82"/>
  <c r="H82"/>
  <c r="V60"/>
  <c r="S99"/>
  <c r="N105"/>
  <c r="N67"/>
  <c r="G73"/>
  <c r="J73"/>
  <c r="P60"/>
  <c r="M82"/>
  <c r="X82"/>
  <c r="S60"/>
  <c r="Q73"/>
  <c r="S89"/>
  <c r="T60"/>
  <c r="N82"/>
  <c r="J99"/>
  <c r="N78"/>
  <c r="C59"/>
  <c r="N89"/>
  <c r="P78"/>
  <c r="I66"/>
  <c r="O67"/>
  <c r="D105"/>
  <c r="O73"/>
  <c r="N59"/>
  <c r="L78"/>
  <c r="K67"/>
  <c r="G60"/>
  <c r="H89"/>
  <c r="E105"/>
  <c r="L60"/>
  <c r="N98"/>
  <c r="J67"/>
  <c r="N99"/>
  <c r="L82"/>
  <c r="M98"/>
  <c r="F99"/>
  <c r="E60"/>
  <c r="O60"/>
  <c r="G99"/>
  <c r="M61"/>
  <c r="E99"/>
  <c r="C105"/>
  <c r="I99"/>
  <c r="F78"/>
  <c r="L67"/>
  <c r="C73"/>
  <c r="H75"/>
  <c r="J66"/>
  <c r="M66"/>
  <c r="O98"/>
  <c r="L16" i="219" l="1"/>
  <c r="J27" i="88"/>
  <c r="G27" s="1"/>
  <c r="E19" i="105"/>
  <c r="E20" i="124"/>
  <c r="O16" i="219"/>
  <c r="U16"/>
  <c r="J12" i="8"/>
  <c r="AR12" s="1"/>
  <c r="AJ12" s="1"/>
  <c r="N12"/>
  <c r="G56" i="105"/>
  <c r="R16" i="219"/>
  <c r="G20" i="124"/>
  <c r="S16" i="219"/>
  <c r="C12" i="8"/>
  <c r="P16" i="219"/>
  <c r="O12" i="8"/>
  <c r="K16" i="219"/>
  <c r="G57" i="124"/>
  <c r="D12" i="8"/>
  <c r="BE18" i="211"/>
  <c r="N49" i="8"/>
  <c r="G12"/>
  <c r="J16" i="219"/>
  <c r="F12" i="8"/>
  <c r="F49"/>
  <c r="J53" i="219"/>
  <c r="E40" i="105"/>
  <c r="L49" i="8"/>
  <c r="K49"/>
  <c r="L54" i="219"/>
  <c r="K53"/>
  <c r="O53"/>
  <c r="G49" i="8"/>
  <c r="I49"/>
  <c r="O49"/>
  <c r="L10"/>
  <c r="AE64" i="88"/>
  <c r="E57" i="124"/>
  <c r="M49" i="8"/>
  <c r="K50"/>
  <c r="AQ50" s="1"/>
  <c r="AI50" s="1"/>
  <c r="J64" i="88"/>
  <c r="K64" s="1"/>
  <c r="N54" i="219"/>
  <c r="E56" i="105"/>
  <c r="L53" i="219"/>
  <c r="Q54"/>
  <c r="S54"/>
  <c r="T54"/>
  <c r="E58" i="124"/>
  <c r="E27"/>
  <c r="E35"/>
  <c r="AE34" i="88"/>
  <c r="E26" i="105"/>
  <c r="E17"/>
  <c r="J34" i="88"/>
  <c r="H34" s="1"/>
  <c r="J52"/>
  <c r="G52" s="1"/>
  <c r="K10" i="8"/>
  <c r="T14" i="219"/>
  <c r="C27" i="8"/>
  <c r="AS27" s="1"/>
  <c r="AK27" s="1"/>
  <c r="J42" i="88"/>
  <c r="H42" s="1"/>
  <c r="J31" i="219"/>
  <c r="C50" i="8"/>
  <c r="O37"/>
  <c r="AE65" i="88"/>
  <c r="O31" i="219"/>
  <c r="O41"/>
  <c r="T41"/>
  <c r="G37" i="8"/>
  <c r="K41" i="219"/>
  <c r="P41"/>
  <c r="G57" i="105"/>
  <c r="E27" i="8"/>
  <c r="Q41" i="219"/>
  <c r="P31"/>
  <c r="M14"/>
  <c r="J48" i="88"/>
  <c r="G48" s="1"/>
  <c r="K14" i="219"/>
  <c r="E34" i="105"/>
  <c r="D19" i="8"/>
  <c r="E19"/>
  <c r="O10"/>
  <c r="AE42" i="88"/>
  <c r="J65"/>
  <c r="H65" s="1"/>
  <c r="J37" i="219"/>
  <c r="G35" i="124"/>
  <c r="G27"/>
  <c r="G19" i="8"/>
  <c r="G44" i="105"/>
  <c r="AE48" i="88"/>
  <c r="N37" i="8"/>
  <c r="N27"/>
  <c r="E41" i="124"/>
  <c r="C33" i="8"/>
  <c r="AS33" s="1"/>
  <c r="AK33" s="1"/>
  <c r="O27"/>
  <c r="G41" i="124"/>
  <c r="U31" i="219"/>
  <c r="T31"/>
  <c r="I10" i="8"/>
  <c r="G27"/>
  <c r="O19"/>
  <c r="Q31" i="219"/>
  <c r="S41"/>
  <c r="T37"/>
  <c r="K19" i="8"/>
  <c r="Q23" i="219"/>
  <c r="J25" i="88"/>
  <c r="G25" s="1"/>
  <c r="N19" i="8"/>
  <c r="V54" i="219"/>
  <c r="C10" i="8"/>
  <c r="AS10" s="1"/>
  <c r="AK10" s="1"/>
  <c r="G26" i="105"/>
  <c r="J10" i="8"/>
  <c r="M37" i="219"/>
  <c r="P23"/>
  <c r="U37"/>
  <c r="L37"/>
  <c r="J14"/>
  <c r="U41"/>
  <c r="E44" i="105"/>
  <c r="L41" i="219"/>
  <c r="E10" i="8"/>
  <c r="H33"/>
  <c r="K27"/>
  <c r="O23" i="219"/>
  <c r="N33" i="8"/>
  <c r="AP33" s="1"/>
  <c r="AH33" s="1"/>
  <c r="D27"/>
  <c r="E18" i="124"/>
  <c r="S37" i="219"/>
  <c r="K37" i="8"/>
  <c r="AQ37" s="1"/>
  <c r="AI37" s="1"/>
  <c r="S31" i="219"/>
  <c r="T23"/>
  <c r="C37" i="8"/>
  <c r="AR27"/>
  <c r="AJ27" s="1"/>
  <c r="E45" i="124"/>
  <c r="M23" i="219"/>
  <c r="L19" i="8"/>
  <c r="E57" i="105"/>
  <c r="AE52" i="88"/>
  <c r="J41" i="219"/>
  <c r="D10" i="8"/>
  <c r="H10"/>
  <c r="G17" i="105"/>
  <c r="U54" i="219"/>
  <c r="J54"/>
  <c r="J33" i="8"/>
  <c r="U14" i="219"/>
  <c r="N50" i="8"/>
  <c r="AP50" s="1"/>
  <c r="AH50" s="1"/>
  <c r="AS19"/>
  <c r="AK19" s="1"/>
  <c r="H50"/>
  <c r="AU16" i="211"/>
  <c r="P54" i="219"/>
  <c r="F50" i="8"/>
  <c r="AE25" i="88"/>
  <c r="G18" i="124"/>
  <c r="V37" i="219"/>
  <c r="P37"/>
  <c r="K37"/>
  <c r="K33" i="8"/>
  <c r="AQ33" s="1"/>
  <c r="AI33" s="1"/>
  <c r="O34" i="168"/>
  <c r="BF16" i="211"/>
  <c r="O33" i="6"/>
  <c r="I34" i="219" s="1"/>
  <c r="E18" i="211"/>
  <c r="D18" s="1"/>
  <c r="G18" s="1"/>
  <c r="BE17"/>
  <c r="AS11"/>
  <c r="F11"/>
  <c r="E19"/>
  <c r="D19" s="1"/>
  <c r="BF18"/>
  <c r="L46" i="219"/>
  <c r="G29" i="88"/>
  <c r="H29"/>
  <c r="E2" i="214"/>
  <c r="J26" i="88"/>
  <c r="K26" s="1"/>
  <c r="E50" i="124"/>
  <c r="R15" i="219"/>
  <c r="Q36"/>
  <c r="AR32" i="8"/>
  <c r="AJ32" s="1"/>
  <c r="U46" i="219"/>
  <c r="AE57" i="88"/>
  <c r="J57"/>
  <c r="G57" s="1"/>
  <c r="G49" i="105"/>
  <c r="G50" i="124"/>
  <c r="BE19" i="211"/>
  <c r="BH19" s="1"/>
  <c r="E49" i="105"/>
  <c r="L42" i="8"/>
  <c r="AP42" s="1"/>
  <c r="AH42" s="1"/>
  <c r="O42"/>
  <c r="P46" i="219"/>
  <c r="D42" i="8"/>
  <c r="N46" i="219"/>
  <c r="H42" i="8"/>
  <c r="C42"/>
  <c r="Q46" i="219"/>
  <c r="M46"/>
  <c r="K42" i="8"/>
  <c r="T32" i="219"/>
  <c r="J11" i="8"/>
  <c r="N26"/>
  <c r="J30" i="88"/>
  <c r="G30" s="1"/>
  <c r="G22" i="105"/>
  <c r="T15" i="219"/>
  <c r="AE30" i="88"/>
  <c r="M30" i="219"/>
  <c r="G40" i="88"/>
  <c r="AE43"/>
  <c r="H40"/>
  <c r="AE26"/>
  <c r="J59"/>
  <c r="K59" s="1"/>
  <c r="E58" i="105"/>
  <c r="G23" i="124"/>
  <c r="E39" i="105"/>
  <c r="E39" i="124"/>
  <c r="E23"/>
  <c r="J19" i="219"/>
  <c r="C15" i="8"/>
  <c r="O26"/>
  <c r="E40" i="124"/>
  <c r="E18" i="105"/>
  <c r="E19" i="124"/>
  <c r="AE41" i="88"/>
  <c r="E13" i="124"/>
  <c r="N19" i="219"/>
  <c r="G18" i="105"/>
  <c r="J31" i="88"/>
  <c r="G31" s="1"/>
  <c r="S19" i="219"/>
  <c r="H15" i="8"/>
  <c r="AR15" s="1"/>
  <c r="AJ15" s="1"/>
  <c r="E22" i="105"/>
  <c r="J41" i="88"/>
  <c r="K41" s="1"/>
  <c r="Q44" i="6"/>
  <c r="D41" i="8" s="1"/>
  <c r="V44" i="6"/>
  <c r="I41" i="8" s="1"/>
  <c r="N15" i="219"/>
  <c r="E33" i="105"/>
  <c r="N36" i="219"/>
  <c r="X44" i="6"/>
  <c r="R45" i="219" s="1"/>
  <c r="AA50" i="6"/>
  <c r="G55" i="124" s="1"/>
  <c r="C26" i="8"/>
  <c r="AS26" s="1"/>
  <c r="AK26" s="1"/>
  <c r="E34" i="124"/>
  <c r="J28" i="8"/>
  <c r="AR28" s="1"/>
  <c r="AJ28" s="1"/>
  <c r="I11"/>
  <c r="AQ26"/>
  <c r="AI26" s="1"/>
  <c r="K30" i="219"/>
  <c r="P36"/>
  <c r="S36"/>
  <c r="U30"/>
  <c r="E26" i="8"/>
  <c r="K36" i="219"/>
  <c r="F15" i="8"/>
  <c r="BF17" i="211"/>
  <c r="I28" i="8"/>
  <c r="L32" i="219"/>
  <c r="N15" i="8"/>
  <c r="J47" i="88"/>
  <c r="K47" s="1"/>
  <c r="V15" i="219"/>
  <c r="V32"/>
  <c r="P30"/>
  <c r="R30"/>
  <c r="J36"/>
  <c r="AE47" i="88"/>
  <c r="C32" i="8"/>
  <c r="S30" i="219"/>
  <c r="T30"/>
  <c r="H26" i="8"/>
  <c r="AR26" s="1"/>
  <c r="AJ26" s="1"/>
  <c r="M15" i="219"/>
  <c r="G39" i="105"/>
  <c r="I15" i="8"/>
  <c r="K15"/>
  <c r="G19" i="124"/>
  <c r="S50" i="6"/>
  <c r="M51" i="219" s="1"/>
  <c r="D11" i="8"/>
  <c r="J30" i="219"/>
  <c r="F32" i="8"/>
  <c r="G34" i="124"/>
  <c r="N11" i="8"/>
  <c r="P50" i="6"/>
  <c r="J51" i="219" s="1"/>
  <c r="K15"/>
  <c r="E32" i="8"/>
  <c r="AP32" s="1"/>
  <c r="AH32" s="1"/>
  <c r="M15"/>
  <c r="Y50" i="6"/>
  <c r="L47" i="8" s="1"/>
  <c r="N30" i="219"/>
  <c r="AS11" i="8"/>
  <c r="AK11" s="1"/>
  <c r="AS8"/>
  <c r="AK8" s="1"/>
  <c r="T36" i="219"/>
  <c r="K32" i="8"/>
  <c r="U36" i="219"/>
  <c r="G40" i="124"/>
  <c r="O15" i="8"/>
  <c r="E11"/>
  <c r="C28"/>
  <c r="AS28" s="1"/>
  <c r="AK28" s="1"/>
  <c r="J43" i="88"/>
  <c r="G43" s="1"/>
  <c r="M32" i="219"/>
  <c r="O36"/>
  <c r="H11" i="8"/>
  <c r="K28"/>
  <c r="G35" i="105"/>
  <c r="U32" i="219"/>
  <c r="F17" i="211"/>
  <c r="N28" i="8"/>
  <c r="AP28" s="1"/>
  <c r="AH28" s="1"/>
  <c r="E35" i="105"/>
  <c r="N32" i="219"/>
  <c r="E36" i="124"/>
  <c r="E15" i="8"/>
  <c r="K32" i="219"/>
  <c r="K19"/>
  <c r="L11" i="8"/>
  <c r="AB50" i="6"/>
  <c r="O47" i="8" s="1"/>
  <c r="J32" i="219"/>
  <c r="W50" i="6"/>
  <c r="J47" i="8" s="1"/>
  <c r="Y44" i="6"/>
  <c r="L41" i="8" s="1"/>
  <c r="S32" i="219"/>
  <c r="BE16" i="211"/>
  <c r="K47" i="8"/>
  <c r="T50" i="6"/>
  <c r="G47" i="8" s="1"/>
  <c r="AH6" i="88"/>
  <c r="AC6"/>
  <c r="Z50" i="6"/>
  <c r="M47" i="8" s="1"/>
  <c r="Q50" i="6"/>
  <c r="D47" i="8" s="1"/>
  <c r="V50" i="6"/>
  <c r="P51" i="219" s="1"/>
  <c r="Q45"/>
  <c r="P44" i="6"/>
  <c r="J45" i="219" s="1"/>
  <c r="AA44" i="6"/>
  <c r="U45" i="219" s="1"/>
  <c r="C5" i="213"/>
  <c r="C5" i="223"/>
  <c r="C5" i="215"/>
  <c r="S44" i="6"/>
  <c r="M45" i="219" s="1"/>
  <c r="Z44" i="6"/>
  <c r="M41" i="8" s="1"/>
  <c r="U44" i="6"/>
  <c r="O45" i="219" s="1"/>
  <c r="R50" i="6"/>
  <c r="E47" i="8" s="1"/>
  <c r="R44" i="6"/>
  <c r="E41" i="8" s="1"/>
  <c r="U50" i="6"/>
  <c r="O51" i="219" s="1"/>
  <c r="AB44" i="6"/>
  <c r="V45" i="219" s="1"/>
  <c r="T44" i="6"/>
  <c r="N45" i="219" s="1"/>
  <c r="H45" i="27"/>
  <c r="J45" s="1"/>
  <c r="H14"/>
  <c r="J14" s="1"/>
  <c r="H24"/>
  <c r="J24" s="1"/>
  <c r="AS6" i="8"/>
  <c r="AK6" s="1"/>
  <c r="H72" i="27"/>
  <c r="J72" s="1"/>
  <c r="AP6" i="8"/>
  <c r="AH6" s="1"/>
  <c r="H70" i="27"/>
  <c r="J70" s="1"/>
  <c r="K21" i="88"/>
  <c r="H21"/>
  <c r="I21" s="1"/>
  <c r="O51" i="6"/>
  <c r="I52" i="219" s="1"/>
  <c r="O54" i="6"/>
  <c r="I55" i="219" s="1"/>
  <c r="AA6" i="8"/>
  <c r="AT6"/>
  <c r="M13" i="105"/>
  <c r="AG6" i="8"/>
  <c r="M14" i="124" s="1"/>
  <c r="C51" i="8"/>
  <c r="AS51" s="1"/>
  <c r="AK51" s="1"/>
  <c r="J66" i="88"/>
  <c r="G66" s="1"/>
  <c r="AQ8" i="8"/>
  <c r="AI8" s="1"/>
  <c r="AE66" i="88"/>
  <c r="O53" i="6"/>
  <c r="I54" i="219" s="1"/>
  <c r="H68" i="27"/>
  <c r="J68" s="1"/>
  <c r="E59" i="124"/>
  <c r="J55" i="219"/>
  <c r="BF11" i="211"/>
  <c r="AV11"/>
  <c r="M44" i="8"/>
  <c r="K17"/>
  <c r="D5"/>
  <c r="O51"/>
  <c r="AS14"/>
  <c r="AK14" s="1"/>
  <c r="F9" i="211"/>
  <c r="L55" i="219"/>
  <c r="P55"/>
  <c r="AQ52" i="8"/>
  <c r="AI52" s="1"/>
  <c r="D51"/>
  <c r="M55" i="219"/>
  <c r="N51" i="8"/>
  <c r="U55" i="219"/>
  <c r="O55"/>
  <c r="N17" i="8"/>
  <c r="N55" i="219"/>
  <c r="G51" i="8"/>
  <c r="AU11" i="211"/>
  <c r="D17" i="8"/>
  <c r="L51"/>
  <c r="S55" i="219"/>
  <c r="G59" i="124"/>
  <c r="T55" i="219"/>
  <c r="C5" i="8"/>
  <c r="E12" i="105"/>
  <c r="I5" i="8"/>
  <c r="R48" i="219"/>
  <c r="AR36" i="8"/>
  <c r="AJ36" s="1"/>
  <c r="K51"/>
  <c r="R55" i="219"/>
  <c r="J5" i="8"/>
  <c r="G24" i="105"/>
  <c r="G25" i="124"/>
  <c r="J9" i="219"/>
  <c r="J46" i="88"/>
  <c r="K46" s="1"/>
  <c r="Q20" i="219"/>
  <c r="T21"/>
  <c r="P21"/>
  <c r="F17" i="8"/>
  <c r="N5"/>
  <c r="AP29"/>
  <c r="AH29" s="1"/>
  <c r="AE31" i="88"/>
  <c r="AR16" i="8"/>
  <c r="AJ16" s="1"/>
  <c r="G12" i="105"/>
  <c r="G37" i="88"/>
  <c r="E38" i="105"/>
  <c r="J20" i="88"/>
  <c r="G20" s="1"/>
  <c r="H44" i="8"/>
  <c r="AR44" s="1"/>
  <c r="AJ44" s="1"/>
  <c r="E24" i="124"/>
  <c r="BE11" i="211"/>
  <c r="E44" i="8"/>
  <c r="AP36"/>
  <c r="AH36" s="1"/>
  <c r="AE20" i="88"/>
  <c r="U9" i="219"/>
  <c r="L16" i="8"/>
  <c r="M35" i="219"/>
  <c r="AQ29" i="8"/>
  <c r="AI29" s="1"/>
  <c r="H37" i="88"/>
  <c r="T43" i="219"/>
  <c r="K43"/>
  <c r="D8" i="211"/>
  <c r="AS8" s="1"/>
  <c r="R9" i="219"/>
  <c r="AR14" i="8"/>
  <c r="AJ14" s="1"/>
  <c r="F38"/>
  <c r="L21" i="219"/>
  <c r="F5" i="8"/>
  <c r="M9" i="219"/>
  <c r="H17" i="8"/>
  <c r="O21" i="219"/>
  <c r="E23" i="105"/>
  <c r="J20" i="219"/>
  <c r="C16" i="8"/>
  <c r="I16"/>
  <c r="P20" i="219"/>
  <c r="G16" i="8"/>
  <c r="N20" i="219"/>
  <c r="K44" i="88"/>
  <c r="H51"/>
  <c r="I51" s="1"/>
  <c r="G5" i="8"/>
  <c r="N9" i="219"/>
  <c r="H5" i="8"/>
  <c r="O9" i="219"/>
  <c r="G44" i="88"/>
  <c r="I44" s="1"/>
  <c r="K51"/>
  <c r="AP52" i="8"/>
  <c r="AH52" s="1"/>
  <c r="V9" i="219"/>
  <c r="M48"/>
  <c r="L39" i="8"/>
  <c r="S43" i="219"/>
  <c r="V21"/>
  <c r="AE59" i="88"/>
  <c r="R20" i="219"/>
  <c r="K16" i="8"/>
  <c r="O20" i="219"/>
  <c r="E5" i="8"/>
  <c r="L9" i="219"/>
  <c r="AS52" i="8"/>
  <c r="AK52" s="1"/>
  <c r="AP14"/>
  <c r="AH14" s="1"/>
  <c r="AT8"/>
  <c r="AG8"/>
  <c r="M16" i="124" s="1"/>
  <c r="M15" i="105"/>
  <c r="AT36" i="8"/>
  <c r="AG36"/>
  <c r="M44" i="124" s="1"/>
  <c r="M43" i="105"/>
  <c r="P35" i="219"/>
  <c r="I31" i="8"/>
  <c r="G51" i="105"/>
  <c r="G52" i="124"/>
  <c r="N44" i="8"/>
  <c r="U48" i="219"/>
  <c r="I44" i="8"/>
  <c r="AQ44" s="1"/>
  <c r="AI44" s="1"/>
  <c r="P48" i="219"/>
  <c r="C31" i="8"/>
  <c r="AE46" i="88"/>
  <c r="J35" i="219"/>
  <c r="AP8" i="8"/>
  <c r="AH8" s="1"/>
  <c r="AA8"/>
  <c r="S48" i="219"/>
  <c r="L44" i="8"/>
  <c r="L5"/>
  <c r="S9" i="219"/>
  <c r="C44" i="8"/>
  <c r="I39"/>
  <c r="Q48" i="219"/>
  <c r="E52" i="124"/>
  <c r="J48" i="219"/>
  <c r="E51" i="105"/>
  <c r="V48" i="219"/>
  <c r="O44" i="8"/>
  <c r="G44"/>
  <c r="N48" i="219"/>
  <c r="T20"/>
  <c r="M16" i="8"/>
  <c r="AA36"/>
  <c r="K20" i="219"/>
  <c r="D16" i="8"/>
  <c r="K39"/>
  <c r="R43" i="219"/>
  <c r="F39" i="8"/>
  <c r="M43" i="219"/>
  <c r="D15" i="211"/>
  <c r="G15" s="1"/>
  <c r="F16" i="8"/>
  <c r="M20" i="219"/>
  <c r="U20"/>
  <c r="N16" i="8"/>
  <c r="G23" i="105"/>
  <c r="G24" i="124"/>
  <c r="E16" i="8"/>
  <c r="L20" i="219"/>
  <c r="N21"/>
  <c r="G17" i="8"/>
  <c r="H67" i="88"/>
  <c r="I67" s="1"/>
  <c r="F16" i="211"/>
  <c r="AS25" i="8"/>
  <c r="AK25" s="1"/>
  <c r="G35" i="88"/>
  <c r="I35" s="1"/>
  <c r="L43" i="219"/>
  <c r="E39" i="8"/>
  <c r="AP20"/>
  <c r="AH20" s="1"/>
  <c r="K35" i="88"/>
  <c r="K23"/>
  <c r="H23"/>
  <c r="I23" s="1"/>
  <c r="J17" i="8"/>
  <c r="Q21" i="219"/>
  <c r="E25" i="124"/>
  <c r="E24" i="105"/>
  <c r="J32" i="88"/>
  <c r="C17" i="8"/>
  <c r="J21" i="219"/>
  <c r="AE32" i="88"/>
  <c r="H24" i="168"/>
  <c r="H19"/>
  <c r="I23" s="1"/>
  <c r="H29" i="170"/>
  <c r="H24"/>
  <c r="H28"/>
  <c r="E13" i="211"/>
  <c r="BF13"/>
  <c r="O26" i="6"/>
  <c r="H9" i="27"/>
  <c r="J9" s="1"/>
  <c r="K31" i="8"/>
  <c r="R35" i="219"/>
  <c r="V35"/>
  <c r="O31" i="8"/>
  <c r="U43" i="219"/>
  <c r="G47" i="124"/>
  <c r="N39" i="8"/>
  <c r="G46" i="105"/>
  <c r="O10" i="6"/>
  <c r="I11" i="219" s="1"/>
  <c r="H33" i="27"/>
  <c r="J33" s="1"/>
  <c r="H39" i="8"/>
  <c r="O43" i="219"/>
  <c r="O8" i="6"/>
  <c r="H31" i="27"/>
  <c r="J31" s="1"/>
  <c r="O38" i="8"/>
  <c r="V42" i="219"/>
  <c r="E45" i="105"/>
  <c r="E46" i="124"/>
  <c r="J53" i="88"/>
  <c r="J42" i="219"/>
  <c r="AE53" i="88"/>
  <c r="C38" i="8"/>
  <c r="O14" i="6"/>
  <c r="I15" i="219" s="1"/>
  <c r="H37" i="27"/>
  <c r="J37" s="1"/>
  <c r="I23" i="219"/>
  <c r="I8"/>
  <c r="BE12" i="211"/>
  <c r="E12"/>
  <c r="BF12"/>
  <c r="O37" i="6"/>
  <c r="I38" i="219" s="1"/>
  <c r="H10" i="27"/>
  <c r="J10" s="1"/>
  <c r="Q35" i="219"/>
  <c r="J31" i="8"/>
  <c r="H19" i="170"/>
  <c r="D10" i="211"/>
  <c r="AS10" s="1"/>
  <c r="AA29" i="8"/>
  <c r="AP45"/>
  <c r="AH45" s="1"/>
  <c r="H23" i="168"/>
  <c r="AS13" i="8"/>
  <c r="AK13" s="1"/>
  <c r="H39" i="27"/>
  <c r="J39" s="1"/>
  <c r="O44" i="6"/>
  <c r="H67" i="27"/>
  <c r="J67" s="1"/>
  <c r="I7" i="219"/>
  <c r="O11" i="6"/>
  <c r="I12" i="219" s="1"/>
  <c r="H34" i="27"/>
  <c r="J34" s="1"/>
  <c r="O41" i="6"/>
  <c r="I42" i="219" s="1"/>
  <c r="H64" i="27"/>
  <c r="J64" s="1"/>
  <c r="J38" i="8"/>
  <c r="Q42" i="219"/>
  <c r="O38" i="6"/>
  <c r="H22" i="27"/>
  <c r="J22" s="1"/>
  <c r="T35" i="219"/>
  <c r="M31" i="8"/>
  <c r="E14" i="211"/>
  <c r="BF14"/>
  <c r="BE14"/>
  <c r="V43" i="219"/>
  <c r="O39" i="8"/>
  <c r="O34" i="6"/>
  <c r="H57" i="27"/>
  <c r="J57" s="1"/>
  <c r="O9" i="6"/>
  <c r="I10" i="219" s="1"/>
  <c r="H32" i="27"/>
  <c r="J32" s="1"/>
  <c r="O13" i="6"/>
  <c r="H36" i="27"/>
  <c r="J36" s="1"/>
  <c r="AD19" i="2"/>
  <c r="AC28" i="1"/>
  <c r="O40" i="6"/>
  <c r="I41" i="219" s="1"/>
  <c r="H63" i="27"/>
  <c r="J63" s="1"/>
  <c r="T16" i="105"/>
  <c r="T13"/>
  <c r="T24"/>
  <c r="T28"/>
  <c r="T17"/>
  <c r="T20"/>
  <c r="T22"/>
  <c r="T26"/>
  <c r="T11"/>
  <c r="T30"/>
  <c r="T38"/>
  <c r="T46"/>
  <c r="T54"/>
  <c r="T10"/>
  <c r="T18"/>
  <c r="T19"/>
  <c r="T23"/>
  <c r="T27"/>
  <c r="T33"/>
  <c r="T41"/>
  <c r="T49"/>
  <c r="T57"/>
  <c r="T21"/>
  <c r="BA21" s="1"/>
  <c r="T25"/>
  <c r="T29"/>
  <c r="BA29" s="1"/>
  <c r="T37"/>
  <c r="T15"/>
  <c r="T14"/>
  <c r="Z14" s="1"/>
  <c r="H14" i="107" s="1"/>
  <c r="T12" i="105"/>
  <c r="T45"/>
  <c r="T53"/>
  <c r="T39"/>
  <c r="T43"/>
  <c r="T59"/>
  <c r="T47"/>
  <c r="T48"/>
  <c r="T40"/>
  <c r="T51"/>
  <c r="T34"/>
  <c r="T31"/>
  <c r="T58"/>
  <c r="T35"/>
  <c r="T55"/>
  <c r="T36"/>
  <c r="T32"/>
  <c r="T42"/>
  <c r="T44"/>
  <c r="T56"/>
  <c r="T50"/>
  <c r="T52"/>
  <c r="M38" i="8"/>
  <c r="T42" i="219"/>
  <c r="L35"/>
  <c r="E31" i="8"/>
  <c r="BE13" i="211"/>
  <c r="G28" i="88"/>
  <c r="H30" i="170"/>
  <c r="H27" i="168"/>
  <c r="J39" i="8"/>
  <c r="Q43" i="219"/>
  <c r="O18" i="6"/>
  <c r="I19" i="219" s="1"/>
  <c r="H41" i="27"/>
  <c r="J41" s="1"/>
  <c r="O15" i="6"/>
  <c r="I16" i="219" s="1"/>
  <c r="H38" i="27"/>
  <c r="J38" s="1"/>
  <c r="I38" i="8"/>
  <c r="P42" i="219"/>
  <c r="I28"/>
  <c r="O20" i="6"/>
  <c r="I21" i="219" s="1"/>
  <c r="H43" i="27"/>
  <c r="J43" s="1"/>
  <c r="O42" i="6"/>
  <c r="I43" i="219" s="1"/>
  <c r="H65" i="27"/>
  <c r="J65" s="1"/>
  <c r="O43" i="6"/>
  <c r="I44" i="219" s="1"/>
  <c r="H23" i="27"/>
  <c r="J23" s="1"/>
  <c r="N38" i="8"/>
  <c r="G45" i="105"/>
  <c r="U42" i="219"/>
  <c r="G46" i="124"/>
  <c r="O35" i="219"/>
  <c r="H31" i="8"/>
  <c r="O35" i="6"/>
  <c r="I36" i="219" s="1"/>
  <c r="H58" i="27"/>
  <c r="J58" s="1"/>
  <c r="O55" i="6"/>
  <c r="I56" i="219" s="1"/>
  <c r="H78" i="27"/>
  <c r="J78" s="1"/>
  <c r="O19" i="6"/>
  <c r="I20" i="219" s="1"/>
  <c r="H42" i="27"/>
  <c r="J42" s="1"/>
  <c r="O21" i="6"/>
  <c r="I22" i="219" s="1"/>
  <c r="H16" i="27"/>
  <c r="J16" s="1"/>
  <c r="O39" i="6"/>
  <c r="H62" i="27"/>
  <c r="J62" s="1"/>
  <c r="O52" i="6"/>
  <c r="H75" i="27"/>
  <c r="J75" s="1"/>
  <c r="H38" i="8"/>
  <c r="O42" i="219"/>
  <c r="O50" i="6"/>
  <c r="H73" i="27"/>
  <c r="J73" s="1"/>
  <c r="L31" i="8"/>
  <c r="S35" i="219"/>
  <c r="AC29" i="1"/>
  <c r="X20" i="2" s="1"/>
  <c r="AD20"/>
  <c r="I48" i="219"/>
  <c r="H28" i="88"/>
  <c r="H8" i="27"/>
  <c r="J8" s="1"/>
  <c r="H19"/>
  <c r="J19" s="1"/>
  <c r="O23" i="6"/>
  <c r="I24" i="219" s="1"/>
  <c r="H46" i="27"/>
  <c r="J46" s="1"/>
  <c r="G38" i="105"/>
  <c r="U35" i="219"/>
  <c r="G39" i="124"/>
  <c r="N31" i="8"/>
  <c r="E47" i="124"/>
  <c r="E46" i="105"/>
  <c r="J43" i="219"/>
  <c r="C39" i="8"/>
  <c r="J54" i="88"/>
  <c r="AE54"/>
  <c r="O17" i="6"/>
  <c r="I18" i="219" s="1"/>
  <c r="H40" i="27"/>
  <c r="J40" s="1"/>
  <c r="O36" i="6"/>
  <c r="I37" i="219" s="1"/>
  <c r="H59" i="27"/>
  <c r="J59" s="1"/>
  <c r="S42" i="219"/>
  <c r="L38" i="8"/>
  <c r="O24" i="6"/>
  <c r="I25" i="219" s="1"/>
  <c r="H17" i="27"/>
  <c r="J17" s="1"/>
  <c r="R42" i="219"/>
  <c r="K38" i="8"/>
  <c r="O12" i="6"/>
  <c r="I13" i="219" s="1"/>
  <c r="H15" i="27"/>
  <c r="J15" s="1"/>
  <c r="S28" i="124"/>
  <c r="S13"/>
  <c r="S27"/>
  <c r="S56"/>
  <c r="S37"/>
  <c r="S32"/>
  <c r="S30"/>
  <c r="S33"/>
  <c r="S40"/>
  <c r="S60"/>
  <c r="S46"/>
  <c r="S20"/>
  <c r="S55"/>
  <c r="S29"/>
  <c r="S36"/>
  <c r="S47"/>
  <c r="S11"/>
  <c r="S15"/>
  <c r="S57"/>
  <c r="S50"/>
  <c r="S18"/>
  <c r="S16"/>
  <c r="S17"/>
  <c r="S39"/>
  <c r="S35"/>
  <c r="S45"/>
  <c r="S54"/>
  <c r="S12"/>
  <c r="S26"/>
  <c r="S44"/>
  <c r="S52"/>
  <c r="S41"/>
  <c r="S21"/>
  <c r="S38"/>
  <c r="S31"/>
  <c r="S58"/>
  <c r="S23"/>
  <c r="S25"/>
  <c r="S49"/>
  <c r="S42"/>
  <c r="S53"/>
  <c r="S24"/>
  <c r="S22"/>
  <c r="S48"/>
  <c r="S59"/>
  <c r="S34"/>
  <c r="S51"/>
  <c r="S14"/>
  <c r="S19"/>
  <c r="S43"/>
  <c r="E38" i="8"/>
  <c r="L42" i="219"/>
  <c r="D38" i="8"/>
  <c r="K42" i="219"/>
  <c r="D31" i="8"/>
  <c r="K35" i="219"/>
  <c r="AQ13" i="8"/>
  <c r="AI13" s="1"/>
  <c r="H28" i="168"/>
  <c r="H26" i="170"/>
  <c r="H71" i="27"/>
  <c r="J71" s="1"/>
  <c r="AG29" i="8"/>
  <c r="M37" i="124" s="1"/>
  <c r="AT29" i="8"/>
  <c r="M36" i="105"/>
  <c r="H21" i="170"/>
  <c r="AA14" i="8"/>
  <c r="H22" i="168"/>
  <c r="H20" i="170"/>
  <c r="H22"/>
  <c r="H27"/>
  <c r="H21" i="168"/>
  <c r="H20"/>
  <c r="H26"/>
  <c r="H25"/>
  <c r="H29"/>
  <c r="H25" i="170"/>
  <c r="H30" i="168"/>
  <c r="H23" i="170"/>
  <c r="AG20" i="8"/>
  <c r="M28" i="124" s="1"/>
  <c r="AT20" i="8"/>
  <c r="M27" i="105"/>
  <c r="K67" i="88"/>
  <c r="AP46" i="8"/>
  <c r="AH46" s="1"/>
  <c r="AA20"/>
  <c r="AS20"/>
  <c r="AK20" s="1"/>
  <c r="AT22"/>
  <c r="AG22"/>
  <c r="M30" i="124" s="1"/>
  <c r="M29" i="105"/>
  <c r="M21"/>
  <c r="AG14" i="8"/>
  <c r="M22" i="124" s="1"/>
  <c r="AT14" i="8"/>
  <c r="AQ14"/>
  <c r="AI14" s="1"/>
  <c r="AR22"/>
  <c r="AJ22" s="1"/>
  <c r="AA22"/>
  <c r="AP22"/>
  <c r="AH22" s="1"/>
  <c r="AG7"/>
  <c r="M15" i="124" s="1"/>
  <c r="M14" i="105"/>
  <c r="AT7" i="8"/>
  <c r="AG46"/>
  <c r="M54" i="124" s="1"/>
  <c r="M53" i="105"/>
  <c r="AT46" i="8"/>
  <c r="AG25"/>
  <c r="M33" i="124" s="1"/>
  <c r="M32" i="105"/>
  <c r="AT25" i="8"/>
  <c r="M59" i="105"/>
  <c r="AG52" i="8"/>
  <c r="M60" i="124" s="1"/>
  <c r="AT52" i="8"/>
  <c r="AT13"/>
  <c r="AG13"/>
  <c r="M21" i="124" s="1"/>
  <c r="M20" i="105"/>
  <c r="AT45" i="8"/>
  <c r="M52" i="105"/>
  <c r="AG45" i="8"/>
  <c r="M53" i="124" s="1"/>
  <c r="AR37" i="8"/>
  <c r="AJ37" s="1"/>
  <c r="H60" i="88"/>
  <c r="G60"/>
  <c r="K60"/>
  <c r="AS7" i="8"/>
  <c r="AK7" s="1"/>
  <c r="AA7"/>
  <c r="AR25"/>
  <c r="AJ25" s="1"/>
  <c r="AR52"/>
  <c r="AJ52" s="1"/>
  <c r="AS17" i="211"/>
  <c r="G17"/>
  <c r="AA46" i="8"/>
  <c r="AS46"/>
  <c r="AK46" s="1"/>
  <c r="AR45"/>
  <c r="AJ45" s="1"/>
  <c r="AR19"/>
  <c r="AJ19" s="1"/>
  <c r="AQ46"/>
  <c r="AI46" s="1"/>
  <c r="AP25"/>
  <c r="AH25" s="1"/>
  <c r="AQ45"/>
  <c r="AI45" s="1"/>
  <c r="AR46"/>
  <c r="AJ46" s="1"/>
  <c r="G9" i="211"/>
  <c r="AS9"/>
  <c r="AQ7" i="8"/>
  <c r="AI7" s="1"/>
  <c r="AA25"/>
  <c r="AR13"/>
  <c r="AJ13" s="1"/>
  <c r="AP13"/>
  <c r="AH13" s="1"/>
  <c r="G16" i="211"/>
  <c r="AS16"/>
  <c r="G61" i="88"/>
  <c r="H61"/>
  <c r="K61"/>
  <c r="AS45" i="8"/>
  <c r="AK45" s="1"/>
  <c r="AA45"/>
  <c r="K22" i="88"/>
  <c r="H22"/>
  <c r="G22"/>
  <c r="AA13" i="8"/>
  <c r="AA52"/>
  <c r="AP7"/>
  <c r="AH7" s="1"/>
  <c r="F65"/>
  <c r="E65"/>
  <c r="N65"/>
  <c r="P65"/>
  <c r="T65"/>
  <c r="W65"/>
  <c r="R65"/>
  <c r="K65"/>
  <c r="Z12"/>
  <c r="U65"/>
  <c r="V65"/>
  <c r="M65"/>
  <c r="L65"/>
  <c r="Q65"/>
  <c r="H65"/>
  <c r="I65"/>
  <c r="C65"/>
  <c r="X65"/>
  <c r="S65"/>
  <c r="G65"/>
  <c r="O65"/>
  <c r="G102"/>
  <c r="F102"/>
  <c r="S102"/>
  <c r="L90"/>
  <c r="M90"/>
  <c r="H80"/>
  <c r="F80"/>
  <c r="Z10"/>
  <c r="R63"/>
  <c r="G72"/>
  <c r="F72"/>
  <c r="J103"/>
  <c r="T103"/>
  <c r="Q86"/>
  <c r="V68"/>
  <c r="C75"/>
  <c r="C60"/>
  <c r="O69"/>
  <c r="S81"/>
  <c r="P97"/>
  <c r="Q68"/>
  <c r="K59"/>
  <c r="W70"/>
  <c r="F84"/>
  <c r="G84"/>
  <c r="O91"/>
  <c r="V79"/>
  <c r="S68"/>
  <c r="D70"/>
  <c r="C99"/>
  <c r="G68"/>
  <c r="V69"/>
  <c r="R81"/>
  <c r="U69"/>
  <c r="W97"/>
  <c r="Z26"/>
  <c r="C113"/>
  <c r="X95"/>
  <c r="J92"/>
  <c r="Z11"/>
  <c r="E90"/>
  <c r="H99"/>
  <c r="W113"/>
  <c r="O153"/>
  <c r="J58"/>
  <c r="E68"/>
  <c r="H92"/>
  <c r="H113"/>
  <c r="G153"/>
  <c r="R153"/>
  <c r="L102"/>
  <c r="U90"/>
  <c r="Z27"/>
  <c r="N63"/>
  <c r="E103"/>
  <c r="F86"/>
  <c r="Z15"/>
  <c r="U81"/>
  <c r="R95"/>
  <c r="H105"/>
  <c r="U113"/>
  <c r="P70"/>
  <c r="D75"/>
  <c r="P92"/>
  <c r="J61"/>
  <c r="I85"/>
  <c r="I58"/>
  <c r="V95"/>
  <c r="S64"/>
  <c r="K92"/>
  <c r="K153"/>
  <c r="Q81"/>
  <c r="F115"/>
  <c r="I91"/>
  <c r="O115"/>
  <c r="O102"/>
  <c r="O90"/>
  <c r="V80"/>
  <c r="M63"/>
  <c r="T72"/>
  <c r="Q103"/>
  <c r="K86"/>
  <c r="M81"/>
  <c r="D79"/>
  <c r="H66"/>
  <c r="O92"/>
  <c r="F104"/>
  <c r="N113"/>
  <c r="T104"/>
  <c r="F79"/>
  <c r="G58"/>
  <c r="Q95"/>
  <c r="D68"/>
  <c r="M95"/>
  <c r="F68"/>
  <c r="K115"/>
  <c r="V102"/>
  <c r="I80"/>
  <c r="X63"/>
  <c r="M103"/>
  <c r="O86"/>
  <c r="C84"/>
  <c r="N70"/>
  <c r="N103"/>
  <c r="G92"/>
  <c r="Z44"/>
  <c r="W85"/>
  <c r="O95"/>
  <c r="H104"/>
  <c r="G115"/>
  <c r="G113"/>
  <c r="H58"/>
  <c r="E58"/>
  <c r="U115"/>
  <c r="K102"/>
  <c r="X102"/>
  <c r="M102"/>
  <c r="F90"/>
  <c r="J90"/>
  <c r="U80"/>
  <c r="O80"/>
  <c r="W63"/>
  <c r="L72"/>
  <c r="J72"/>
  <c r="R72"/>
  <c r="D103"/>
  <c r="G103"/>
  <c r="Z50"/>
  <c r="X86"/>
  <c r="Z33"/>
  <c r="Q85"/>
  <c r="J82"/>
  <c r="J60"/>
  <c r="V64"/>
  <c r="W95"/>
  <c r="U114"/>
  <c r="T58"/>
  <c r="Z42"/>
  <c r="F70"/>
  <c r="U79"/>
  <c r="S85"/>
  <c r="P113"/>
  <c r="T113"/>
  <c r="T70"/>
  <c r="R68"/>
  <c r="P91"/>
  <c r="U91"/>
  <c r="Z31"/>
  <c r="R97"/>
  <c r="P95"/>
  <c r="J85"/>
  <c r="K79"/>
  <c r="D85"/>
  <c r="S95"/>
  <c r="W104"/>
  <c r="I68"/>
  <c r="U92"/>
  <c r="D58"/>
  <c r="R64"/>
  <c r="T95"/>
  <c r="N69"/>
  <c r="S129"/>
  <c r="P58"/>
  <c r="M85"/>
  <c r="O81"/>
  <c r="R69"/>
  <c r="K78"/>
  <c r="V58"/>
  <c r="G81"/>
  <c r="S97"/>
  <c r="N81"/>
  <c r="X91"/>
  <c r="K114"/>
  <c r="Q58"/>
  <c r="L153"/>
  <c r="S113"/>
  <c r="C58"/>
  <c r="K81"/>
  <c r="E92"/>
  <c r="X113"/>
  <c r="V129"/>
  <c r="P129"/>
  <c r="D153"/>
  <c r="R115"/>
  <c r="E115"/>
  <c r="M153"/>
  <c r="I90"/>
  <c r="R80"/>
  <c r="U63"/>
  <c r="V72"/>
  <c r="L103"/>
  <c r="E86"/>
  <c r="V97"/>
  <c r="L81"/>
  <c r="S58"/>
  <c r="Z51"/>
  <c r="P81"/>
  <c r="U104"/>
  <c r="J64"/>
  <c r="R85"/>
  <c r="C63"/>
  <c r="D84"/>
  <c r="W58"/>
  <c r="P68"/>
  <c r="S115"/>
  <c r="H98"/>
  <c r="Q113"/>
  <c r="M84"/>
  <c r="N129"/>
  <c r="I115"/>
  <c r="Q102"/>
  <c r="R90"/>
  <c r="K63"/>
  <c r="S72"/>
  <c r="I103"/>
  <c r="P86"/>
  <c r="T91"/>
  <c r="N114"/>
  <c r="X81"/>
  <c r="C81"/>
  <c r="T79"/>
  <c r="T92"/>
  <c r="I113"/>
  <c r="D81"/>
  <c r="I114"/>
  <c r="E95"/>
  <c r="C85"/>
  <c r="K103"/>
  <c r="Z5"/>
  <c r="M91"/>
  <c r="L97"/>
  <c r="J153"/>
  <c r="P153"/>
  <c r="G90"/>
  <c r="W80"/>
  <c r="C72"/>
  <c r="U103"/>
  <c r="F97"/>
  <c r="K70"/>
  <c r="D97"/>
  <c r="U84"/>
  <c r="K58"/>
  <c r="K68"/>
  <c r="P84"/>
  <c r="D98"/>
  <c r="C89"/>
  <c r="J104"/>
  <c r="E114"/>
  <c r="F91"/>
  <c r="F129"/>
  <c r="I64"/>
  <c r="W153"/>
  <c r="N102"/>
  <c r="J102"/>
  <c r="D102"/>
  <c r="P90"/>
  <c r="Z37"/>
  <c r="M80"/>
  <c r="Q80"/>
  <c r="T80"/>
  <c r="F63"/>
  <c r="Q63"/>
  <c r="P63"/>
  <c r="X72"/>
  <c r="I72"/>
  <c r="P103"/>
  <c r="C103"/>
  <c r="R103"/>
  <c r="D86"/>
  <c r="G86"/>
  <c r="I70"/>
  <c r="U58"/>
  <c r="U85"/>
  <c r="C67"/>
  <c r="D90"/>
  <c r="Z32"/>
  <c r="N64"/>
  <c r="S92"/>
  <c r="D72"/>
  <c r="X85"/>
  <c r="K69"/>
  <c r="P104"/>
  <c r="F105"/>
  <c r="M64"/>
  <c r="P85"/>
  <c r="E81"/>
  <c r="H114"/>
  <c r="H81"/>
  <c r="T129"/>
  <c r="L114"/>
  <c r="R70"/>
  <c r="L129"/>
  <c r="T84"/>
  <c r="T68"/>
  <c r="O97"/>
  <c r="K159"/>
  <c r="R104"/>
  <c r="G64"/>
  <c r="I104"/>
  <c r="U97"/>
  <c r="E72"/>
  <c r="T81"/>
  <c r="H78"/>
  <c r="R84"/>
  <c r="J69"/>
  <c r="P159"/>
  <c r="X70"/>
  <c r="F95"/>
  <c r="H85"/>
  <c r="K95"/>
  <c r="U153"/>
  <c r="J68"/>
  <c r="Q91"/>
  <c r="U129"/>
  <c r="L159"/>
  <c r="K64"/>
  <c r="R91"/>
  <c r="L91"/>
  <c r="C92"/>
  <c r="M69"/>
  <c r="F113"/>
  <c r="G129"/>
  <c r="K129"/>
  <c r="N153"/>
  <c r="W115"/>
  <c r="C115"/>
  <c r="G143"/>
  <c r="U143"/>
  <c r="E153"/>
  <c r="Z49"/>
  <c r="K80"/>
  <c r="J63"/>
  <c r="Z19"/>
  <c r="S103"/>
  <c r="V86"/>
  <c r="O85"/>
  <c r="X114"/>
  <c r="G91"/>
  <c r="W69"/>
  <c r="X64"/>
  <c r="Q69"/>
  <c r="Q84"/>
  <c r="V84"/>
  <c r="T115"/>
  <c r="Q159"/>
  <c r="K85"/>
  <c r="H69"/>
  <c r="O129"/>
  <c r="D113"/>
  <c r="V115"/>
  <c r="T64"/>
  <c r="N97"/>
  <c r="X159"/>
  <c r="I153"/>
  <c r="K143"/>
  <c r="C102"/>
  <c r="T90"/>
  <c r="P80"/>
  <c r="O63"/>
  <c r="F103"/>
  <c r="J86"/>
  <c r="V70"/>
  <c r="S70"/>
  <c r="M70"/>
  <c r="S84"/>
  <c r="V85"/>
  <c r="E97"/>
  <c r="U68"/>
  <c r="U95"/>
  <c r="D115"/>
  <c r="G85"/>
  <c r="W92"/>
  <c r="M79"/>
  <c r="S104"/>
  <c r="W114"/>
  <c r="N115"/>
  <c r="N91"/>
  <c r="K104"/>
  <c r="I129"/>
  <c r="P115"/>
  <c r="P102"/>
  <c r="N90"/>
  <c r="K90"/>
  <c r="H72"/>
  <c r="T86"/>
  <c r="Z28"/>
  <c r="H67"/>
  <c r="L85"/>
  <c r="J79"/>
  <c r="S114"/>
  <c r="M104"/>
  <c r="P69"/>
  <c r="O114"/>
  <c r="I79"/>
  <c r="R79"/>
  <c r="W91"/>
  <c r="G159"/>
  <c r="Q104"/>
  <c r="G114"/>
  <c r="C91"/>
  <c r="F153"/>
  <c r="X153"/>
  <c r="W102"/>
  <c r="R102"/>
  <c r="U102"/>
  <c r="W90"/>
  <c r="V90"/>
  <c r="S80"/>
  <c r="L80"/>
  <c r="V63"/>
  <c r="S63"/>
  <c r="P72"/>
  <c r="M72"/>
  <c r="O103"/>
  <c r="X103"/>
  <c r="U86"/>
  <c r="L86"/>
  <c r="S86"/>
  <c r="V81"/>
  <c r="V92"/>
  <c r="C64"/>
  <c r="K97"/>
  <c r="X79"/>
  <c r="S69"/>
  <c r="O104"/>
  <c r="X68"/>
  <c r="O84"/>
  <c r="L70"/>
  <c r="Q97"/>
  <c r="N85"/>
  <c r="Q70"/>
  <c r="V91"/>
  <c r="E159"/>
  <c r="X104"/>
  <c r="J95"/>
  <c r="J113"/>
  <c r="Q79"/>
  <c r="M92"/>
  <c r="Q64"/>
  <c r="W84"/>
  <c r="E70"/>
  <c r="G121"/>
  <c r="R129"/>
  <c r="J80"/>
  <c r="U70"/>
  <c r="E79"/>
  <c r="V113"/>
  <c r="Z38"/>
  <c r="L121"/>
  <c r="Q92"/>
  <c r="I73"/>
  <c r="L68"/>
  <c r="Z16"/>
  <c r="D92"/>
  <c r="M114"/>
  <c r="J65"/>
  <c r="O70"/>
  <c r="O113"/>
  <c r="Z17"/>
  <c r="W81"/>
  <c r="O64"/>
  <c r="E78"/>
  <c r="E121"/>
  <c r="H90"/>
  <c r="D64"/>
  <c r="O159"/>
  <c r="W129"/>
  <c r="Q153"/>
  <c r="Q115"/>
  <c r="L143"/>
  <c r="M143"/>
  <c r="L127"/>
  <c r="X127"/>
  <c r="T153"/>
  <c r="V132"/>
  <c r="M132"/>
  <c r="C82"/>
  <c r="H102"/>
  <c r="T102"/>
  <c r="E102"/>
  <c r="Q90"/>
  <c r="S90"/>
  <c r="E80"/>
  <c r="X80"/>
  <c r="T63"/>
  <c r="G63"/>
  <c r="K72"/>
  <c r="Q72"/>
  <c r="U72"/>
  <c r="V103"/>
  <c r="W103"/>
  <c r="I86"/>
  <c r="R86"/>
  <c r="W86"/>
  <c r="C98"/>
  <c r="G95"/>
  <c r="F81"/>
  <c r="V104"/>
  <c r="G79"/>
  <c r="X84"/>
  <c r="W121"/>
  <c r="E104"/>
  <c r="D65"/>
  <c r="J121"/>
  <c r="E84"/>
  <c r="J97"/>
  <c r="N95"/>
  <c r="W64"/>
  <c r="I95"/>
  <c r="P79"/>
  <c r="V114"/>
  <c r="C95"/>
  <c r="R92"/>
  <c r="R121"/>
  <c r="I81"/>
  <c r="L113"/>
  <c r="W68"/>
  <c r="W79"/>
  <c r="G104"/>
  <c r="T97"/>
  <c r="M58"/>
  <c r="V159"/>
  <c r="N92"/>
  <c r="V121"/>
  <c r="T69"/>
  <c r="N68"/>
  <c r="L69"/>
  <c r="F64"/>
  <c r="X58"/>
  <c r="U159"/>
  <c r="O58"/>
  <c r="E143"/>
  <c r="E63"/>
  <c r="E136"/>
  <c r="S91"/>
  <c r="E129"/>
  <c r="I121"/>
  <c r="X92"/>
  <c r="R58"/>
  <c r="U64"/>
  <c r="N127"/>
  <c r="S79"/>
  <c r="T121"/>
  <c r="X119"/>
  <c r="L115"/>
  <c r="I69"/>
  <c r="H95"/>
  <c r="D104"/>
  <c r="D95"/>
  <c r="H84"/>
  <c r="I159"/>
  <c r="J129"/>
  <c r="H129"/>
  <c r="V153"/>
  <c r="X115"/>
  <c r="N152"/>
  <c r="M152"/>
  <c r="T143"/>
  <c r="S143"/>
  <c r="D127"/>
  <c r="R127"/>
  <c r="W119"/>
  <c r="L119"/>
  <c r="S153"/>
  <c r="D132"/>
  <c r="W132"/>
  <c r="X90"/>
  <c r="I63"/>
  <c r="W72"/>
  <c r="M86"/>
  <c r="Z39"/>
  <c r="X97"/>
  <c r="L84"/>
  <c r="X69"/>
  <c r="N159"/>
  <c r="L79"/>
  <c r="E66"/>
  <c r="D114"/>
  <c r="R113"/>
  <c r="P64"/>
  <c r="H70"/>
  <c r="T85"/>
  <c r="E113"/>
  <c r="F136"/>
  <c r="C120"/>
  <c r="M68"/>
  <c r="Q129"/>
  <c r="J143"/>
  <c r="P127"/>
  <c r="H86"/>
  <c r="H64"/>
  <c r="N104"/>
  <c r="L104"/>
  <c r="N58"/>
  <c r="C69"/>
  <c r="L92"/>
  <c r="L58"/>
  <c r="E91"/>
  <c r="O79"/>
  <c r="H63"/>
  <c r="C68"/>
  <c r="E64"/>
  <c r="F92"/>
  <c r="J84"/>
  <c r="K91"/>
  <c r="I92"/>
  <c r="L63"/>
  <c r="D80"/>
  <c r="L64"/>
  <c r="O72"/>
  <c r="H103"/>
  <c r="F85"/>
  <c r="G69"/>
  <c r="K84"/>
  <c r="N84"/>
  <c r="I102"/>
  <c r="N80"/>
  <c r="G80"/>
  <c r="N72"/>
  <c r="C90"/>
  <c r="D63"/>
  <c r="N79"/>
  <c r="O68"/>
  <c r="M97"/>
  <c r="F58"/>
  <c r="I84"/>
  <c r="C97"/>
  <c r="G97"/>
  <c r="J91"/>
  <c r="H91"/>
  <c r="D91"/>
  <c r="X129"/>
  <c r="M129"/>
  <c r="H115"/>
  <c r="M115"/>
  <c r="T114"/>
  <c r="F114"/>
  <c r="R114"/>
  <c r="Q114"/>
  <c r="P114"/>
  <c r="H143"/>
  <c r="P143"/>
  <c r="N143"/>
  <c r="V143"/>
  <c r="I143"/>
  <c r="O143"/>
  <c r="Q143"/>
  <c r="R143"/>
  <c r="D143"/>
  <c r="W143"/>
  <c r="F143"/>
  <c r="X143"/>
  <c r="N121"/>
  <c r="X121"/>
  <c r="K121"/>
  <c r="U121"/>
  <c r="O121"/>
  <c r="P121"/>
  <c r="D121"/>
  <c r="S121"/>
  <c r="W159"/>
  <c r="C159"/>
  <c r="R159"/>
  <c r="J159"/>
  <c r="D159"/>
  <c r="S159"/>
  <c r="M159"/>
  <c r="T159"/>
  <c r="F121"/>
  <c r="M121"/>
  <c r="Q121"/>
  <c r="Q127"/>
  <c r="K127"/>
  <c r="V127"/>
  <c r="S127"/>
  <c r="G127"/>
  <c r="T127"/>
  <c r="E127"/>
  <c r="W127"/>
  <c r="J127"/>
  <c r="H127"/>
  <c r="M127"/>
  <c r="F127"/>
  <c r="C127"/>
  <c r="O127"/>
  <c r="U127"/>
  <c r="T132"/>
  <c r="I132"/>
  <c r="Q132"/>
  <c r="F132"/>
  <c r="U132"/>
  <c r="O132"/>
  <c r="J132"/>
  <c r="C132"/>
  <c r="N132"/>
  <c r="S132"/>
  <c r="X132"/>
  <c r="P132"/>
  <c r="L132"/>
  <c r="G132"/>
  <c r="R132"/>
  <c r="I136"/>
  <c r="G136"/>
  <c r="H136"/>
  <c r="L136"/>
  <c r="M136"/>
  <c r="P136"/>
  <c r="U136"/>
  <c r="N136"/>
  <c r="T136"/>
  <c r="O136"/>
  <c r="R136"/>
  <c r="S136"/>
  <c r="X136"/>
  <c r="D136"/>
  <c r="W136"/>
  <c r="Q136"/>
  <c r="K136"/>
  <c r="V136"/>
  <c r="U152"/>
  <c r="R152"/>
  <c r="T152"/>
  <c r="J152"/>
  <c r="O152"/>
  <c r="W152"/>
  <c r="P152"/>
  <c r="G152"/>
  <c r="I152"/>
  <c r="X152"/>
  <c r="V152"/>
  <c r="F152"/>
  <c r="L152"/>
  <c r="Q152"/>
  <c r="E152"/>
  <c r="S152"/>
  <c r="K152"/>
  <c r="G119"/>
  <c r="F119"/>
  <c r="H119"/>
  <c r="E119"/>
  <c r="R119"/>
  <c r="V119"/>
  <c r="I119"/>
  <c r="S119"/>
  <c r="K119"/>
  <c r="C119"/>
  <c r="N119"/>
  <c r="O119"/>
  <c r="M119"/>
  <c r="Q119"/>
  <c r="U119"/>
  <c r="P119"/>
  <c r="T119"/>
  <c r="U120"/>
  <c r="X120"/>
  <c r="P120"/>
  <c r="F120"/>
  <c r="G120"/>
  <c r="T120"/>
  <c r="J120"/>
  <c r="Q120"/>
  <c r="L120"/>
  <c r="D120"/>
  <c r="V120"/>
  <c r="I120"/>
  <c r="S120"/>
  <c r="M120"/>
  <c r="W120"/>
  <c r="N120"/>
  <c r="R120"/>
  <c r="O120"/>
  <c r="H27" i="88" l="1"/>
  <c r="I27" s="1"/>
  <c r="K27"/>
  <c r="AP12" i="8"/>
  <c r="AH12" s="1"/>
  <c r="BG18" i="211"/>
  <c r="AA12" i="8"/>
  <c r="M19" i="105"/>
  <c r="AH19" s="1"/>
  <c r="L19" i="224" s="1"/>
  <c r="AG12" i="8"/>
  <c r="M20" i="124" s="1"/>
  <c r="AT12" i="8"/>
  <c r="AQ12"/>
  <c r="AI12" s="1"/>
  <c r="AS12"/>
  <c r="AK12" s="1"/>
  <c r="AS49"/>
  <c r="AK49" s="1"/>
  <c r="Z17" i="105"/>
  <c r="H17" i="224" s="1"/>
  <c r="AP49" i="8"/>
  <c r="AH49" s="1"/>
  <c r="AQ49"/>
  <c r="AI49" s="1"/>
  <c r="AA49"/>
  <c r="H64" i="88"/>
  <c r="AP10" i="8"/>
  <c r="AH10" s="1"/>
  <c r="AT49"/>
  <c r="AG49"/>
  <c r="M57" i="124" s="1"/>
  <c r="M56" i="105"/>
  <c r="G64" i="88"/>
  <c r="K52"/>
  <c r="H52"/>
  <c r="I52" s="1"/>
  <c r="K34"/>
  <c r="G34"/>
  <c r="I34" s="1"/>
  <c r="AS50" i="8"/>
  <c r="AK50" s="1"/>
  <c r="K42" i="88"/>
  <c r="G42"/>
  <c r="I42" s="1"/>
  <c r="AP37" i="8"/>
  <c r="AH37" s="1"/>
  <c r="H25" i="88"/>
  <c r="I25" s="1"/>
  <c r="AQ10" i="8"/>
  <c r="AI10" s="1"/>
  <c r="AP27"/>
  <c r="AH27" s="1"/>
  <c r="G65" i="88"/>
  <c r="I65" s="1"/>
  <c r="K65"/>
  <c r="H48"/>
  <c r="I48" s="1"/>
  <c r="K48"/>
  <c r="AQ19" i="8"/>
  <c r="AI19" s="1"/>
  <c r="AR33"/>
  <c r="AJ33" s="1"/>
  <c r="AA27"/>
  <c r="AA37"/>
  <c r="AQ27"/>
  <c r="AI27" s="1"/>
  <c r="AP19"/>
  <c r="AH19" s="1"/>
  <c r="AG27"/>
  <c r="M35" i="124" s="1"/>
  <c r="M34" i="105"/>
  <c r="AT27" i="8"/>
  <c r="M44" i="105"/>
  <c r="AT37" i="8"/>
  <c r="AG37"/>
  <c r="M45" i="124" s="1"/>
  <c r="K25" i="88"/>
  <c r="AA50" i="8"/>
  <c r="AR10"/>
  <c r="AJ10" s="1"/>
  <c r="AS37"/>
  <c r="AK37" s="1"/>
  <c r="M26" i="105"/>
  <c r="AH26" s="1"/>
  <c r="L26" i="224" s="1"/>
  <c r="AG19" i="8"/>
  <c r="M27" i="124" s="1"/>
  <c r="AT19" i="8"/>
  <c r="AT10"/>
  <c r="M17" i="105"/>
  <c r="AH17" s="1"/>
  <c r="L17" i="224" s="1"/>
  <c r="AG10" i="8"/>
  <c r="M18" i="124" s="1"/>
  <c r="AA19" i="8"/>
  <c r="AA33"/>
  <c r="BA26" i="105"/>
  <c r="AA10" i="8"/>
  <c r="AG33"/>
  <c r="M41" i="124" s="1"/>
  <c r="M40" i="105"/>
  <c r="AT33" i="8"/>
  <c r="M57" i="105"/>
  <c r="AT50" i="8"/>
  <c r="AG50"/>
  <c r="M58" i="124" s="1"/>
  <c r="AR50" i="8"/>
  <c r="AJ50" s="1"/>
  <c r="BH16" i="211"/>
  <c r="AS18"/>
  <c r="F18"/>
  <c r="BG17"/>
  <c r="AZ13" i="105"/>
  <c r="AZ19"/>
  <c r="AZ27"/>
  <c r="AZ20"/>
  <c r="F19" i="211"/>
  <c r="BH18"/>
  <c r="BA14" i="105"/>
  <c r="AH14"/>
  <c r="L14" i="224" s="1"/>
  <c r="BA17" i="105"/>
  <c r="I29" i="88"/>
  <c r="G26"/>
  <c r="H26"/>
  <c r="AB14" i="105"/>
  <c r="L14" i="107" s="1"/>
  <c r="H30" i="88"/>
  <c r="I30" s="1"/>
  <c r="K30"/>
  <c r="BG19" i="211"/>
  <c r="K57" i="88"/>
  <c r="AA42" i="8"/>
  <c r="AQ42"/>
  <c r="AI42" s="1"/>
  <c r="H57" i="88"/>
  <c r="I57" s="1"/>
  <c r="AT42" i="8"/>
  <c r="M49" i="105"/>
  <c r="AG42" i="8"/>
  <c r="M50" i="124" s="1"/>
  <c r="AR42" i="8"/>
  <c r="AJ42" s="1"/>
  <c r="AS42"/>
  <c r="AK42" s="1"/>
  <c r="AH29" i="105"/>
  <c r="L29" i="224" s="1"/>
  <c r="I40" i="88"/>
  <c r="AZ26" i="105"/>
  <c r="AR11" i="8"/>
  <c r="AJ11" s="1"/>
  <c r="AP26"/>
  <c r="AH26" s="1"/>
  <c r="H59" i="88"/>
  <c r="G59"/>
  <c r="U51" i="219"/>
  <c r="H31" i="88"/>
  <c r="I31" s="1"/>
  <c r="E55" i="124"/>
  <c r="J62" i="88"/>
  <c r="K62" s="1"/>
  <c r="N47" i="8"/>
  <c r="AP47" s="1"/>
  <c r="AH47" s="1"/>
  <c r="AE62" i="88"/>
  <c r="E54" i="105"/>
  <c r="K45" i="219"/>
  <c r="K31" i="88"/>
  <c r="G41"/>
  <c r="H41"/>
  <c r="AQ28" i="8"/>
  <c r="AI28" s="1"/>
  <c r="BA27" i="105"/>
  <c r="AB26"/>
  <c r="L26" i="107" s="1"/>
  <c r="AQ11" i="8"/>
  <c r="AI11" s="1"/>
  <c r="G54" i="105"/>
  <c r="P45" i="219"/>
  <c r="K41" i="8"/>
  <c r="AQ41" s="1"/>
  <c r="AI41" s="1"/>
  <c r="AA32"/>
  <c r="T45" i="219"/>
  <c r="C47" i="8"/>
  <c r="AQ15"/>
  <c r="AI15" s="1"/>
  <c r="BH17" i="211"/>
  <c r="V51" i="219"/>
  <c r="K51"/>
  <c r="AS32" i="8"/>
  <c r="AK32" s="1"/>
  <c r="S51" i="219"/>
  <c r="AS15" i="8"/>
  <c r="AK15" s="1"/>
  <c r="G47" i="88"/>
  <c r="H47"/>
  <c r="H47" i="8"/>
  <c r="AG26"/>
  <c r="M34" i="124" s="1"/>
  <c r="AT26" i="8"/>
  <c r="M33" i="105"/>
  <c r="K43" i="88"/>
  <c r="F47" i="8"/>
  <c r="H43" i="88"/>
  <c r="I43" s="1"/>
  <c r="AA26" i="8"/>
  <c r="C41"/>
  <c r="AG32"/>
  <c r="M40" i="124" s="1"/>
  <c r="AT32" i="8"/>
  <c r="M39" i="105"/>
  <c r="AQ32" i="8"/>
  <c r="AI32" s="1"/>
  <c r="G41"/>
  <c r="F41"/>
  <c r="AP11"/>
  <c r="AH11" s="1"/>
  <c r="T51" i="219"/>
  <c r="I47" i="8"/>
  <c r="Q51" i="219"/>
  <c r="AT15" i="8"/>
  <c r="AG15"/>
  <c r="M23" i="124" s="1"/>
  <c r="M22" i="105"/>
  <c r="AH22" s="1"/>
  <c r="L22" i="224" s="1"/>
  <c r="M18" i="105"/>
  <c r="AH18" s="1"/>
  <c r="L18" i="224" s="1"/>
  <c r="AT11" i="8"/>
  <c r="AG11"/>
  <c r="M19" i="124" s="1"/>
  <c r="AT28" i="8"/>
  <c r="AG28"/>
  <c r="M36" i="124" s="1"/>
  <c r="M35" i="105"/>
  <c r="J56" i="88"/>
  <c r="K56" s="1"/>
  <c r="AA28" i="8"/>
  <c r="AA15"/>
  <c r="AA11"/>
  <c r="L45" i="219"/>
  <c r="N51"/>
  <c r="E49" i="124"/>
  <c r="O41" i="8"/>
  <c r="AE56" i="88"/>
  <c r="L51" i="219"/>
  <c r="G49" i="124"/>
  <c r="G48" i="105"/>
  <c r="N41" i="8"/>
  <c r="AZ18" i="105"/>
  <c r="AP15" i="8"/>
  <c r="AH15" s="1"/>
  <c r="S45" i="219"/>
  <c r="H41" i="8"/>
  <c r="AE16" i="88"/>
  <c r="AN9"/>
  <c r="BG16" i="211"/>
  <c r="AB17" i="105"/>
  <c r="L17" i="107" s="1"/>
  <c r="E48" i="105"/>
  <c r="B12" i="212"/>
  <c r="D15" i="213" s="1"/>
  <c r="AH27" i="105"/>
  <c r="L27" i="224" s="1"/>
  <c r="AB12" i="105"/>
  <c r="L12" i="107" s="1"/>
  <c r="AH15" i="105"/>
  <c r="L15" i="224" s="1"/>
  <c r="AH13" i="105"/>
  <c r="L13" i="224" s="1"/>
  <c r="D169" i="8"/>
  <c r="U169"/>
  <c r="I169"/>
  <c r="C169"/>
  <c r="Q169"/>
  <c r="O169"/>
  <c r="V169"/>
  <c r="N169"/>
  <c r="AK15" i="105" s="1"/>
  <c r="N15" i="107" s="1"/>
  <c r="F169" i="8"/>
  <c r="M169"/>
  <c r="T169"/>
  <c r="R169"/>
  <c r="X169"/>
  <c r="S169"/>
  <c r="G169"/>
  <c r="P169"/>
  <c r="L169"/>
  <c r="W169"/>
  <c r="K173"/>
  <c r="I173"/>
  <c r="N173"/>
  <c r="AK19" i="105" s="1"/>
  <c r="N19" i="107" s="1"/>
  <c r="T173" i="8"/>
  <c r="O173"/>
  <c r="L173"/>
  <c r="M173"/>
  <c r="F173"/>
  <c r="X173"/>
  <c r="U173"/>
  <c r="S173"/>
  <c r="W173"/>
  <c r="R173"/>
  <c r="Q173"/>
  <c r="P173"/>
  <c r="E173"/>
  <c r="X167"/>
  <c r="J167"/>
  <c r="S167"/>
  <c r="W167"/>
  <c r="F167"/>
  <c r="T167"/>
  <c r="V167"/>
  <c r="R167"/>
  <c r="I167"/>
  <c r="V173"/>
  <c r="L167"/>
  <c r="N197"/>
  <c r="U167"/>
  <c r="P197"/>
  <c r="V197"/>
  <c r="N167"/>
  <c r="AK13" i="105" s="1"/>
  <c r="N13" i="107" s="1"/>
  <c r="K197" i="8"/>
  <c r="G167"/>
  <c r="E167"/>
  <c r="W197"/>
  <c r="P167"/>
  <c r="Q167"/>
  <c r="X197"/>
  <c r="O167"/>
  <c r="Q197"/>
  <c r="D167"/>
  <c r="O197"/>
  <c r="F197"/>
  <c r="J197"/>
  <c r="S197"/>
  <c r="T197"/>
  <c r="L197"/>
  <c r="I197"/>
  <c r="R197"/>
  <c r="M197"/>
  <c r="U197"/>
  <c r="G197"/>
  <c r="H66" i="88"/>
  <c r="I66" s="1"/>
  <c r="K66"/>
  <c r="H20"/>
  <c r="I20" s="1"/>
  <c r="AS44" i="8"/>
  <c r="AK44" s="1"/>
  <c r="AQ5"/>
  <c r="AI5" s="1"/>
  <c r="AQ17"/>
  <c r="AI17" s="1"/>
  <c r="AS17"/>
  <c r="AK17" s="1"/>
  <c r="AS15" i="211"/>
  <c r="BH11"/>
  <c r="AR5" i="8"/>
  <c r="AJ5" s="1"/>
  <c r="H46" i="88"/>
  <c r="Z12" i="105"/>
  <c r="H12" i="107" s="1"/>
  <c r="G46" i="88"/>
  <c r="BG11" i="211"/>
  <c r="AA51" i="8"/>
  <c r="AP51"/>
  <c r="AH51" s="1"/>
  <c r="AG51"/>
  <c r="M59" i="124" s="1"/>
  <c r="M58" i="105"/>
  <c r="AT51" i="8"/>
  <c r="G8" i="211"/>
  <c r="AQ51" i="8"/>
  <c r="AI51" s="1"/>
  <c r="AS5"/>
  <c r="AK5" s="1"/>
  <c r="I37" i="88"/>
  <c r="H14" i="224"/>
  <c r="K20" i="88"/>
  <c r="I28"/>
  <c r="AT5" i="8"/>
  <c r="AG5"/>
  <c r="M13" i="124" s="1"/>
  <c r="M12" i="105"/>
  <c r="AH12" s="1"/>
  <c r="L12" i="224" s="1"/>
  <c r="AZ12" i="105"/>
  <c r="BA12"/>
  <c r="AG44" i="8"/>
  <c r="M52" i="124" s="1"/>
  <c r="M51" i="105"/>
  <c r="AT44" i="8"/>
  <c r="AP44"/>
  <c r="AH44" s="1"/>
  <c r="AQ39"/>
  <c r="AI39" s="1"/>
  <c r="AP5"/>
  <c r="AH5" s="1"/>
  <c r="AA5"/>
  <c r="AA44"/>
  <c r="I21" i="168"/>
  <c r="O21" s="1"/>
  <c r="BH13" i="211"/>
  <c r="L175" i="8"/>
  <c r="N175"/>
  <c r="AK21" i="105" s="1"/>
  <c r="N21" i="107" s="1"/>
  <c r="W175" i="8"/>
  <c r="F175"/>
  <c r="D175"/>
  <c r="J175"/>
  <c r="P175"/>
  <c r="V175"/>
  <c r="O175"/>
  <c r="R175"/>
  <c r="Q175"/>
  <c r="X175"/>
  <c r="I175"/>
  <c r="U175"/>
  <c r="S175"/>
  <c r="K175"/>
  <c r="M175"/>
  <c r="T175"/>
  <c r="E175"/>
  <c r="P190"/>
  <c r="U190"/>
  <c r="F181"/>
  <c r="P183"/>
  <c r="O181"/>
  <c r="E190"/>
  <c r="I183"/>
  <c r="V190"/>
  <c r="O183"/>
  <c r="R181"/>
  <c r="Q181"/>
  <c r="R190"/>
  <c r="F183"/>
  <c r="M190"/>
  <c r="S190"/>
  <c r="R183"/>
  <c r="P181"/>
  <c r="K190"/>
  <c r="M23" i="105"/>
  <c r="AH23" s="1"/>
  <c r="L23" i="224" s="1"/>
  <c r="AT16" i="8"/>
  <c r="AG16"/>
  <c r="M24" i="124" s="1"/>
  <c r="O190" i="8"/>
  <c r="T183"/>
  <c r="T190"/>
  <c r="G190"/>
  <c r="G183"/>
  <c r="X190"/>
  <c r="M181"/>
  <c r="X183"/>
  <c r="N190"/>
  <c r="I190"/>
  <c r="U183"/>
  <c r="K183"/>
  <c r="Q190"/>
  <c r="J183"/>
  <c r="F190"/>
  <c r="V181"/>
  <c r="X181"/>
  <c r="S183"/>
  <c r="N181"/>
  <c r="AK27" i="105" s="1"/>
  <c r="N27" i="107" s="1"/>
  <c r="W181" i="8"/>
  <c r="H190"/>
  <c r="V183"/>
  <c r="Q183"/>
  <c r="L190"/>
  <c r="AZ21" i="105"/>
  <c r="E183" i="8"/>
  <c r="L181"/>
  <c r="S181"/>
  <c r="W183"/>
  <c r="H183"/>
  <c r="W190"/>
  <c r="N183"/>
  <c r="AK29" i="105" s="1"/>
  <c r="N29" i="107" s="1"/>
  <c r="J181" i="8"/>
  <c r="T181"/>
  <c r="K181"/>
  <c r="U181"/>
  <c r="G181"/>
  <c r="AT17"/>
  <c r="M24" i="105"/>
  <c r="AH24" s="1"/>
  <c r="L24" i="224" s="1"/>
  <c r="AG17" i="8"/>
  <c r="M25" i="124" s="1"/>
  <c r="AQ16" i="8"/>
  <c r="AI16" s="1"/>
  <c r="AA16"/>
  <c r="AS16"/>
  <c r="AK16" s="1"/>
  <c r="I29" i="168"/>
  <c r="O29" s="1"/>
  <c r="I20"/>
  <c r="L20" s="1"/>
  <c r="G10" i="211"/>
  <c r="AA17" i="8"/>
  <c r="H32" i="88"/>
  <c r="G32"/>
  <c r="K32"/>
  <c r="AP16" i="8"/>
  <c r="AH16" s="1"/>
  <c r="AR17"/>
  <c r="AJ17" s="1"/>
  <c r="AP17"/>
  <c r="AH17" s="1"/>
  <c r="I28" i="168"/>
  <c r="O28" s="1"/>
  <c r="BG13" i="211"/>
  <c r="I24" i="168"/>
  <c r="J24" s="1"/>
  <c r="I29" i="170"/>
  <c r="O29" s="1"/>
  <c r="AT39" i="8"/>
  <c r="M46" i="105"/>
  <c r="AG39" i="8"/>
  <c r="M47" i="124" s="1"/>
  <c r="AT38" i="8"/>
  <c r="AG38"/>
  <c r="M46" i="124" s="1"/>
  <c r="M45" i="105"/>
  <c r="AG31" i="8"/>
  <c r="M39" i="124" s="1"/>
  <c r="AT31" i="8"/>
  <c r="M38" i="105"/>
  <c r="AB17" i="124"/>
  <c r="X17"/>
  <c r="BC84" s="1"/>
  <c r="BB84" s="1"/>
  <c r="AE17"/>
  <c r="BG84" s="1"/>
  <c r="AA17"/>
  <c r="BE84" s="1"/>
  <c r="U17"/>
  <c r="AJ17"/>
  <c r="AC17"/>
  <c r="BF84" s="1"/>
  <c r="AO17"/>
  <c r="Y17"/>
  <c r="BD84" s="1"/>
  <c r="Z17"/>
  <c r="AF17"/>
  <c r="AD17"/>
  <c r="V17"/>
  <c r="T17"/>
  <c r="AH17" s="1"/>
  <c r="W17"/>
  <c r="AG17"/>
  <c r="AI51" i="105"/>
  <c r="AZ51"/>
  <c r="Y51"/>
  <c r="BB51"/>
  <c r="AB51"/>
  <c r="L51" i="107" s="1"/>
  <c r="AO51" i="105"/>
  <c r="Z51"/>
  <c r="V51"/>
  <c r="AE51"/>
  <c r="AV51"/>
  <c r="AA51"/>
  <c r="AF51"/>
  <c r="S51" i="107" s="1"/>
  <c r="BC51" i="105"/>
  <c r="AL51"/>
  <c r="AM51"/>
  <c r="BA51"/>
  <c r="D51" i="224"/>
  <c r="C51" s="1"/>
  <c r="AJ51" i="105"/>
  <c r="X51"/>
  <c r="U51"/>
  <c r="AC51"/>
  <c r="D51" i="107"/>
  <c r="C51" s="1"/>
  <c r="AD51" i="105"/>
  <c r="P51" i="107" s="1"/>
  <c r="W51" i="105"/>
  <c r="AG51"/>
  <c r="AH51"/>
  <c r="L51" i="224" s="1"/>
  <c r="AK51" i="105"/>
  <c r="Y57"/>
  <c r="AI57"/>
  <c r="AZ57"/>
  <c r="BA57"/>
  <c r="AV57"/>
  <c r="D57" i="107"/>
  <c r="C57" s="1"/>
  <c r="U57" i="105"/>
  <c r="AE57"/>
  <c r="BB57"/>
  <c r="D57" i="224"/>
  <c r="C57" s="1"/>
  <c r="AL57" i="105"/>
  <c r="AH57"/>
  <c r="L57" i="224" s="1"/>
  <c r="AO57" i="105"/>
  <c r="BC57"/>
  <c r="V57"/>
  <c r="AG57"/>
  <c r="AA57"/>
  <c r="AK57"/>
  <c r="AD57"/>
  <c r="P57" i="107" s="1"/>
  <c r="AB57" i="105"/>
  <c r="L57" i="107" s="1"/>
  <c r="W57" i="105"/>
  <c r="AM57"/>
  <c r="AC57"/>
  <c r="AF57"/>
  <c r="S57" i="107" s="1"/>
  <c r="Z57" i="105"/>
  <c r="AJ57"/>
  <c r="X57"/>
  <c r="AI10"/>
  <c r="BC10"/>
  <c r="D10" i="224"/>
  <c r="C10" s="1"/>
  <c r="AF10" i="105"/>
  <c r="S10" i="107" s="1"/>
  <c r="AL10" i="105"/>
  <c r="Q10" i="107" s="1"/>
  <c r="AC10" i="105"/>
  <c r="AO10"/>
  <c r="Y10"/>
  <c r="AA10"/>
  <c r="BB10"/>
  <c r="AE10"/>
  <c r="D10" i="107"/>
  <c r="C10" s="1"/>
  <c r="W10" i="105"/>
  <c r="AD10"/>
  <c r="P10" i="107" s="1"/>
  <c r="AG10" i="105"/>
  <c r="AM10"/>
  <c r="T10" i="107" s="1"/>
  <c r="AV10" i="105"/>
  <c r="X19" i="2"/>
  <c r="AD28" i="1"/>
  <c r="I39" i="219"/>
  <c r="X14" i="124"/>
  <c r="BC81" s="1"/>
  <c r="BB81" s="1"/>
  <c r="V14"/>
  <c r="AB14"/>
  <c r="AD14"/>
  <c r="Z14"/>
  <c r="AJ14"/>
  <c r="AO14"/>
  <c r="AF14"/>
  <c r="AE14"/>
  <c r="BG81" s="1"/>
  <c r="AC14"/>
  <c r="BF81" s="1"/>
  <c r="AD42"/>
  <c r="AG42"/>
  <c r="AJ42"/>
  <c r="AE42"/>
  <c r="U42"/>
  <c r="AC42"/>
  <c r="X42"/>
  <c r="Z42"/>
  <c r="AA42"/>
  <c r="AO42"/>
  <c r="AB42"/>
  <c r="V42"/>
  <c r="AF42"/>
  <c r="T42"/>
  <c r="AH42" s="1"/>
  <c r="W42"/>
  <c r="Y42"/>
  <c r="AB41"/>
  <c r="Z41"/>
  <c r="U41"/>
  <c r="W41"/>
  <c r="AG41"/>
  <c r="AJ41"/>
  <c r="X41"/>
  <c r="AD41"/>
  <c r="Y41"/>
  <c r="AF41"/>
  <c r="V41"/>
  <c r="AA41"/>
  <c r="T41"/>
  <c r="AH41" s="1"/>
  <c r="AL41" s="1"/>
  <c r="AO41"/>
  <c r="AE41"/>
  <c r="AC41"/>
  <c r="AE39"/>
  <c r="W39"/>
  <c r="AG39"/>
  <c r="AC39"/>
  <c r="AD39"/>
  <c r="AO39"/>
  <c r="AF39"/>
  <c r="X39"/>
  <c r="Z39"/>
  <c r="AJ39"/>
  <c r="T39"/>
  <c r="AH39" s="1"/>
  <c r="AL39" s="1"/>
  <c r="Y39"/>
  <c r="V39"/>
  <c r="U39"/>
  <c r="AB39"/>
  <c r="AA39"/>
  <c r="Z47"/>
  <c r="Y47"/>
  <c r="AC47"/>
  <c r="AD47"/>
  <c r="AF47"/>
  <c r="V47"/>
  <c r="AO47"/>
  <c r="AB47"/>
  <c r="AG47"/>
  <c r="AJ47"/>
  <c r="W47"/>
  <c r="AE47"/>
  <c r="X47"/>
  <c r="AA47"/>
  <c r="U47"/>
  <c r="T47"/>
  <c r="AH47" s="1"/>
  <c r="AC33"/>
  <c r="Z33"/>
  <c r="W33"/>
  <c r="AB33"/>
  <c r="Y33"/>
  <c r="AJ33"/>
  <c r="T33"/>
  <c r="AH33" s="1"/>
  <c r="U33"/>
  <c r="AO33"/>
  <c r="AF33"/>
  <c r="AD33"/>
  <c r="AG33"/>
  <c r="V33"/>
  <c r="X33"/>
  <c r="AA33"/>
  <c r="AE33"/>
  <c r="AA39" i="8"/>
  <c r="AS39"/>
  <c r="AK39" s="1"/>
  <c r="I51" i="219"/>
  <c r="AI44" i="105"/>
  <c r="Y44"/>
  <c r="AD44"/>
  <c r="P44" i="107" s="1"/>
  <c r="AH44" i="105"/>
  <c r="L44" i="224" s="1"/>
  <c r="Z44" i="105"/>
  <c r="AG44"/>
  <c r="AB44"/>
  <c r="L44" i="107" s="1"/>
  <c r="AM44" i="105"/>
  <c r="AL44"/>
  <c r="V44"/>
  <c r="BC44"/>
  <c r="AE44"/>
  <c r="BA44"/>
  <c r="AA44"/>
  <c r="AJ44"/>
  <c r="X44"/>
  <c r="D44" i="107"/>
  <c r="C44" s="1"/>
  <c r="AV44" i="105"/>
  <c r="AK44"/>
  <c r="AZ44"/>
  <c r="AO44"/>
  <c r="AF44"/>
  <c r="S44" i="107" s="1"/>
  <c r="AC44" i="105"/>
  <c r="U44"/>
  <c r="W44"/>
  <c r="BB44"/>
  <c r="D44" i="224"/>
  <c r="C44" s="1"/>
  <c r="Y34" i="105"/>
  <c r="AI34"/>
  <c r="AB34"/>
  <c r="L34" i="107" s="1"/>
  <c r="AA34" i="105"/>
  <c r="BB34"/>
  <c r="X34"/>
  <c r="Z34"/>
  <c r="U34"/>
  <c r="AH34"/>
  <c r="L34" i="224" s="1"/>
  <c r="BA34" i="105"/>
  <c r="AZ34"/>
  <c r="D34" i="107"/>
  <c r="C34" s="1"/>
  <c r="AL34" i="105"/>
  <c r="AF34"/>
  <c r="S34" i="107" s="1"/>
  <c r="AC34" i="105"/>
  <c r="D34" i="224"/>
  <c r="C34" s="1"/>
  <c r="AK34" i="105"/>
  <c r="AJ34"/>
  <c r="BC34"/>
  <c r="AG34"/>
  <c r="V34"/>
  <c r="AD34"/>
  <c r="P34" i="107" s="1"/>
  <c r="AE34" i="105"/>
  <c r="AM34"/>
  <c r="AV34"/>
  <c r="W34"/>
  <c r="AO34"/>
  <c r="Y53"/>
  <c r="AI53"/>
  <c r="AH53"/>
  <c r="L53" i="224" s="1"/>
  <c r="BC53" i="105"/>
  <c r="AZ53"/>
  <c r="Z53"/>
  <c r="D53" i="224"/>
  <c r="C53" s="1"/>
  <c r="AB53" i="105"/>
  <c r="L53" i="107" s="1"/>
  <c r="AJ53" i="105"/>
  <c r="AE53"/>
  <c r="AM53"/>
  <c r="AV53"/>
  <c r="BA53"/>
  <c r="U53"/>
  <c r="AA53"/>
  <c r="D53" i="107"/>
  <c r="C53" s="1"/>
  <c r="X53" i="105"/>
  <c r="AO53"/>
  <c r="AL53"/>
  <c r="V53"/>
  <c r="AD53"/>
  <c r="P53" i="107" s="1"/>
  <c r="BB53" i="105"/>
  <c r="AC53"/>
  <c r="AG53"/>
  <c r="W53"/>
  <c r="AF53"/>
  <c r="S53" i="107" s="1"/>
  <c r="AK53" i="105"/>
  <c r="Y21"/>
  <c r="AI21"/>
  <c r="AV21"/>
  <c r="AO21"/>
  <c r="BB21"/>
  <c r="D21" i="224"/>
  <c r="C21" s="1"/>
  <c r="D21" i="107"/>
  <c r="C21" s="1"/>
  <c r="AF21" i="105"/>
  <c r="S21" i="107" s="1"/>
  <c r="AD21" i="105"/>
  <c r="P21" i="107" s="1"/>
  <c r="BC21" i="105"/>
  <c r="AL21"/>
  <c r="Q21" i="107" s="1"/>
  <c r="AA21" i="105"/>
  <c r="AM21"/>
  <c r="T21" i="107" s="1"/>
  <c r="AC21" i="105"/>
  <c r="W21"/>
  <c r="AE21"/>
  <c r="AG21"/>
  <c r="Y18"/>
  <c r="AI18"/>
  <c r="D18" i="224"/>
  <c r="C18" s="1"/>
  <c r="AV18" i="105"/>
  <c r="AO18"/>
  <c r="AD18"/>
  <c r="P18" i="107" s="1"/>
  <c r="AL18" i="105"/>
  <c r="Q18" i="107" s="1"/>
  <c r="AM18" i="105"/>
  <c r="T18" i="107" s="1"/>
  <c r="BB18" i="105"/>
  <c r="D18" i="107"/>
  <c r="C18" s="1"/>
  <c r="W18" i="105"/>
  <c r="AG18"/>
  <c r="AC18"/>
  <c r="AE18"/>
  <c r="BC18"/>
  <c r="AA18"/>
  <c r="AF18"/>
  <c r="S18" i="107" s="1"/>
  <c r="Z18" i="105"/>
  <c r="AI22"/>
  <c r="Y22"/>
  <c r="AF22"/>
  <c r="S22" i="107" s="1"/>
  <c r="AO22" i="105"/>
  <c r="BC22"/>
  <c r="AC22"/>
  <c r="AE22"/>
  <c r="D22" i="224"/>
  <c r="C22" s="1"/>
  <c r="AA22" i="105"/>
  <c r="AL22"/>
  <c r="Q22" i="107" s="1"/>
  <c r="AM22" i="105"/>
  <c r="T22" i="107" s="1"/>
  <c r="AD22" i="105"/>
  <c r="P22" i="107" s="1"/>
  <c r="W22" i="105"/>
  <c r="AV22"/>
  <c r="D22" i="107"/>
  <c r="C22" s="1"/>
  <c r="BB22" i="105"/>
  <c r="AG22"/>
  <c r="I35" i="219"/>
  <c r="I9"/>
  <c r="AE19" i="124"/>
  <c r="BG86" s="1"/>
  <c r="AD19"/>
  <c r="AJ19"/>
  <c r="AF19"/>
  <c r="Y19"/>
  <c r="BD86" s="1"/>
  <c r="AB19"/>
  <c r="AC19"/>
  <c r="BF86" s="1"/>
  <c r="X19"/>
  <c r="BC86" s="1"/>
  <c r="BB86" s="1"/>
  <c r="W19"/>
  <c r="AA19"/>
  <c r="BE86" s="1"/>
  <c r="T19"/>
  <c r="AH19" s="1"/>
  <c r="V19"/>
  <c r="AO19"/>
  <c r="Z19"/>
  <c r="AG19"/>
  <c r="U19"/>
  <c r="W53"/>
  <c r="AB53"/>
  <c r="AD53"/>
  <c r="AF53"/>
  <c r="U53"/>
  <c r="V53"/>
  <c r="AJ53"/>
  <c r="Y53"/>
  <c r="AA53"/>
  <c r="AE53"/>
  <c r="X53"/>
  <c r="AG53"/>
  <c r="AO53"/>
  <c r="AC53"/>
  <c r="T53"/>
  <c r="AH53" s="1"/>
  <c r="Z53"/>
  <c r="AA21"/>
  <c r="BE88" s="1"/>
  <c r="AC21"/>
  <c r="BF88" s="1"/>
  <c r="T21"/>
  <c r="AH21" s="1"/>
  <c r="U21"/>
  <c r="V21"/>
  <c r="AB21"/>
  <c r="AE21"/>
  <c r="BG88" s="1"/>
  <c r="X21"/>
  <c r="BC88" s="1"/>
  <c r="BB88" s="1"/>
  <c r="AD21"/>
  <c r="AG21"/>
  <c r="AF21"/>
  <c r="AJ21"/>
  <c r="W21"/>
  <c r="Y21"/>
  <c r="BD88" s="1"/>
  <c r="AO21"/>
  <c r="Z21"/>
  <c r="AO35"/>
  <c r="AG35"/>
  <c r="V35"/>
  <c r="Y35"/>
  <c r="AD35"/>
  <c r="AA35"/>
  <c r="U35"/>
  <c r="AB35"/>
  <c r="X35"/>
  <c r="AC35"/>
  <c r="W35"/>
  <c r="Z35"/>
  <c r="T35"/>
  <c r="AH35" s="1"/>
  <c r="AJ35"/>
  <c r="AF35"/>
  <c r="AE35"/>
  <c r="AF11"/>
  <c r="AJ11"/>
  <c r="V11"/>
  <c r="AD11"/>
  <c r="AO11"/>
  <c r="AC11"/>
  <c r="BF78" s="1"/>
  <c r="AB11"/>
  <c r="AE11"/>
  <c r="BG78" s="1"/>
  <c r="X11"/>
  <c r="BC78" s="1"/>
  <c r="BB78" s="1"/>
  <c r="Z11"/>
  <c r="V40"/>
  <c r="AG40"/>
  <c r="AC40"/>
  <c r="U40"/>
  <c r="AA40"/>
  <c r="AO40"/>
  <c r="AB40"/>
  <c r="AF40"/>
  <c r="Y40"/>
  <c r="AJ40"/>
  <c r="W40"/>
  <c r="T40"/>
  <c r="AH40" s="1"/>
  <c r="X40"/>
  <c r="Z40"/>
  <c r="AD40"/>
  <c r="AE40"/>
  <c r="X28"/>
  <c r="AC28"/>
  <c r="AB28"/>
  <c r="AG28"/>
  <c r="AF28"/>
  <c r="AE28"/>
  <c r="W28"/>
  <c r="AA28"/>
  <c r="T28"/>
  <c r="AH28" s="1"/>
  <c r="V28"/>
  <c r="U28"/>
  <c r="AD28"/>
  <c r="AJ28"/>
  <c r="AO28"/>
  <c r="Z28"/>
  <c r="Y28"/>
  <c r="K54" i="88"/>
  <c r="H54"/>
  <c r="G54"/>
  <c r="AR31" i="8"/>
  <c r="AJ31" s="1"/>
  <c r="AI56" i="105"/>
  <c r="AB56"/>
  <c r="L56" i="107" s="1"/>
  <c r="BC56" i="105"/>
  <c r="AF56"/>
  <c r="S56" i="107" s="1"/>
  <c r="AZ56" i="105"/>
  <c r="W56"/>
  <c r="AL56"/>
  <c r="U56"/>
  <c r="D56" i="224"/>
  <c r="C56" s="1"/>
  <c r="AG56" i="105"/>
  <c r="AV56"/>
  <c r="BB56"/>
  <c r="AD56"/>
  <c r="P56" i="107" s="1"/>
  <c r="X56" i="105"/>
  <c r="D56" i="107"/>
  <c r="C56" s="1"/>
  <c r="Z56" i="105"/>
  <c r="Y56"/>
  <c r="AE56"/>
  <c r="AO56"/>
  <c r="V56"/>
  <c r="AH56"/>
  <c r="L56" i="224" s="1"/>
  <c r="AC56" i="105"/>
  <c r="BA56"/>
  <c r="AK56"/>
  <c r="AM56"/>
  <c r="AA56"/>
  <c r="AJ56"/>
  <c r="Y31"/>
  <c r="AI31"/>
  <c r="AC31"/>
  <c r="BB31"/>
  <c r="AL31"/>
  <c r="AE31"/>
  <c r="AG31"/>
  <c r="AD31"/>
  <c r="P31" i="107" s="1"/>
  <c r="Z31" i="105"/>
  <c r="AM31"/>
  <c r="AK31"/>
  <c r="U31"/>
  <c r="V31"/>
  <c r="AA31"/>
  <c r="AF31"/>
  <c r="S31" i="107" s="1"/>
  <c r="AZ31" i="105"/>
  <c r="AJ31"/>
  <c r="BA31"/>
  <c r="AO31"/>
  <c r="BC31"/>
  <c r="AH31"/>
  <c r="L31" i="224" s="1"/>
  <c r="AV31" i="105"/>
  <c r="W31"/>
  <c r="D31" i="107"/>
  <c r="C31" s="1"/>
  <c r="AB31" i="105"/>
  <c r="L31" i="107" s="1"/>
  <c r="X31" i="105"/>
  <c r="D31" i="224"/>
  <c r="C31" s="1"/>
  <c r="Y39" i="105"/>
  <c r="BB39"/>
  <c r="AI39"/>
  <c r="Z39"/>
  <c r="AE39"/>
  <c r="D39" i="224"/>
  <c r="C39" s="1"/>
  <c r="AM39" i="105"/>
  <c r="V39"/>
  <c r="AK39"/>
  <c r="AF39"/>
  <c r="S39" i="107" s="1"/>
  <c r="AB39" i="105"/>
  <c r="L39" i="107" s="1"/>
  <c r="AJ39" i="105"/>
  <c r="AH39"/>
  <c r="L39" i="224" s="1"/>
  <c r="AC39" i="105"/>
  <c r="W39"/>
  <c r="BC39"/>
  <c r="AV39"/>
  <c r="AL39"/>
  <c r="D39" i="107"/>
  <c r="C39" s="1"/>
  <c r="AA39" i="105"/>
  <c r="AO39"/>
  <c r="AG39"/>
  <c r="U39"/>
  <c r="BA39"/>
  <c r="AD39"/>
  <c r="P39" i="107" s="1"/>
  <c r="AZ39" i="105"/>
  <c r="X39"/>
  <c r="Y25"/>
  <c r="AI25"/>
  <c r="D25" i="107"/>
  <c r="C25" s="1"/>
  <c r="AD25" i="105"/>
  <c r="P25" i="107" s="1"/>
  <c r="D25" i="224"/>
  <c r="C25" s="1"/>
  <c r="AA25" i="105"/>
  <c r="AG25"/>
  <c r="AE25"/>
  <c r="BB25"/>
  <c r="AO25"/>
  <c r="AM25"/>
  <c r="T25" i="107" s="1"/>
  <c r="W25" i="105"/>
  <c r="AV25"/>
  <c r="AF25"/>
  <c r="S25" i="107" s="1"/>
  <c r="BC25" i="105"/>
  <c r="AL25"/>
  <c r="Q25" i="107" s="1"/>
  <c r="AC25" i="105"/>
  <c r="AI19"/>
  <c r="Y19"/>
  <c r="BB19"/>
  <c r="D19" i="224"/>
  <c r="C19" s="1"/>
  <c r="AA19" i="105"/>
  <c r="AL19"/>
  <c r="Q19" i="107" s="1"/>
  <c r="AO19" i="105"/>
  <c r="AE19"/>
  <c r="W19"/>
  <c r="BC19"/>
  <c r="AV19"/>
  <c r="AC19"/>
  <c r="AD19"/>
  <c r="P19" i="107" s="1"/>
  <c r="AF19" i="105"/>
  <c r="S19" i="107" s="1"/>
  <c r="D19"/>
  <c r="C19" s="1"/>
  <c r="AG19" i="105"/>
  <c r="AM19"/>
  <c r="T19" i="107" s="1"/>
  <c r="AB19" i="105"/>
  <c r="L19" i="107" s="1"/>
  <c r="Z19" i="105"/>
  <c r="BA19"/>
  <c r="AI26"/>
  <c r="Y26"/>
  <c r="AD26"/>
  <c r="P26" i="107" s="1"/>
  <c r="AC26" i="105"/>
  <c r="BC26"/>
  <c r="BB26"/>
  <c r="AA26"/>
  <c r="D26" i="107"/>
  <c r="C26" s="1"/>
  <c r="AO26" i="105"/>
  <c r="AF26"/>
  <c r="S26" i="107" s="1"/>
  <c r="D26" i="224"/>
  <c r="C26" s="1"/>
  <c r="AG26" i="105"/>
  <c r="W26"/>
  <c r="AE26"/>
  <c r="AM26"/>
  <c r="T26" i="107" s="1"/>
  <c r="AV26" i="105"/>
  <c r="AL26"/>
  <c r="Q26" i="107" s="1"/>
  <c r="Z26" i="105"/>
  <c r="AA38" i="8"/>
  <c r="AS38"/>
  <c r="AK38" s="1"/>
  <c r="BA20" i="105"/>
  <c r="AD27" i="1"/>
  <c r="AB21" i="105"/>
  <c r="L21" i="107" s="1"/>
  <c r="BA18" i="105"/>
  <c r="I21" i="170"/>
  <c r="O21" s="1"/>
  <c r="Z21" i="105"/>
  <c r="AD25" i="1"/>
  <c r="AB22" i="105"/>
  <c r="L22" i="107" s="1"/>
  <c r="AF51" i="124"/>
  <c r="Y51"/>
  <c r="AB51"/>
  <c r="AG51"/>
  <c r="AE51"/>
  <c r="AJ51"/>
  <c r="W51"/>
  <c r="AC51"/>
  <c r="AO51"/>
  <c r="AA51"/>
  <c r="AD51"/>
  <c r="Z51"/>
  <c r="U51"/>
  <c r="T51"/>
  <c r="AH51" s="1"/>
  <c r="X51"/>
  <c r="V51"/>
  <c r="Y42" i="105"/>
  <c r="AI42"/>
  <c r="AC42"/>
  <c r="BC42"/>
  <c r="AL42"/>
  <c r="W42"/>
  <c r="D42" i="107"/>
  <c r="C42" s="1"/>
  <c r="BB42" i="105"/>
  <c r="AM42"/>
  <c r="V42"/>
  <c r="X42"/>
  <c r="AE42"/>
  <c r="AO42"/>
  <c r="AH42"/>
  <c r="L42" i="224" s="1"/>
  <c r="AJ42" i="105"/>
  <c r="AV42"/>
  <c r="AK42"/>
  <c r="U42"/>
  <c r="D42" i="224"/>
  <c r="C42" s="1"/>
  <c r="AG42" i="105"/>
  <c r="AZ42"/>
  <c r="AA42"/>
  <c r="AB42"/>
  <c r="L42" i="107" s="1"/>
  <c r="Z42" i="105"/>
  <c r="AF42"/>
  <c r="S42" i="107" s="1"/>
  <c r="BA42" i="105"/>
  <c r="AD42"/>
  <c r="P42" i="107" s="1"/>
  <c r="Y45" i="105"/>
  <c r="AI45"/>
  <c r="Z45"/>
  <c r="BA45"/>
  <c r="AB45"/>
  <c r="L45" i="107" s="1"/>
  <c r="D45" i="224"/>
  <c r="C45" s="1"/>
  <c r="AM45" i="105"/>
  <c r="V45"/>
  <c r="AC45"/>
  <c r="W45"/>
  <c r="BC45"/>
  <c r="AK45"/>
  <c r="AL45"/>
  <c r="AV45"/>
  <c r="AA45"/>
  <c r="AJ45"/>
  <c r="AH45"/>
  <c r="L45" i="224" s="1"/>
  <c r="AE45" i="105"/>
  <c r="AD45"/>
  <c r="P45" i="107" s="1"/>
  <c r="AO45" i="105"/>
  <c r="AF45"/>
  <c r="S45" i="107" s="1"/>
  <c r="BB45" i="105"/>
  <c r="AZ45"/>
  <c r="AG45"/>
  <c r="X45"/>
  <c r="D45" i="107"/>
  <c r="C45" s="1"/>
  <c r="U45" i="105"/>
  <c r="AI20"/>
  <c r="Y20"/>
  <c r="AD20"/>
  <c r="P20" i="107" s="1"/>
  <c r="AG20" i="105"/>
  <c r="D20" i="224"/>
  <c r="C20" s="1"/>
  <c r="AE20" i="105"/>
  <c r="W20"/>
  <c r="AV20"/>
  <c r="AM20"/>
  <c r="T20" i="107" s="1"/>
  <c r="BB20" i="105"/>
  <c r="AO20"/>
  <c r="AF20"/>
  <c r="S20" i="107" s="1"/>
  <c r="D20"/>
  <c r="C20" s="1"/>
  <c r="AC20" i="105"/>
  <c r="AL20"/>
  <c r="Q20" i="107" s="1"/>
  <c r="AA20" i="105"/>
  <c r="BC20"/>
  <c r="V24" i="124"/>
  <c r="AD24"/>
  <c r="AG24"/>
  <c r="AO24"/>
  <c r="Z24"/>
  <c r="AE24"/>
  <c r="T24"/>
  <c r="AH24" s="1"/>
  <c r="AF24"/>
  <c r="X24"/>
  <c r="AC24"/>
  <c r="AA24"/>
  <c r="AB24"/>
  <c r="W24"/>
  <c r="Y24"/>
  <c r="AJ24"/>
  <c r="U24"/>
  <c r="Y58" i="105"/>
  <c r="AI58"/>
  <c r="AF58"/>
  <c r="S58" i="107" s="1"/>
  <c r="AO58" i="105"/>
  <c r="W58"/>
  <c r="BA58"/>
  <c r="AL58"/>
  <c r="Z58"/>
  <c r="AV58"/>
  <c r="U58"/>
  <c r="X58"/>
  <c r="AD58"/>
  <c r="P58" i="107" s="1"/>
  <c r="D58" i="224"/>
  <c r="C58" s="1"/>
  <c r="AA58" i="105"/>
  <c r="AB58"/>
  <c r="L58" i="107" s="1"/>
  <c r="AG58" i="105"/>
  <c r="AJ58"/>
  <c r="AZ58"/>
  <c r="AK58"/>
  <c r="AE58"/>
  <c r="V58"/>
  <c r="BC58"/>
  <c r="D58" i="107"/>
  <c r="C58" s="1"/>
  <c r="AH58" i="105"/>
  <c r="L58" i="224" s="1"/>
  <c r="AC58" i="105"/>
  <c r="M58" i="107" s="1"/>
  <c r="AM58" i="105"/>
  <c r="BB58"/>
  <c r="AI23"/>
  <c r="BC23"/>
  <c r="BB23"/>
  <c r="AL23"/>
  <c r="Q23" i="107" s="1"/>
  <c r="AD23" i="105"/>
  <c r="P23" i="107" s="1"/>
  <c r="D23"/>
  <c r="C23" s="1"/>
  <c r="AG23" i="105"/>
  <c r="AF23"/>
  <c r="S23" i="107" s="1"/>
  <c r="AC23" i="105"/>
  <c r="AV23"/>
  <c r="AO23"/>
  <c r="W23"/>
  <c r="AM23"/>
  <c r="T23" i="107" s="1"/>
  <c r="AE23" i="105"/>
  <c r="D23" i="224"/>
  <c r="C23" s="1"/>
  <c r="Y23" i="105"/>
  <c r="AA23"/>
  <c r="AB23"/>
  <c r="L23" i="107" s="1"/>
  <c r="Z23" i="105"/>
  <c r="BA23"/>
  <c r="AP38" i="8"/>
  <c r="AH38" s="1"/>
  <c r="U31" i="124"/>
  <c r="AD31"/>
  <c r="AG31"/>
  <c r="X31"/>
  <c r="V31"/>
  <c r="W31"/>
  <c r="Y31"/>
  <c r="AB31"/>
  <c r="AJ31"/>
  <c r="AA31"/>
  <c r="AO31"/>
  <c r="AE31"/>
  <c r="AC31"/>
  <c r="AF31"/>
  <c r="T31"/>
  <c r="AH31" s="1"/>
  <c r="Z31"/>
  <c r="Y46"/>
  <c r="AA46"/>
  <c r="AO46"/>
  <c r="V46"/>
  <c r="AD46"/>
  <c r="AF46"/>
  <c r="AJ46"/>
  <c r="U46"/>
  <c r="T46"/>
  <c r="AH46" s="1"/>
  <c r="Z46"/>
  <c r="AE46"/>
  <c r="AC46"/>
  <c r="AG46"/>
  <c r="X46"/>
  <c r="W46"/>
  <c r="AB46"/>
  <c r="AI52" i="105"/>
  <c r="Y52"/>
  <c r="AH52"/>
  <c r="L52" i="224" s="1"/>
  <c r="AA52" i="105"/>
  <c r="AK52"/>
  <c r="D52" i="107"/>
  <c r="C52" s="1"/>
  <c r="AZ52" i="105"/>
  <c r="AE52"/>
  <c r="W52"/>
  <c r="BC52"/>
  <c r="AM52"/>
  <c r="BA52"/>
  <c r="X52"/>
  <c r="BB52"/>
  <c r="AL52"/>
  <c r="AG52"/>
  <c r="AO52"/>
  <c r="Z52"/>
  <c r="AB52"/>
  <c r="L52" i="107" s="1"/>
  <c r="V52" i="105"/>
  <c r="D52" i="224"/>
  <c r="C52" s="1"/>
  <c r="AJ52" i="105"/>
  <c r="AF52"/>
  <c r="S52" i="107" s="1"/>
  <c r="AV52" i="105"/>
  <c r="AD52"/>
  <c r="P52" i="107" s="1"/>
  <c r="AC52" i="105"/>
  <c r="U52"/>
  <c r="AI59"/>
  <c r="AH59"/>
  <c r="L59" i="224" s="1"/>
  <c r="BC59" i="105"/>
  <c r="BB59"/>
  <c r="AC59"/>
  <c r="Y59"/>
  <c r="W59"/>
  <c r="AE59"/>
  <c r="Z59"/>
  <c r="U59"/>
  <c r="AG59"/>
  <c r="AJ59"/>
  <c r="AO59"/>
  <c r="AF59"/>
  <c r="S59" i="107" s="1"/>
  <c r="AA59" i="105"/>
  <c r="AZ59"/>
  <c r="AK59"/>
  <c r="AM59"/>
  <c r="AD59"/>
  <c r="P59" i="107" s="1"/>
  <c r="AB59" i="105"/>
  <c r="L59" i="107" s="1"/>
  <c r="D59"/>
  <c r="C59" s="1"/>
  <c r="D59" i="224"/>
  <c r="C59" s="1"/>
  <c r="X59" i="105"/>
  <c r="BA59"/>
  <c r="V59"/>
  <c r="AV59"/>
  <c r="AL59"/>
  <c r="Y30"/>
  <c r="AC30"/>
  <c r="BA30"/>
  <c r="AJ30"/>
  <c r="U30"/>
  <c r="AZ30"/>
  <c r="D30" i="224"/>
  <c r="C30" s="1"/>
  <c r="D30" i="107"/>
  <c r="C30" s="1"/>
  <c r="AD30" i="105"/>
  <c r="P30" i="107" s="1"/>
  <c r="AI30" i="105"/>
  <c r="AG30"/>
  <c r="V30"/>
  <c r="AE30"/>
  <c r="BB30"/>
  <c r="AO30"/>
  <c r="AF30"/>
  <c r="S30" i="107" s="1"/>
  <c r="W30" i="105"/>
  <c r="Z30"/>
  <c r="X30"/>
  <c r="AA30"/>
  <c r="AH30"/>
  <c r="L30" i="224" s="1"/>
  <c r="BC30" i="105"/>
  <c r="AV30"/>
  <c r="AB30"/>
  <c r="L30" i="107" s="1"/>
  <c r="AM30" i="105"/>
  <c r="AK30"/>
  <c r="AL30"/>
  <c r="AF48" i="124"/>
  <c r="AB48"/>
  <c r="AG48"/>
  <c r="Y48"/>
  <c r="AA48"/>
  <c r="T48"/>
  <c r="AH48" s="1"/>
  <c r="U48"/>
  <c r="Z48"/>
  <c r="W48"/>
  <c r="AD48"/>
  <c r="AE48"/>
  <c r="AJ48"/>
  <c r="AC48"/>
  <c r="AO48"/>
  <c r="V48"/>
  <c r="X48"/>
  <c r="V58"/>
  <c r="AE58"/>
  <c r="Y58"/>
  <c r="AD58"/>
  <c r="AB58"/>
  <c r="U58"/>
  <c r="AC58"/>
  <c r="AO58"/>
  <c r="AF58"/>
  <c r="AG58"/>
  <c r="T58"/>
  <c r="AH58" s="1"/>
  <c r="AA58"/>
  <c r="X58"/>
  <c r="AJ58"/>
  <c r="Z58"/>
  <c r="W58"/>
  <c r="AF12"/>
  <c r="AO12"/>
  <c r="V12"/>
  <c r="X12"/>
  <c r="BC79" s="1"/>
  <c r="BB79" s="1"/>
  <c r="AJ12"/>
  <c r="AB12"/>
  <c r="Z12"/>
  <c r="AE12"/>
  <c r="BG79" s="1"/>
  <c r="AC12"/>
  <c r="BF79" s="1"/>
  <c r="AD12"/>
  <c r="T50"/>
  <c r="AH50" s="1"/>
  <c r="Z50"/>
  <c r="AJ50"/>
  <c r="AF50"/>
  <c r="AG50"/>
  <c r="X50"/>
  <c r="V50"/>
  <c r="AC50"/>
  <c r="U50"/>
  <c r="AE50"/>
  <c r="W50"/>
  <c r="AA50"/>
  <c r="AD50"/>
  <c r="AO50"/>
  <c r="AB50"/>
  <c r="Y50"/>
  <c r="AJ20"/>
  <c r="T20"/>
  <c r="AH20" s="1"/>
  <c r="U20"/>
  <c r="AF20"/>
  <c r="AO20"/>
  <c r="AB20"/>
  <c r="AG20"/>
  <c r="AD20"/>
  <c r="X20"/>
  <c r="BC87" s="1"/>
  <c r="BB87" s="1"/>
  <c r="V20"/>
  <c r="W20"/>
  <c r="Z20"/>
  <c r="Y20"/>
  <c r="BD87" s="1"/>
  <c r="AC20"/>
  <c r="BF87" s="1"/>
  <c r="AA20"/>
  <c r="BE87" s="1"/>
  <c r="AE20"/>
  <c r="BG87" s="1"/>
  <c r="W56"/>
  <c r="AB56"/>
  <c r="AG56"/>
  <c r="AA56"/>
  <c r="X56"/>
  <c r="AD56"/>
  <c r="AO56"/>
  <c r="AE56"/>
  <c r="Z56"/>
  <c r="AJ56"/>
  <c r="AF56"/>
  <c r="V56"/>
  <c r="U56"/>
  <c r="Y56"/>
  <c r="AC56"/>
  <c r="T56"/>
  <c r="AH56" s="1"/>
  <c r="AI51" i="6"/>
  <c r="AI46" s="1"/>
  <c r="AK51"/>
  <c r="AF51"/>
  <c r="AD51"/>
  <c r="AD46" s="1"/>
  <c r="AH51"/>
  <c r="AG51"/>
  <c r="AC51"/>
  <c r="AC46" s="1"/>
  <c r="AJ51"/>
  <c r="AJ46" s="1"/>
  <c r="AJ43" s="1"/>
  <c r="AE51"/>
  <c r="AE46" s="1"/>
  <c r="I53" i="219"/>
  <c r="V51" i="6"/>
  <c r="V46" s="1"/>
  <c r="T51"/>
  <c r="T46" s="1"/>
  <c r="T43" s="1"/>
  <c r="T38" s="1"/>
  <c r="Y51"/>
  <c r="Y46" s="1"/>
  <c r="Q51"/>
  <c r="Q46" s="1"/>
  <c r="Z51"/>
  <c r="X51"/>
  <c r="W51"/>
  <c r="P51"/>
  <c r="P46" s="1"/>
  <c r="AA51"/>
  <c r="AA46" s="1"/>
  <c r="S51"/>
  <c r="S46" s="1"/>
  <c r="AB51"/>
  <c r="AB46" s="1"/>
  <c r="R51"/>
  <c r="R46" s="1"/>
  <c r="U51"/>
  <c r="U46" s="1"/>
  <c r="Y55" i="105"/>
  <c r="AI55"/>
  <c r="AF55"/>
  <c r="S55" i="107" s="1"/>
  <c r="AD55" i="105"/>
  <c r="P55" i="107" s="1"/>
  <c r="W55" i="105"/>
  <c r="AH55"/>
  <c r="L55" i="224" s="1"/>
  <c r="BC55" i="105"/>
  <c r="Z55"/>
  <c r="BA55"/>
  <c r="D55" i="107"/>
  <c r="C55" s="1"/>
  <c r="AB55" i="105"/>
  <c r="L55" i="107" s="1"/>
  <c r="BB55" i="105"/>
  <c r="AZ55"/>
  <c r="AM55"/>
  <c r="U55"/>
  <c r="AO55"/>
  <c r="AJ55"/>
  <c r="X55"/>
  <c r="AL55"/>
  <c r="V55"/>
  <c r="D55" i="224"/>
  <c r="C55" s="1"/>
  <c r="AG55" i="105"/>
  <c r="AE55"/>
  <c r="AV55"/>
  <c r="AC55"/>
  <c r="AA55"/>
  <c r="AK55"/>
  <c r="Y47"/>
  <c r="AI47"/>
  <c r="D47" i="224"/>
  <c r="C47" s="1"/>
  <c r="AG47" i="105"/>
  <c r="BC47"/>
  <c r="AJ47"/>
  <c r="AV47"/>
  <c r="AF47"/>
  <c r="S47" i="107" s="1"/>
  <c r="BB47" i="105"/>
  <c r="AH47"/>
  <c r="L47" i="224" s="1"/>
  <c r="AA47" i="105"/>
  <c r="D47" i="107"/>
  <c r="C47" s="1"/>
  <c r="AZ47" i="105"/>
  <c r="AC47"/>
  <c r="AL47"/>
  <c r="U47"/>
  <c r="Z47"/>
  <c r="X47"/>
  <c r="AD47"/>
  <c r="P47" i="107" s="1"/>
  <c r="AB47" i="105"/>
  <c r="L47" i="107" s="1"/>
  <c r="AK47" i="105"/>
  <c r="AE47"/>
  <c r="V47"/>
  <c r="AO47"/>
  <c r="W47"/>
  <c r="BA47"/>
  <c r="AM47"/>
  <c r="AI15"/>
  <c r="Y15"/>
  <c r="BB15"/>
  <c r="BC15"/>
  <c r="D15" i="224"/>
  <c r="C15" s="1"/>
  <c r="AM15" i="105"/>
  <c r="T15" i="107" s="1"/>
  <c r="AC15" i="105"/>
  <c r="AF15"/>
  <c r="S15" i="107" s="1"/>
  <c r="AD15" i="105"/>
  <c r="P15" i="107" s="1"/>
  <c r="W15" i="105"/>
  <c r="AV15"/>
  <c r="AO15"/>
  <c r="AE15"/>
  <c r="D15" i="107"/>
  <c r="C15" s="1"/>
  <c r="AG15" i="105"/>
  <c r="AA15"/>
  <c r="AL15"/>
  <c r="Q15" i="107" s="1"/>
  <c r="AZ15" i="105"/>
  <c r="Z15"/>
  <c r="BA15"/>
  <c r="AB15"/>
  <c r="L15" i="107" s="1"/>
  <c r="Y33" i="105"/>
  <c r="BA33"/>
  <c r="BB33"/>
  <c r="BC33"/>
  <c r="AH33"/>
  <c r="L33" i="224" s="1"/>
  <c r="W33" i="105"/>
  <c r="AV33"/>
  <c r="AM33"/>
  <c r="X33"/>
  <c r="AI33"/>
  <c r="AO33"/>
  <c r="AK33"/>
  <c r="AZ33"/>
  <c r="Z33"/>
  <c r="AD33"/>
  <c r="P33" i="107" s="1"/>
  <c r="AA33" i="105"/>
  <c r="U33"/>
  <c r="AF33"/>
  <c r="S33" i="107" s="1"/>
  <c r="AG33" i="105"/>
  <c r="AE33"/>
  <c r="AL33"/>
  <c r="V33"/>
  <c r="AJ33"/>
  <c r="AC33"/>
  <c r="D33" i="107"/>
  <c r="C33" s="1"/>
  <c r="AB33" i="105"/>
  <c r="L33" i="107" s="1"/>
  <c r="D33" i="224"/>
  <c r="C33" s="1"/>
  <c r="Y38" i="105"/>
  <c r="BB38"/>
  <c r="AD38"/>
  <c r="P38" i="107" s="1"/>
  <c r="AB38" i="105"/>
  <c r="L38" i="107" s="1"/>
  <c r="D38"/>
  <c r="C38" s="1"/>
  <c r="AK38" i="105"/>
  <c r="X38"/>
  <c r="AH38"/>
  <c r="L38" i="224" s="1"/>
  <c r="AI38" i="105"/>
  <c r="AV38"/>
  <c r="AZ38"/>
  <c r="BA38"/>
  <c r="AC38"/>
  <c r="AE38"/>
  <c r="AL38"/>
  <c r="U38"/>
  <c r="V38"/>
  <c r="AF38"/>
  <c r="S38" i="107" s="1"/>
  <c r="W38" i="105"/>
  <c r="D38" i="224"/>
  <c r="C38" s="1"/>
  <c r="BC38" i="105"/>
  <c r="AO38"/>
  <c r="AM38"/>
  <c r="Z38"/>
  <c r="AA38"/>
  <c r="AJ38"/>
  <c r="AG38"/>
  <c r="Y24"/>
  <c r="AO24"/>
  <c r="W24"/>
  <c r="AG24"/>
  <c r="AI24"/>
  <c r="D24" i="107"/>
  <c r="C24" s="1"/>
  <c r="BB24" i="105"/>
  <c r="D24" i="224"/>
  <c r="C24" s="1"/>
  <c r="AD24" i="105"/>
  <c r="P24" i="107" s="1"/>
  <c r="AA24" i="105"/>
  <c r="AE24"/>
  <c r="AL24"/>
  <c r="Q24" i="107" s="1"/>
  <c r="AM24" i="105"/>
  <c r="T24" i="107" s="1"/>
  <c r="BC24" i="105"/>
  <c r="AV24"/>
  <c r="AF24"/>
  <c r="S24" i="107" s="1"/>
  <c r="AC24" i="105"/>
  <c r="Z24"/>
  <c r="BA24"/>
  <c r="AB24"/>
  <c r="L24" i="107" s="1"/>
  <c r="I14" i="219"/>
  <c r="F12" i="211"/>
  <c r="D12"/>
  <c r="D13"/>
  <c r="F13"/>
  <c r="AD29" i="1"/>
  <c r="AH20" i="105"/>
  <c r="L20" i="224" s="1"/>
  <c r="I25" i="168"/>
  <c r="O25" s="1"/>
  <c r="I20" i="170"/>
  <c r="O20" s="1"/>
  <c r="AH21" i="105"/>
  <c r="L21" i="224" s="1"/>
  <c r="BA22" i="105"/>
  <c r="AB18"/>
  <c r="L18" i="107" s="1"/>
  <c r="Z22" i="105"/>
  <c r="AA31" i="8"/>
  <c r="AQ31"/>
  <c r="AI31" s="1"/>
  <c r="AB49" i="124"/>
  <c r="AE49"/>
  <c r="AD49"/>
  <c r="X49"/>
  <c r="AO49"/>
  <c r="U49"/>
  <c r="AJ49"/>
  <c r="Z49"/>
  <c r="T49"/>
  <c r="AH49" s="1"/>
  <c r="V49"/>
  <c r="Y49"/>
  <c r="W49"/>
  <c r="AG49"/>
  <c r="AF49"/>
  <c r="AA49"/>
  <c r="AC49"/>
  <c r="T36"/>
  <c r="AH36" s="1"/>
  <c r="AE36"/>
  <c r="Y36"/>
  <c r="X36"/>
  <c r="AC36"/>
  <c r="W36"/>
  <c r="AA36"/>
  <c r="AJ36"/>
  <c r="AD36"/>
  <c r="AO36"/>
  <c r="AB36"/>
  <c r="Z36"/>
  <c r="AG36"/>
  <c r="AF36"/>
  <c r="V36"/>
  <c r="U36"/>
  <c r="U43"/>
  <c r="AD43"/>
  <c r="W43"/>
  <c r="AJ43"/>
  <c r="X43"/>
  <c r="V43"/>
  <c r="AA43"/>
  <c r="AB43"/>
  <c r="AE43"/>
  <c r="AF43"/>
  <c r="AC43"/>
  <c r="Y43"/>
  <c r="Z43"/>
  <c r="AO43"/>
  <c r="T43"/>
  <c r="AH43" s="1"/>
  <c r="AG43"/>
  <c r="V45"/>
  <c r="U45"/>
  <c r="W45"/>
  <c r="AE45"/>
  <c r="AA45"/>
  <c r="T45"/>
  <c r="AH45" s="1"/>
  <c r="AC45"/>
  <c r="Z45"/>
  <c r="AB45"/>
  <c r="Y45"/>
  <c r="AF45"/>
  <c r="AG45"/>
  <c r="AJ45"/>
  <c r="AD45"/>
  <c r="X45"/>
  <c r="AO45"/>
  <c r="AO60"/>
  <c r="AJ60"/>
  <c r="V60"/>
  <c r="X60"/>
  <c r="Y60"/>
  <c r="AF60"/>
  <c r="AE60"/>
  <c r="AG60"/>
  <c r="W60"/>
  <c r="AC60"/>
  <c r="AA60"/>
  <c r="Z60"/>
  <c r="T60"/>
  <c r="AH60" s="1"/>
  <c r="AB60"/>
  <c r="AD60"/>
  <c r="U60"/>
  <c r="AP39" i="8"/>
  <c r="AH39" s="1"/>
  <c r="I27" i="219"/>
  <c r="X22" i="124"/>
  <c r="AA22"/>
  <c r="U22"/>
  <c r="T22"/>
  <c r="AH22" s="1"/>
  <c r="AJ22"/>
  <c r="Y22"/>
  <c r="AF22"/>
  <c r="AC22"/>
  <c r="AE22"/>
  <c r="AO22"/>
  <c r="V22"/>
  <c r="AG22"/>
  <c r="AB22"/>
  <c r="Z22"/>
  <c r="AD22"/>
  <c r="W22"/>
  <c r="V57"/>
  <c r="AG57"/>
  <c r="AJ57"/>
  <c r="AO57"/>
  <c r="AC57"/>
  <c r="U57"/>
  <c r="AA57"/>
  <c r="AD57"/>
  <c r="AB57"/>
  <c r="X57"/>
  <c r="AF57"/>
  <c r="T57"/>
  <c r="AH57" s="1"/>
  <c r="Z57"/>
  <c r="Y57"/>
  <c r="W57"/>
  <c r="AE57"/>
  <c r="AF27"/>
  <c r="Z27"/>
  <c r="W27"/>
  <c r="AC27"/>
  <c r="AD27"/>
  <c r="AA27"/>
  <c r="T27"/>
  <c r="AH27" s="1"/>
  <c r="AO27"/>
  <c r="AB27"/>
  <c r="U27"/>
  <c r="AJ27"/>
  <c r="V27"/>
  <c r="AE27"/>
  <c r="X27"/>
  <c r="AG27"/>
  <c r="Y27"/>
  <c r="I45" i="219"/>
  <c r="AQ38" i="8"/>
  <c r="AI38" s="1"/>
  <c r="AD59" i="124"/>
  <c r="Y59"/>
  <c r="AE59"/>
  <c r="AJ59"/>
  <c r="W59"/>
  <c r="U59"/>
  <c r="X59"/>
  <c r="AG59"/>
  <c r="Z59"/>
  <c r="AF59"/>
  <c r="AO59"/>
  <c r="AB59"/>
  <c r="AC59"/>
  <c r="AA59"/>
  <c r="T59"/>
  <c r="AH59" s="1"/>
  <c r="V59"/>
  <c r="T23"/>
  <c r="AH23" s="1"/>
  <c r="AJ23"/>
  <c r="AC23"/>
  <c r="AF23"/>
  <c r="AA23"/>
  <c r="U23"/>
  <c r="AG23"/>
  <c r="W23"/>
  <c r="V23"/>
  <c r="Z23"/>
  <c r="AD23"/>
  <c r="AE23"/>
  <c r="Y23"/>
  <c r="X23"/>
  <c r="AB23"/>
  <c r="AO23"/>
  <c r="AG26"/>
  <c r="T26"/>
  <c r="AH26" s="1"/>
  <c r="U26"/>
  <c r="AA26"/>
  <c r="AF26"/>
  <c r="AE26"/>
  <c r="V26"/>
  <c r="X26"/>
  <c r="AB26"/>
  <c r="AJ26"/>
  <c r="AC26"/>
  <c r="AO26"/>
  <c r="AD26"/>
  <c r="Z26"/>
  <c r="W26"/>
  <c r="Y26"/>
  <c r="W18"/>
  <c r="AJ18"/>
  <c r="AG18"/>
  <c r="AB18"/>
  <c r="AE18"/>
  <c r="BG85" s="1"/>
  <c r="T18"/>
  <c r="AH18" s="1"/>
  <c r="AD18"/>
  <c r="X18"/>
  <c r="BC85" s="1"/>
  <c r="BB85" s="1"/>
  <c r="AF18"/>
  <c r="Z18"/>
  <c r="V18"/>
  <c r="Y18"/>
  <c r="BD85" s="1"/>
  <c r="AO18"/>
  <c r="U18"/>
  <c r="AA18"/>
  <c r="BE85" s="1"/>
  <c r="AC18"/>
  <c r="BF85" s="1"/>
  <c r="AJ55"/>
  <c r="U55"/>
  <c r="Y55"/>
  <c r="Z55"/>
  <c r="AC55"/>
  <c r="V55"/>
  <c r="X55"/>
  <c r="AG55"/>
  <c r="W55"/>
  <c r="AE55"/>
  <c r="T55"/>
  <c r="AH55" s="1"/>
  <c r="AB55"/>
  <c r="AD55"/>
  <c r="AF55"/>
  <c r="AA55"/>
  <c r="AO55"/>
  <c r="T37"/>
  <c r="AH37" s="1"/>
  <c r="X37"/>
  <c r="AO37"/>
  <c r="AD37"/>
  <c r="AG37"/>
  <c r="AB37"/>
  <c r="AJ37"/>
  <c r="W37"/>
  <c r="V37"/>
  <c r="Y37"/>
  <c r="AA37"/>
  <c r="AF37"/>
  <c r="AC37"/>
  <c r="AE37"/>
  <c r="Z37"/>
  <c r="U37"/>
  <c r="AI36" i="105"/>
  <c r="Y36"/>
  <c r="Z36"/>
  <c r="BC36"/>
  <c r="D36" i="107"/>
  <c r="C36" s="1"/>
  <c r="AC36" i="105"/>
  <c r="AH36"/>
  <c r="L36" i="224" s="1"/>
  <c r="BB36" i="105"/>
  <c r="AZ36"/>
  <c r="AO36"/>
  <c r="AG36"/>
  <c r="AB36"/>
  <c r="L36" i="107" s="1"/>
  <c r="AF36" i="105"/>
  <c r="S36" i="107" s="1"/>
  <c r="W36" i="105"/>
  <c r="V36"/>
  <c r="AM36"/>
  <c r="AE36"/>
  <c r="AL36"/>
  <c r="AJ36"/>
  <c r="X36"/>
  <c r="AA36"/>
  <c r="U36"/>
  <c r="AD36"/>
  <c r="P36" i="107" s="1"/>
  <c r="AV36" i="105"/>
  <c r="BA36"/>
  <c r="D36" i="224"/>
  <c r="C36" s="1"/>
  <c r="AK36" i="105"/>
  <c r="AI48"/>
  <c r="BC48"/>
  <c r="AD48"/>
  <c r="P48" i="107" s="1"/>
  <c r="D48" i="224"/>
  <c r="C48" s="1"/>
  <c r="AC48" i="105"/>
  <c r="Y48"/>
  <c r="AE48"/>
  <c r="AM48"/>
  <c r="U48"/>
  <c r="BB48"/>
  <c r="AK48"/>
  <c r="AO48"/>
  <c r="AZ48"/>
  <c r="V48"/>
  <c r="AG48"/>
  <c r="X48"/>
  <c r="AL48"/>
  <c r="D48" i="107"/>
  <c r="C48" s="1"/>
  <c r="AB48" i="105"/>
  <c r="L48" i="107" s="1"/>
  <c r="BA48" i="105"/>
  <c r="AV48"/>
  <c r="AF48"/>
  <c r="S48" i="107" s="1"/>
  <c r="AA48" i="105"/>
  <c r="AH48"/>
  <c r="L48" i="224" s="1"/>
  <c r="AJ48" i="105"/>
  <c r="Z48"/>
  <c r="W48"/>
  <c r="AI14"/>
  <c r="Y14"/>
  <c r="AA14"/>
  <c r="AF14"/>
  <c r="S14" i="107" s="1"/>
  <c r="AV14" i="105"/>
  <c r="AL14"/>
  <c r="Q14" i="107" s="1"/>
  <c r="AC14" i="105"/>
  <c r="D14" i="107"/>
  <c r="C14" s="1"/>
  <c r="BC14" i="105"/>
  <c r="W14"/>
  <c r="AO14"/>
  <c r="AD14"/>
  <c r="P14" i="107" s="1"/>
  <c r="BB14" i="105"/>
  <c r="AE14"/>
  <c r="AM14"/>
  <c r="T14" i="107" s="1"/>
  <c r="D14" i="224"/>
  <c r="C14" s="1"/>
  <c r="AG14" i="105"/>
  <c r="Y41"/>
  <c r="AG41"/>
  <c r="AZ41"/>
  <c r="AK41"/>
  <c r="AJ41"/>
  <c r="AO41"/>
  <c r="AA41"/>
  <c r="Z41"/>
  <c r="AL41"/>
  <c r="W41"/>
  <c r="BC41"/>
  <c r="D41" i="107"/>
  <c r="C41" s="1"/>
  <c r="BA41" i="105"/>
  <c r="AI41"/>
  <c r="AE41"/>
  <c r="AB41"/>
  <c r="L41" i="107" s="1"/>
  <c r="D41" i="224"/>
  <c r="C41" s="1"/>
  <c r="AH41" i="105"/>
  <c r="L41" i="224" s="1"/>
  <c r="AF41" i="105"/>
  <c r="S41" i="107" s="1"/>
  <c r="AD41" i="105"/>
  <c r="P41" i="107" s="1"/>
  <c r="BB41" i="105"/>
  <c r="X41"/>
  <c r="U41"/>
  <c r="AM41"/>
  <c r="V41"/>
  <c r="AV41"/>
  <c r="AC41"/>
  <c r="Y46"/>
  <c r="AI46"/>
  <c r="BC46"/>
  <c r="D46" i="224"/>
  <c r="C46" s="1"/>
  <c r="AJ46" i="105"/>
  <c r="AL46"/>
  <c r="V46"/>
  <c r="AC46"/>
  <c r="AK46"/>
  <c r="BB46"/>
  <c r="AE46"/>
  <c r="AA46"/>
  <c r="AD46"/>
  <c r="P46" i="107" s="1"/>
  <c r="AH46" i="105"/>
  <c r="L46" i="224" s="1"/>
  <c r="AG46" i="105"/>
  <c r="U46"/>
  <c r="X46"/>
  <c r="W46"/>
  <c r="AV46"/>
  <c r="AB46"/>
  <c r="L46" i="107" s="1"/>
  <c r="D46"/>
  <c r="C46" s="1"/>
  <c r="AF46" i="105"/>
  <c r="S46" i="107" s="1"/>
  <c r="Z46" i="105"/>
  <c r="BA46"/>
  <c r="AZ46"/>
  <c r="AO46"/>
  <c r="AM46"/>
  <c r="Y28"/>
  <c r="AI28"/>
  <c r="AO28"/>
  <c r="AE28"/>
  <c r="W28"/>
  <c r="BC28"/>
  <c r="AC28"/>
  <c r="AA28"/>
  <c r="AV28"/>
  <c r="AF28"/>
  <c r="S28" i="107" s="1"/>
  <c r="AL28" i="105"/>
  <c r="Q28" i="107" s="1"/>
  <c r="D28"/>
  <c r="C28" s="1"/>
  <c r="AM28" i="105"/>
  <c r="T28" i="107" s="1"/>
  <c r="D28" i="224"/>
  <c r="C28" s="1"/>
  <c r="BB28" i="105"/>
  <c r="AG28"/>
  <c r="AD28"/>
  <c r="P28" i="107" s="1"/>
  <c r="BH14" i="211"/>
  <c r="BG14"/>
  <c r="I19" i="170"/>
  <c r="O19" s="1"/>
  <c r="I19" i="168"/>
  <c r="O19" s="1"/>
  <c r="I23" i="170"/>
  <c r="L23" s="1"/>
  <c r="Z20" i="105"/>
  <c r="AB20"/>
  <c r="L20" i="107" s="1"/>
  <c r="T52" i="124"/>
  <c r="AH52" s="1"/>
  <c r="U52"/>
  <c r="AB52"/>
  <c r="Y52"/>
  <c r="AJ52"/>
  <c r="Z52"/>
  <c r="AD52"/>
  <c r="V52"/>
  <c r="AG52"/>
  <c r="AF52"/>
  <c r="X52"/>
  <c r="AO52"/>
  <c r="AC52"/>
  <c r="AA52"/>
  <c r="AE52"/>
  <c r="W52"/>
  <c r="AE30"/>
  <c r="AD30"/>
  <c r="V30"/>
  <c r="AC30"/>
  <c r="AA30"/>
  <c r="T30"/>
  <c r="AH30" s="1"/>
  <c r="AF30"/>
  <c r="X30"/>
  <c r="Y30"/>
  <c r="Z30"/>
  <c r="AJ30"/>
  <c r="AG30"/>
  <c r="W30"/>
  <c r="U30"/>
  <c r="AO30"/>
  <c r="AB30"/>
  <c r="AE38"/>
  <c r="U38"/>
  <c r="AF38"/>
  <c r="V38"/>
  <c r="Z38"/>
  <c r="Y38"/>
  <c r="AA38"/>
  <c r="X38"/>
  <c r="AO38"/>
  <c r="AB38"/>
  <c r="AG38"/>
  <c r="AC38"/>
  <c r="AD38"/>
  <c r="AJ38"/>
  <c r="W38"/>
  <c r="T38"/>
  <c r="AH38" s="1"/>
  <c r="AJ15"/>
  <c r="T15"/>
  <c r="AH15" s="1"/>
  <c r="AG15"/>
  <c r="U15"/>
  <c r="AC15"/>
  <c r="BF82" s="1"/>
  <c r="AO15"/>
  <c r="W15"/>
  <c r="AF15"/>
  <c r="AB15"/>
  <c r="X15"/>
  <c r="BC82" s="1"/>
  <c r="BB82" s="1"/>
  <c r="AD15"/>
  <c r="Y15"/>
  <c r="BD82" s="1"/>
  <c r="AE15"/>
  <c r="BG82" s="1"/>
  <c r="Z15"/>
  <c r="V15"/>
  <c r="AA15"/>
  <c r="BE82" s="1"/>
  <c r="Z13"/>
  <c r="AJ13"/>
  <c r="V13"/>
  <c r="AC13"/>
  <c r="BF80" s="1"/>
  <c r="AD13"/>
  <c r="AO13"/>
  <c r="AE13"/>
  <c r="BG80" s="1"/>
  <c r="AB13"/>
  <c r="AF13"/>
  <c r="X13"/>
  <c r="BC80" s="1"/>
  <c r="BB80" s="1"/>
  <c r="I40" i="219"/>
  <c r="Y50" i="105"/>
  <c r="AI50"/>
  <c r="AE50"/>
  <c r="AL50"/>
  <c r="AG50"/>
  <c r="AO50"/>
  <c r="AD50"/>
  <c r="P50" i="107" s="1"/>
  <c r="AH50" i="105"/>
  <c r="L50" i="224" s="1"/>
  <c r="AK50" i="105"/>
  <c r="AV50"/>
  <c r="W50"/>
  <c r="BA50"/>
  <c r="V50"/>
  <c r="D50" i="107"/>
  <c r="C50" s="1"/>
  <c r="AM50" i="105"/>
  <c r="AA50"/>
  <c r="BC50"/>
  <c r="AZ50"/>
  <c r="AC50"/>
  <c r="D50" i="224"/>
  <c r="C50" s="1"/>
  <c r="AF50" i="105"/>
  <c r="S50" i="107" s="1"/>
  <c r="AB50" i="105"/>
  <c r="L50" i="107" s="1"/>
  <c r="BB50" i="105"/>
  <c r="U50"/>
  <c r="AJ50"/>
  <c r="Z50"/>
  <c r="X50"/>
  <c r="AI43"/>
  <c r="Y43"/>
  <c r="BC43"/>
  <c r="D43" i="224"/>
  <c r="C43" s="1"/>
  <c r="BB43" i="105"/>
  <c r="AH43"/>
  <c r="L43" i="224" s="1"/>
  <c r="AE43" i="105"/>
  <c r="AV43"/>
  <c r="AJ43"/>
  <c r="V43"/>
  <c r="AG43"/>
  <c r="AO43"/>
  <c r="U43"/>
  <c r="X43"/>
  <c r="W43"/>
  <c r="Z43"/>
  <c r="AK43"/>
  <c r="AC43"/>
  <c r="AM43"/>
  <c r="BA43"/>
  <c r="AZ43"/>
  <c r="AA43"/>
  <c r="AF43"/>
  <c r="S43" i="107" s="1"/>
  <c r="D43"/>
  <c r="C43" s="1"/>
  <c r="AD43" i="105"/>
  <c r="P43" i="107" s="1"/>
  <c r="AL43" i="105"/>
  <c r="AB43"/>
  <c r="L43" i="107" s="1"/>
  <c r="Y29" i="105"/>
  <c r="AI29"/>
  <c r="AF29"/>
  <c r="S29" i="107" s="1"/>
  <c r="AC29" i="105"/>
  <c r="AM29"/>
  <c r="T29" i="107" s="1"/>
  <c r="BC29" i="105"/>
  <c r="BB29"/>
  <c r="D29" i="224"/>
  <c r="C29" s="1"/>
  <c r="AD29" i="105"/>
  <c r="P29" i="107" s="1"/>
  <c r="W29" i="105"/>
  <c r="D29" i="107"/>
  <c r="C29" s="1"/>
  <c r="AE29" i="105"/>
  <c r="AO29"/>
  <c r="AV29"/>
  <c r="AG29"/>
  <c r="AA29"/>
  <c r="AL29"/>
  <c r="Q29" i="107" s="1"/>
  <c r="AB29" i="105"/>
  <c r="L29" i="107" s="1"/>
  <c r="Z29" i="105"/>
  <c r="Y11"/>
  <c r="AI11"/>
  <c r="D11" i="224"/>
  <c r="C11" s="1"/>
  <c r="AA11" i="105"/>
  <c r="AG11"/>
  <c r="AC11"/>
  <c r="BB11"/>
  <c r="AL11"/>
  <c r="Q11" i="107" s="1"/>
  <c r="AF11" i="105"/>
  <c r="S11" i="107" s="1"/>
  <c r="AM11" i="105"/>
  <c r="T11" i="107" s="1"/>
  <c r="W11" i="105"/>
  <c r="AE11"/>
  <c r="D11" i="107"/>
  <c r="C11" s="1"/>
  <c r="AV11" i="105"/>
  <c r="AO11"/>
  <c r="AD11"/>
  <c r="P11" i="107" s="1"/>
  <c r="BC11" i="105"/>
  <c r="Y16"/>
  <c r="AI16"/>
  <c r="W16"/>
  <c r="BC16"/>
  <c r="AD16"/>
  <c r="P16" i="107" s="1"/>
  <c r="BB16" i="105"/>
  <c r="AM16"/>
  <c r="T16" i="107" s="1"/>
  <c r="D16" i="224"/>
  <c r="C16" s="1"/>
  <c r="AV16" i="105"/>
  <c r="AF16"/>
  <c r="S16" i="107" s="1"/>
  <c r="AO16" i="105"/>
  <c r="AL16"/>
  <c r="Q16" i="107" s="1"/>
  <c r="D16"/>
  <c r="C16" s="1"/>
  <c r="AE16" i="105"/>
  <c r="AC16"/>
  <c r="AG16"/>
  <c r="AA16"/>
  <c r="AS31" i="8"/>
  <c r="AK31" s="1"/>
  <c r="AJ54" i="124"/>
  <c r="U54"/>
  <c r="X54"/>
  <c r="Y54"/>
  <c r="Z54"/>
  <c r="AE54"/>
  <c r="T54"/>
  <c r="AH54" s="1"/>
  <c r="AC54"/>
  <c r="AB54"/>
  <c r="AD54"/>
  <c r="W54"/>
  <c r="AA54"/>
  <c r="AF54"/>
  <c r="V54"/>
  <c r="AO54"/>
  <c r="AG54"/>
  <c r="AP31" i="8"/>
  <c r="AH31" s="1"/>
  <c r="AI35" i="105"/>
  <c r="Y35"/>
  <c r="AE35"/>
  <c r="AC35"/>
  <c r="Z35"/>
  <c r="W35"/>
  <c r="AG35"/>
  <c r="AZ35"/>
  <c r="BA35"/>
  <c r="BC35"/>
  <c r="AD35"/>
  <c r="P35" i="107" s="1"/>
  <c r="AA35" i="105"/>
  <c r="AB35"/>
  <c r="L35" i="107" s="1"/>
  <c r="AL35" i="105"/>
  <c r="AJ35"/>
  <c r="U35"/>
  <c r="AV35"/>
  <c r="AH35"/>
  <c r="L35" i="224" s="1"/>
  <c r="D35" i="107"/>
  <c r="C35" s="1"/>
  <c r="AF35" i="105"/>
  <c r="S35" i="107" s="1"/>
  <c r="BB35" i="105"/>
  <c r="D35" i="224"/>
  <c r="C35" s="1"/>
  <c r="AK35" i="105"/>
  <c r="X35"/>
  <c r="V35"/>
  <c r="AM35"/>
  <c r="AO35"/>
  <c r="Y37"/>
  <c r="AI37"/>
  <c r="D37" i="107"/>
  <c r="C37" s="1"/>
  <c r="BC37" i="105"/>
  <c r="Z37"/>
  <c r="AZ37"/>
  <c r="AM37"/>
  <c r="W37"/>
  <c r="BA37"/>
  <c r="AV37"/>
  <c r="AA37"/>
  <c r="AF37"/>
  <c r="S37" i="107" s="1"/>
  <c r="AO37" i="105"/>
  <c r="D37" i="224"/>
  <c r="C37" s="1"/>
  <c r="AC37" i="105"/>
  <c r="AJ37"/>
  <c r="AK37"/>
  <c r="AB37"/>
  <c r="L37" i="107" s="1"/>
  <c r="AD37" i="105"/>
  <c r="P37" i="107" s="1"/>
  <c r="BB37" i="105"/>
  <c r="AH37"/>
  <c r="L37" i="224" s="1"/>
  <c r="AG37" i="105"/>
  <c r="AL37"/>
  <c r="X37"/>
  <c r="AE37"/>
  <c r="V37"/>
  <c r="U37"/>
  <c r="AI27"/>
  <c r="AF27"/>
  <c r="S27" i="107" s="1"/>
  <c r="BC27" i="105"/>
  <c r="AO27"/>
  <c r="AL27"/>
  <c r="Q27" i="107" s="1"/>
  <c r="D27" i="224"/>
  <c r="C27" s="1"/>
  <c r="BB27" i="105"/>
  <c r="AD27"/>
  <c r="P27" i="107" s="1"/>
  <c r="D27"/>
  <c r="C27" s="1"/>
  <c r="AA27" i="105"/>
  <c r="AG27"/>
  <c r="AM27"/>
  <c r="T27" i="107" s="1"/>
  <c r="AV27" i="105"/>
  <c r="AE27"/>
  <c r="W27"/>
  <c r="Y27"/>
  <c r="AC27"/>
  <c r="Z27"/>
  <c r="AB27"/>
  <c r="L27" i="107" s="1"/>
  <c r="Y13" i="105"/>
  <c r="AC13"/>
  <c r="AI13"/>
  <c r="AA13"/>
  <c r="AE13"/>
  <c r="BB13"/>
  <c r="AM13"/>
  <c r="T13" i="107" s="1"/>
  <c r="AF13" i="105"/>
  <c r="S13" i="107" s="1"/>
  <c r="AG13" i="105"/>
  <c r="D13" i="107"/>
  <c r="C13" s="1"/>
  <c r="AD13" i="105"/>
  <c r="P13" i="107" s="1"/>
  <c r="AV13" i="105"/>
  <c r="W13"/>
  <c r="BC13"/>
  <c r="D13" i="224"/>
  <c r="C13" s="1"/>
  <c r="AL13" i="105"/>
  <c r="Q13" i="107" s="1"/>
  <c r="AO13" i="105"/>
  <c r="AB13"/>
  <c r="L13" i="107" s="1"/>
  <c r="BA13" i="105"/>
  <c r="Z13"/>
  <c r="D14" i="211"/>
  <c r="F14"/>
  <c r="BG12"/>
  <c r="BH12"/>
  <c r="AE34" i="124"/>
  <c r="Z34"/>
  <c r="AC34"/>
  <c r="X34"/>
  <c r="Y34"/>
  <c r="AA34"/>
  <c r="AO34"/>
  <c r="T34"/>
  <c r="AH34" s="1"/>
  <c r="AF34"/>
  <c r="AD34"/>
  <c r="AJ34"/>
  <c r="AG34"/>
  <c r="U34"/>
  <c r="AB34"/>
  <c r="V34"/>
  <c r="W34"/>
  <c r="X25"/>
  <c r="AD25"/>
  <c r="AG25"/>
  <c r="T25"/>
  <c r="AH25" s="1"/>
  <c r="W25"/>
  <c r="AO25"/>
  <c r="AF25"/>
  <c r="V25"/>
  <c r="U25"/>
  <c r="AJ25"/>
  <c r="AB25"/>
  <c r="AA25"/>
  <c r="Y25"/>
  <c r="AC25"/>
  <c r="Z25"/>
  <c r="AE25"/>
  <c r="T44"/>
  <c r="AH44" s="1"/>
  <c r="V44"/>
  <c r="AF44"/>
  <c r="AJ44"/>
  <c r="AB44"/>
  <c r="AO44"/>
  <c r="AE44"/>
  <c r="AD44"/>
  <c r="U44"/>
  <c r="AC44"/>
  <c r="W44"/>
  <c r="AA44"/>
  <c r="Z44"/>
  <c r="AG44"/>
  <c r="X44"/>
  <c r="Y44"/>
  <c r="X16"/>
  <c r="BC83" s="1"/>
  <c r="BB83" s="1"/>
  <c r="Y16"/>
  <c r="BD83" s="1"/>
  <c r="AF16"/>
  <c r="AC16"/>
  <c r="BF83" s="1"/>
  <c r="Z16"/>
  <c r="AD16"/>
  <c r="AG16"/>
  <c r="AE16"/>
  <c r="BG83" s="1"/>
  <c r="V16"/>
  <c r="AJ16"/>
  <c r="AA16"/>
  <c r="BE83" s="1"/>
  <c r="T16"/>
  <c r="AH16" s="1"/>
  <c r="W16"/>
  <c r="U16"/>
  <c r="AB16"/>
  <c r="AO16"/>
  <c r="AA29"/>
  <c r="U29"/>
  <c r="T29"/>
  <c r="AH29" s="1"/>
  <c r="AF29"/>
  <c r="AJ29"/>
  <c r="Y29"/>
  <c r="X29"/>
  <c r="AD29"/>
  <c r="Z29"/>
  <c r="W29"/>
  <c r="AO29"/>
  <c r="V29"/>
  <c r="AE29"/>
  <c r="AB29"/>
  <c r="AG29"/>
  <c r="AC29"/>
  <c r="AB32"/>
  <c r="AO32"/>
  <c r="V32"/>
  <c r="AC32"/>
  <c r="U32"/>
  <c r="AF32"/>
  <c r="AD32"/>
  <c r="AJ32"/>
  <c r="AG32"/>
  <c r="Y32"/>
  <c r="T32"/>
  <c r="AH32" s="1"/>
  <c r="W32"/>
  <c r="AE32"/>
  <c r="X32"/>
  <c r="AA32"/>
  <c r="Z32"/>
  <c r="AR38" i="8"/>
  <c r="AJ38" s="1"/>
  <c r="AI32" i="105"/>
  <c r="Y32"/>
  <c r="AB32"/>
  <c r="L32" i="107" s="1"/>
  <c r="AG32" i="105"/>
  <c r="Z32"/>
  <c r="AM32"/>
  <c r="AA32"/>
  <c r="AZ32"/>
  <c r="BC32"/>
  <c r="D32" i="107"/>
  <c r="C32" s="1"/>
  <c r="AO32" i="105"/>
  <c r="BA32"/>
  <c r="AD32"/>
  <c r="P32" i="107" s="1"/>
  <c r="AK32" i="105"/>
  <c r="V32"/>
  <c r="AE32"/>
  <c r="AV32"/>
  <c r="AJ32"/>
  <c r="X32"/>
  <c r="U32"/>
  <c r="AC32"/>
  <c r="AF32"/>
  <c r="S32" i="107" s="1"/>
  <c r="AL32" i="105"/>
  <c r="BB32"/>
  <c r="D32" i="224"/>
  <c r="C32" s="1"/>
  <c r="AH32" i="105"/>
  <c r="L32" i="224" s="1"/>
  <c r="W32" i="105"/>
  <c r="AI40"/>
  <c r="Y40"/>
  <c r="AF40"/>
  <c r="S40" i="107" s="1"/>
  <c r="AZ40" i="105"/>
  <c r="AA40"/>
  <c r="AL40"/>
  <c r="U40"/>
  <c r="BA40"/>
  <c r="Z40"/>
  <c r="BB40"/>
  <c r="D40" i="224"/>
  <c r="C40" s="1"/>
  <c r="W40" i="105"/>
  <c r="AB40"/>
  <c r="L40" i="107" s="1"/>
  <c r="AE40" i="105"/>
  <c r="BC40"/>
  <c r="AD40"/>
  <c r="P40" i="107" s="1"/>
  <c r="AG40" i="105"/>
  <c r="AV40"/>
  <c r="AJ40"/>
  <c r="V40"/>
  <c r="AC40"/>
  <c r="D40" i="107"/>
  <c r="C40" s="1"/>
  <c r="AM40" i="105"/>
  <c r="X40"/>
  <c r="AH40"/>
  <c r="L40" i="224" s="1"/>
  <c r="AK40" i="105"/>
  <c r="AO40"/>
  <c r="AI12"/>
  <c r="Y12"/>
  <c r="D12" i="224"/>
  <c r="C12" s="1"/>
  <c r="AA12" i="105"/>
  <c r="AG12"/>
  <c r="AE12"/>
  <c r="AL12"/>
  <c r="Q12" i="107" s="1"/>
  <c r="D12"/>
  <c r="C12" s="1"/>
  <c r="W12" i="105"/>
  <c r="AD12"/>
  <c r="P12" i="107" s="1"/>
  <c r="AF12" i="105"/>
  <c r="S12" i="107" s="1"/>
  <c r="BC12" i="105"/>
  <c r="AV12"/>
  <c r="AM12"/>
  <c r="T12" i="107" s="1"/>
  <c r="AC12" i="105"/>
  <c r="BB12"/>
  <c r="AO12"/>
  <c r="Y49"/>
  <c r="AI49"/>
  <c r="Z49"/>
  <c r="AH49"/>
  <c r="L49" i="224" s="1"/>
  <c r="AB49" i="105"/>
  <c r="L49" i="107" s="1"/>
  <c r="AV49" i="105"/>
  <c r="AL49"/>
  <c r="X49"/>
  <c r="AJ49"/>
  <c r="AF49"/>
  <c r="S49" i="107" s="1"/>
  <c r="D49"/>
  <c r="C49" s="1"/>
  <c r="AD49" i="105"/>
  <c r="P49" i="107" s="1"/>
  <c r="AO49" i="105"/>
  <c r="AG49"/>
  <c r="W49"/>
  <c r="BC49"/>
  <c r="V49"/>
  <c r="BA49"/>
  <c r="AA49"/>
  <c r="U49"/>
  <c r="AZ49"/>
  <c r="AE49"/>
  <c r="D49" i="224"/>
  <c r="C49" s="1"/>
  <c r="AC49" i="105"/>
  <c r="BB49"/>
  <c r="AK49"/>
  <c r="AM49"/>
  <c r="Y54"/>
  <c r="AD54"/>
  <c r="P54" i="107" s="1"/>
  <c r="AE54" i="105"/>
  <c r="AZ54"/>
  <c r="AL54"/>
  <c r="V54"/>
  <c r="BC54"/>
  <c r="AG54"/>
  <c r="AM54"/>
  <c r="AB54"/>
  <c r="L54" i="107" s="1"/>
  <c r="W54" i="105"/>
  <c r="AH54"/>
  <c r="L54" i="224" s="1"/>
  <c r="X54" i="105"/>
  <c r="D54" i="107"/>
  <c r="C54" s="1"/>
  <c r="AV54" i="105"/>
  <c r="AJ54"/>
  <c r="D54" i="224"/>
  <c r="C54" s="1"/>
  <c r="AF54" i="105"/>
  <c r="S54" i="107" s="1"/>
  <c r="Z54" i="105"/>
  <c r="BA54"/>
  <c r="BB54"/>
  <c r="AK54"/>
  <c r="AI54"/>
  <c r="AA54"/>
  <c r="AC54"/>
  <c r="AO54"/>
  <c r="U54"/>
  <c r="AI17"/>
  <c r="D17" i="224"/>
  <c r="C17" s="1"/>
  <c r="BB17" i="105"/>
  <c r="AE17"/>
  <c r="AA17"/>
  <c r="Y17"/>
  <c r="BC17"/>
  <c r="W17"/>
  <c r="AV17"/>
  <c r="AL17"/>
  <c r="Q17" i="107" s="1"/>
  <c r="AO17" i="105"/>
  <c r="AF17"/>
  <c r="S17" i="107" s="1"/>
  <c r="AM17" i="105"/>
  <c r="T17" i="107" s="1"/>
  <c r="D17"/>
  <c r="C17" s="1"/>
  <c r="AG17" i="105"/>
  <c r="AC17"/>
  <c r="AD17"/>
  <c r="P17" i="107" s="1"/>
  <c r="G53" i="88"/>
  <c r="K53"/>
  <c r="H53"/>
  <c r="AR39" i="8"/>
  <c r="AJ39" s="1"/>
  <c r="AZ29" i="105"/>
  <c r="I22" i="168"/>
  <c r="N22" s="1"/>
  <c r="I26" i="170"/>
  <c r="O26" s="1"/>
  <c r="AD26" i="1"/>
  <c r="I27" i="168"/>
  <c r="J27" s="1"/>
  <c r="I26"/>
  <c r="L26" s="1"/>
  <c r="I25" i="170"/>
  <c r="L25" s="1"/>
  <c r="I24"/>
  <c r="L24" s="1"/>
  <c r="AS19" i="211"/>
  <c r="G19"/>
  <c r="I28" i="170"/>
  <c r="O28" s="1"/>
  <c r="I30"/>
  <c r="J30" s="1"/>
  <c r="I27"/>
  <c r="N27" s="1"/>
  <c r="I30" i="168"/>
  <c r="L30" s="1"/>
  <c r="I60" i="88"/>
  <c r="I22" i="170"/>
  <c r="J22" s="1"/>
  <c r="I22" i="88"/>
  <c r="Q206" i="8"/>
  <c r="L206"/>
  <c r="P206"/>
  <c r="N206"/>
  <c r="J206"/>
  <c r="R206"/>
  <c r="T206"/>
  <c r="G206"/>
  <c r="M206"/>
  <c r="U206"/>
  <c r="F206"/>
  <c r="W206"/>
  <c r="V206"/>
  <c r="E206"/>
  <c r="O206"/>
  <c r="S206"/>
  <c r="L186"/>
  <c r="S186"/>
  <c r="O186"/>
  <c r="W186"/>
  <c r="J186"/>
  <c r="C186"/>
  <c r="N186"/>
  <c r="T186"/>
  <c r="G186"/>
  <c r="U186"/>
  <c r="I174"/>
  <c r="C174"/>
  <c r="X174"/>
  <c r="P174"/>
  <c r="V174"/>
  <c r="D174"/>
  <c r="L174"/>
  <c r="J174"/>
  <c r="Q174"/>
  <c r="O174"/>
  <c r="N174"/>
  <c r="AK20" i="105" s="1"/>
  <c r="R174" i="8"/>
  <c r="W174"/>
  <c r="U174"/>
  <c r="M174"/>
  <c r="T174"/>
  <c r="P207"/>
  <c r="N213"/>
  <c r="Q213"/>
  <c r="L213"/>
  <c r="O213"/>
  <c r="V213"/>
  <c r="G213"/>
  <c r="R213"/>
  <c r="T213"/>
  <c r="U207"/>
  <c r="T207"/>
  <c r="J207"/>
  <c r="G207"/>
  <c r="F207"/>
  <c r="O207"/>
  <c r="M207"/>
  <c r="L207"/>
  <c r="E207"/>
  <c r="V207"/>
  <c r="R207"/>
  <c r="W207"/>
  <c r="N207"/>
  <c r="K207"/>
  <c r="X213"/>
  <c r="K213"/>
  <c r="P213"/>
  <c r="U213"/>
  <c r="F186"/>
  <c r="X186"/>
  <c r="V186"/>
  <c r="D186"/>
  <c r="P186"/>
  <c r="L168"/>
  <c r="W168"/>
  <c r="I168"/>
  <c r="H168"/>
  <c r="S168"/>
  <c r="L183"/>
  <c r="W213"/>
  <c r="I186"/>
  <c r="G173"/>
  <c r="D207"/>
  <c r="D213"/>
  <c r="X206"/>
  <c r="R186"/>
  <c r="J213"/>
  <c r="R168"/>
  <c r="K169"/>
  <c r="I207"/>
  <c r="S174"/>
  <c r="F168"/>
  <c r="F174"/>
  <c r="M186"/>
  <c r="H173"/>
  <c r="N168"/>
  <c r="AK14" i="105" s="1"/>
  <c r="T168" i="8"/>
  <c r="K206"/>
  <c r="C181"/>
  <c r="E213"/>
  <c r="Q186"/>
  <c r="I206"/>
  <c r="H167"/>
  <c r="C213"/>
  <c r="I213"/>
  <c r="S213"/>
  <c r="M213"/>
  <c r="G174"/>
  <c r="Q207"/>
  <c r="S207"/>
  <c r="Q168"/>
  <c r="H197"/>
  <c r="D197"/>
  <c r="K168"/>
  <c r="X207"/>
  <c r="U168"/>
  <c r="D181"/>
  <c r="C173"/>
  <c r="M168"/>
  <c r="X168"/>
  <c r="D190"/>
  <c r="M183"/>
  <c r="H169"/>
  <c r="G175"/>
  <c r="H181"/>
  <c r="P168"/>
  <c r="E197"/>
  <c r="E181"/>
  <c r="O168"/>
  <c r="V168"/>
  <c r="G168"/>
  <c r="E168"/>
  <c r="D168"/>
  <c r="E169"/>
  <c r="AZ14" i="105"/>
  <c r="AZ17"/>
  <c r="C167" i="8"/>
  <c r="N23" i="168"/>
  <c r="J23"/>
  <c r="O23"/>
  <c r="L23"/>
  <c r="I61" i="88"/>
  <c r="L117" i="8"/>
  <c r="V117"/>
  <c r="F117"/>
  <c r="U157"/>
  <c r="R144"/>
  <c r="X117"/>
  <c r="O144"/>
  <c r="T157"/>
  <c r="L144"/>
  <c r="J81"/>
  <c r="K112"/>
  <c r="L135"/>
  <c r="D117"/>
  <c r="E118"/>
  <c r="G145"/>
  <c r="H135"/>
  <c r="V100"/>
  <c r="O112"/>
  <c r="V118"/>
  <c r="V145"/>
  <c r="I135"/>
  <c r="I112"/>
  <c r="L94"/>
  <c r="X138"/>
  <c r="S145"/>
  <c r="P145"/>
  <c r="E138"/>
  <c r="E69"/>
  <c r="L112"/>
  <c r="J145"/>
  <c r="P94"/>
  <c r="S135"/>
  <c r="C104"/>
  <c r="H112"/>
  <c r="W100"/>
  <c r="D152"/>
  <c r="K146"/>
  <c r="M158"/>
  <c r="P118"/>
  <c r="U100"/>
  <c r="X112"/>
  <c r="I100"/>
  <c r="X158"/>
  <c r="E158"/>
  <c r="K126"/>
  <c r="U156"/>
  <c r="X126"/>
  <c r="U117"/>
  <c r="T126"/>
  <c r="C79"/>
  <c r="E145"/>
  <c r="M138"/>
  <c r="E126"/>
  <c r="F118"/>
  <c r="R94"/>
  <c r="J118"/>
  <c r="O135"/>
  <c r="W146"/>
  <c r="R158"/>
  <c r="F112"/>
  <c r="C100"/>
  <c r="P158"/>
  <c r="Q126"/>
  <c r="E156"/>
  <c r="P156"/>
  <c r="P144"/>
  <c r="X156"/>
  <c r="R117"/>
  <c r="K118"/>
  <c r="E100"/>
  <c r="E112"/>
  <c r="G135"/>
  <c r="W138"/>
  <c r="U118"/>
  <c r="T118"/>
  <c r="R135"/>
  <c r="U94"/>
  <c r="D158"/>
  <c r="U126"/>
  <c r="N144"/>
  <c r="R126"/>
  <c r="E157"/>
  <c r="Q146"/>
  <c r="H97"/>
  <c r="N157"/>
  <c r="Q118"/>
  <c r="T135"/>
  <c r="D69"/>
  <c r="H117"/>
  <c r="F69"/>
  <c r="K158"/>
  <c r="T117"/>
  <c r="C136"/>
  <c r="S117"/>
  <c r="W156"/>
  <c r="O117"/>
  <c r="Q117"/>
  <c r="N156"/>
  <c r="K117"/>
  <c r="I144"/>
  <c r="M157"/>
  <c r="M144"/>
  <c r="C80"/>
  <c r="M100"/>
  <c r="D138"/>
  <c r="E85"/>
  <c r="N145"/>
  <c r="N112"/>
  <c r="I127"/>
  <c r="R112"/>
  <c r="L145"/>
  <c r="C112"/>
  <c r="J138"/>
  <c r="P112"/>
  <c r="V94"/>
  <c r="I138"/>
  <c r="L118"/>
  <c r="D119"/>
  <c r="D118"/>
  <c r="N138"/>
  <c r="M94"/>
  <c r="W94"/>
  <c r="D126"/>
  <c r="J146"/>
  <c r="M139"/>
  <c r="C143"/>
  <c r="Z41"/>
  <c r="U135"/>
  <c r="N158"/>
  <c r="J100"/>
  <c r="R118"/>
  <c r="H159"/>
  <c r="P139"/>
  <c r="M145"/>
  <c r="R145"/>
  <c r="L158"/>
  <c r="Q158"/>
  <c r="J158"/>
  <c r="T158"/>
  <c r="J123"/>
  <c r="T123"/>
  <c r="V123"/>
  <c r="H157"/>
  <c r="M126"/>
  <c r="J117"/>
  <c r="I157"/>
  <c r="K156"/>
  <c r="U144"/>
  <c r="C129"/>
  <c r="I139"/>
  <c r="I97"/>
  <c r="M112"/>
  <c r="X145"/>
  <c r="D129"/>
  <c r="Z47"/>
  <c r="K113"/>
  <c r="F146"/>
  <c r="Q145"/>
  <c r="K151"/>
  <c r="N123"/>
  <c r="I117"/>
  <c r="O157"/>
  <c r="S157"/>
  <c r="J126"/>
  <c r="N117"/>
  <c r="S118"/>
  <c r="Q112"/>
  <c r="D135"/>
  <c r="M146"/>
  <c r="E135"/>
  <c r="F159"/>
  <c r="L95"/>
  <c r="H145"/>
  <c r="D112"/>
  <c r="S94"/>
  <c r="V151"/>
  <c r="P123"/>
  <c r="W126"/>
  <c r="X157"/>
  <c r="G144"/>
  <c r="M156"/>
  <c r="G126"/>
  <c r="C117"/>
  <c r="C146"/>
  <c r="S138"/>
  <c r="F138"/>
  <c r="E94"/>
  <c r="P146"/>
  <c r="C70"/>
  <c r="Q100"/>
  <c r="H120"/>
  <c r="N94"/>
  <c r="G123"/>
  <c r="O126"/>
  <c r="G117"/>
  <c r="H156"/>
  <c r="P126"/>
  <c r="R156"/>
  <c r="F157"/>
  <c r="K134"/>
  <c r="P117"/>
  <c r="J156"/>
  <c r="S126"/>
  <c r="R134"/>
  <c r="W117"/>
  <c r="M117"/>
  <c r="L156"/>
  <c r="H134"/>
  <c r="N86"/>
  <c r="C118"/>
  <c r="H68"/>
  <c r="G138"/>
  <c r="T138"/>
  <c r="C144"/>
  <c r="W139"/>
  <c r="O94"/>
  <c r="F122"/>
  <c r="K145"/>
  <c r="U112"/>
  <c r="J115"/>
  <c r="O100"/>
  <c r="P135"/>
  <c r="U146"/>
  <c r="N118"/>
  <c r="O118"/>
  <c r="T139"/>
  <c r="F135"/>
  <c r="N146"/>
  <c r="D122"/>
  <c r="K135"/>
  <c r="E151"/>
  <c r="M135"/>
  <c r="U145"/>
  <c r="X139"/>
  <c r="O122"/>
  <c r="C152"/>
  <c r="J70"/>
  <c r="C135"/>
  <c r="E120"/>
  <c r="Q94"/>
  <c r="S139"/>
  <c r="X122"/>
  <c r="T146"/>
  <c r="T112"/>
  <c r="C151"/>
  <c r="S151"/>
  <c r="X151"/>
  <c r="Q149"/>
  <c r="H158"/>
  <c r="F158"/>
  <c r="O123"/>
  <c r="U123"/>
  <c r="X144"/>
  <c r="T156"/>
  <c r="D156"/>
  <c r="L126"/>
  <c r="F134"/>
  <c r="K100"/>
  <c r="I145"/>
  <c r="K138"/>
  <c r="V146"/>
  <c r="O146"/>
  <c r="R151"/>
  <c r="C153"/>
  <c r="W145"/>
  <c r="K120"/>
  <c r="V135"/>
  <c r="O151"/>
  <c r="C121"/>
  <c r="L151"/>
  <c r="M123"/>
  <c r="I156"/>
  <c r="W144"/>
  <c r="I126"/>
  <c r="V126"/>
  <c r="Q157"/>
  <c r="H79"/>
  <c r="X146"/>
  <c r="O133"/>
  <c r="J114"/>
  <c r="G118"/>
  <c r="I118"/>
  <c r="X94"/>
  <c r="X118"/>
  <c r="D146"/>
  <c r="T94"/>
  <c r="L100"/>
  <c r="S112"/>
  <c r="C114"/>
  <c r="Q135"/>
  <c r="F151"/>
  <c r="L123"/>
  <c r="N134"/>
  <c r="V144"/>
  <c r="P157"/>
  <c r="L157"/>
  <c r="G156"/>
  <c r="E144"/>
  <c r="W135"/>
  <c r="T122"/>
  <c r="L138"/>
  <c r="M113"/>
  <c r="G122"/>
  <c r="G100"/>
  <c r="F133"/>
  <c r="W133"/>
  <c r="J151"/>
  <c r="S149"/>
  <c r="S158"/>
  <c r="G134"/>
  <c r="V157"/>
  <c r="S144"/>
  <c r="S134"/>
  <c r="K144"/>
  <c r="C156"/>
  <c r="C157"/>
  <c r="Q134"/>
  <c r="W134"/>
  <c r="D157"/>
  <c r="F144"/>
  <c r="V156"/>
  <c r="F126"/>
  <c r="F156"/>
  <c r="H118"/>
  <c r="W112"/>
  <c r="O138"/>
  <c r="L146"/>
  <c r="L139"/>
  <c r="M118"/>
  <c r="S100"/>
  <c r="R138"/>
  <c r="C122"/>
  <c r="V112"/>
  <c r="K94"/>
  <c r="J122"/>
  <c r="U139"/>
  <c r="J136"/>
  <c r="P100"/>
  <c r="E132"/>
  <c r="E122"/>
  <c r="R133"/>
  <c r="T100"/>
  <c r="M151"/>
  <c r="J112"/>
  <c r="K122"/>
  <c r="H132"/>
  <c r="N139"/>
  <c r="O145"/>
  <c r="Q138"/>
  <c r="R146"/>
  <c r="J119"/>
  <c r="H153"/>
  <c r="F145"/>
  <c r="W158"/>
  <c r="O158"/>
  <c r="G149"/>
  <c r="C145"/>
  <c r="O149"/>
  <c r="E117"/>
  <c r="H146"/>
  <c r="L133"/>
  <c r="C94"/>
  <c r="U151"/>
  <c r="V149"/>
  <c r="W149"/>
  <c r="U158"/>
  <c r="I158"/>
  <c r="W123"/>
  <c r="C123"/>
  <c r="N126"/>
  <c r="W157"/>
  <c r="E134"/>
  <c r="L134"/>
  <c r="H126"/>
  <c r="T144"/>
  <c r="R157"/>
  <c r="T134"/>
  <c r="C126"/>
  <c r="Q156"/>
  <c r="G157"/>
  <c r="J144"/>
  <c r="I134"/>
  <c r="O156"/>
  <c r="J157"/>
  <c r="S156"/>
  <c r="C86"/>
  <c r="H144"/>
  <c r="H121"/>
  <c r="R100"/>
  <c r="H138"/>
  <c r="M122"/>
  <c r="Q122"/>
  <c r="F100"/>
  <c r="G70"/>
  <c r="D145"/>
  <c r="H152"/>
  <c r="G146"/>
  <c r="E146"/>
  <c r="G139"/>
  <c r="S146"/>
  <c r="W151"/>
  <c r="J133"/>
  <c r="D94"/>
  <c r="G151"/>
  <c r="D100"/>
  <c r="I94"/>
  <c r="K132"/>
  <c r="V138"/>
  <c r="F139"/>
  <c r="T145"/>
  <c r="U138"/>
  <c r="W118"/>
  <c r="C139"/>
  <c r="C138"/>
  <c r="N135"/>
  <c r="D144"/>
  <c r="K157"/>
  <c r="Q139"/>
  <c r="M149"/>
  <c r="I122"/>
  <c r="V124"/>
  <c r="X135"/>
  <c r="D133"/>
  <c r="X149"/>
  <c r="H100"/>
  <c r="T151"/>
  <c r="K149"/>
  <c r="H149"/>
  <c r="N124"/>
  <c r="V158"/>
  <c r="G158"/>
  <c r="Q123"/>
  <c r="K123"/>
  <c r="Q144"/>
  <c r="E133"/>
  <c r="P138"/>
  <c r="X133"/>
  <c r="J139"/>
  <c r="J94"/>
  <c r="J149"/>
  <c r="G133"/>
  <c r="I146"/>
  <c r="X100"/>
  <c r="G112"/>
  <c r="O124"/>
  <c r="I123"/>
  <c r="F94"/>
  <c r="G94"/>
  <c r="H94"/>
  <c r="I133"/>
  <c r="N151"/>
  <c r="P151"/>
  <c r="X123"/>
  <c r="S123"/>
  <c r="H123"/>
  <c r="R123"/>
  <c r="V134"/>
  <c r="O134"/>
  <c r="D134"/>
  <c r="M134"/>
  <c r="J134"/>
  <c r="U134"/>
  <c r="P134"/>
  <c r="X134"/>
  <c r="V139"/>
  <c r="D139"/>
  <c r="R139"/>
  <c r="O139"/>
  <c r="H139"/>
  <c r="K139"/>
  <c r="Q151"/>
  <c r="D151"/>
  <c r="T149"/>
  <c r="D149"/>
  <c r="R149"/>
  <c r="P149"/>
  <c r="F149"/>
  <c r="N149"/>
  <c r="C149"/>
  <c r="U149"/>
  <c r="I149"/>
  <c r="E149"/>
  <c r="H124"/>
  <c r="P124"/>
  <c r="X124"/>
  <c r="I124"/>
  <c r="F124"/>
  <c r="T124"/>
  <c r="D124"/>
  <c r="N122"/>
  <c r="U122"/>
  <c r="L122"/>
  <c r="S122"/>
  <c r="R122"/>
  <c r="V122"/>
  <c r="P122"/>
  <c r="W122"/>
  <c r="T133"/>
  <c r="K133"/>
  <c r="Q133"/>
  <c r="P133"/>
  <c r="S133"/>
  <c r="N133"/>
  <c r="U133"/>
  <c r="V133"/>
  <c r="M133"/>
  <c r="L140"/>
  <c r="H140"/>
  <c r="F140"/>
  <c r="E140"/>
  <c r="U140"/>
  <c r="M140"/>
  <c r="K140"/>
  <c r="J140"/>
  <c r="O140"/>
  <c r="W140"/>
  <c r="V140"/>
  <c r="P140"/>
  <c r="Q140"/>
  <c r="G140"/>
  <c r="R140"/>
  <c r="X140"/>
  <c r="D140"/>
  <c r="T140"/>
  <c r="S140"/>
  <c r="I140"/>
  <c r="L124"/>
  <c r="E124"/>
  <c r="U124"/>
  <c r="R124"/>
  <c r="M124"/>
  <c r="Q124"/>
  <c r="W124"/>
  <c r="S124"/>
  <c r="I194" l="1"/>
  <c r="S194"/>
  <c r="T194"/>
  <c r="D194"/>
  <c r="X194"/>
  <c r="R194"/>
  <c r="G194"/>
  <c r="Q194"/>
  <c r="P194"/>
  <c r="V194"/>
  <c r="W194"/>
  <c r="O194"/>
  <c r="J194"/>
  <c r="K194"/>
  <c r="M194"/>
  <c r="U194"/>
  <c r="E194"/>
  <c r="F194"/>
  <c r="H194"/>
  <c r="L194"/>
  <c r="X188"/>
  <c r="P188"/>
  <c r="U188"/>
  <c r="M188"/>
  <c r="D188"/>
  <c r="O188"/>
  <c r="V188"/>
  <c r="Q198"/>
  <c r="S210"/>
  <c r="J211"/>
  <c r="O210"/>
  <c r="I188"/>
  <c r="J198"/>
  <c r="G211"/>
  <c r="Q210"/>
  <c r="C180"/>
  <c r="T188"/>
  <c r="R211"/>
  <c r="T198"/>
  <c r="H180"/>
  <c r="L188"/>
  <c r="E188"/>
  <c r="W211"/>
  <c r="N180"/>
  <c r="AK26" i="105" s="1"/>
  <c r="F210" i="8"/>
  <c r="F180"/>
  <c r="V210"/>
  <c r="F198"/>
  <c r="D211"/>
  <c r="W188"/>
  <c r="Q188"/>
  <c r="C211"/>
  <c r="C210"/>
  <c r="K198"/>
  <c r="S188"/>
  <c r="S198"/>
  <c r="V211"/>
  <c r="G188"/>
  <c r="G210"/>
  <c r="L211"/>
  <c r="P211"/>
  <c r="V198"/>
  <c r="N188"/>
  <c r="Q211"/>
  <c r="V180"/>
  <c r="I180"/>
  <c r="W198"/>
  <c r="I210"/>
  <c r="F188"/>
  <c r="L180"/>
  <c r="D210"/>
  <c r="T210"/>
  <c r="X198"/>
  <c r="H188"/>
  <c r="L210"/>
  <c r="M171"/>
  <c r="W171"/>
  <c r="R188"/>
  <c r="S180"/>
  <c r="J210"/>
  <c r="P171"/>
  <c r="K188"/>
  <c r="F211"/>
  <c r="R210"/>
  <c r="P180"/>
  <c r="H210"/>
  <c r="G171"/>
  <c r="O180"/>
  <c r="G180"/>
  <c r="M210"/>
  <c r="G198"/>
  <c r="X211"/>
  <c r="W180"/>
  <c r="N171"/>
  <c r="AK17" i="105" s="1"/>
  <c r="N17" i="107" s="1"/>
  <c r="J180" i="8"/>
  <c r="S211"/>
  <c r="O211"/>
  <c r="I171"/>
  <c r="U198"/>
  <c r="K210"/>
  <c r="I211"/>
  <c r="J171"/>
  <c r="M180"/>
  <c r="H211"/>
  <c r="M198"/>
  <c r="M211"/>
  <c r="I198"/>
  <c r="K171"/>
  <c r="N210"/>
  <c r="Q171"/>
  <c r="O171"/>
  <c r="W210"/>
  <c r="S171"/>
  <c r="C190"/>
  <c r="T171"/>
  <c r="E211"/>
  <c r="R180"/>
  <c r="N198"/>
  <c r="U180"/>
  <c r="R171"/>
  <c r="X210"/>
  <c r="P198"/>
  <c r="P210"/>
  <c r="E210"/>
  <c r="Q180"/>
  <c r="T180"/>
  <c r="U171"/>
  <c r="X180"/>
  <c r="U210"/>
  <c r="K180"/>
  <c r="L198"/>
  <c r="T211"/>
  <c r="O198"/>
  <c r="X171"/>
  <c r="R198"/>
  <c r="U211"/>
  <c r="F171"/>
  <c r="V171"/>
  <c r="L171"/>
  <c r="H17" i="107"/>
  <c r="I64" i="88"/>
  <c r="J188" i="8"/>
  <c r="J173"/>
  <c r="C197"/>
  <c r="D183"/>
  <c r="M167"/>
  <c r="AZ22" i="105"/>
  <c r="AW22" s="1"/>
  <c r="AR22" s="1"/>
  <c r="AZ23"/>
  <c r="AW23" s="1"/>
  <c r="G203" i="8"/>
  <c r="K203"/>
  <c r="U203"/>
  <c r="F203"/>
  <c r="E203"/>
  <c r="X203"/>
  <c r="R203"/>
  <c r="M203"/>
  <c r="H203"/>
  <c r="V203"/>
  <c r="O203"/>
  <c r="J203"/>
  <c r="Q203"/>
  <c r="N203"/>
  <c r="D203"/>
  <c r="I203"/>
  <c r="W203"/>
  <c r="S203"/>
  <c r="T203"/>
  <c r="N193"/>
  <c r="J193"/>
  <c r="T193"/>
  <c r="C193"/>
  <c r="P193"/>
  <c r="D193"/>
  <c r="U193"/>
  <c r="K193"/>
  <c r="F193"/>
  <c r="R193"/>
  <c r="X193"/>
  <c r="V193"/>
  <c r="S193"/>
  <c r="L193"/>
  <c r="G193"/>
  <c r="W193"/>
  <c r="H193"/>
  <c r="M193"/>
  <c r="C176"/>
  <c r="N176"/>
  <c r="AK22" i="105" s="1"/>
  <c r="N22" i="107" s="1"/>
  <c r="M176" i="8"/>
  <c r="Q193"/>
  <c r="E172"/>
  <c r="P203"/>
  <c r="I193"/>
  <c r="J187"/>
  <c r="F176"/>
  <c r="V189"/>
  <c r="O187"/>
  <c r="L176"/>
  <c r="K187"/>
  <c r="G176"/>
  <c r="O193"/>
  <c r="E189"/>
  <c r="S189"/>
  <c r="V187"/>
  <c r="E187"/>
  <c r="X187"/>
  <c r="M172"/>
  <c r="S176"/>
  <c r="X189"/>
  <c r="U172"/>
  <c r="L187"/>
  <c r="R172"/>
  <c r="P187"/>
  <c r="J176"/>
  <c r="R189"/>
  <c r="K189"/>
  <c r="L172"/>
  <c r="V176"/>
  <c r="W189"/>
  <c r="Q189"/>
  <c r="W187"/>
  <c r="Q172"/>
  <c r="P172"/>
  <c r="E176"/>
  <c r="F189"/>
  <c r="F187"/>
  <c r="K172"/>
  <c r="V172"/>
  <c r="Q176"/>
  <c r="K176"/>
  <c r="N172"/>
  <c r="AK18" i="105" s="1"/>
  <c r="N18" i="107" s="1"/>
  <c r="D189" i="8"/>
  <c r="J190"/>
  <c r="Q187"/>
  <c r="U176"/>
  <c r="T189"/>
  <c r="O176"/>
  <c r="C189"/>
  <c r="W176"/>
  <c r="T176"/>
  <c r="I176"/>
  <c r="I187"/>
  <c r="D187"/>
  <c r="T187"/>
  <c r="N189"/>
  <c r="N187"/>
  <c r="P176"/>
  <c r="I189"/>
  <c r="K174"/>
  <c r="L189"/>
  <c r="F172"/>
  <c r="X176"/>
  <c r="D176"/>
  <c r="S187"/>
  <c r="O172"/>
  <c r="R187"/>
  <c r="T172"/>
  <c r="R176"/>
  <c r="G172"/>
  <c r="P189"/>
  <c r="H189"/>
  <c r="W172"/>
  <c r="U189"/>
  <c r="H172"/>
  <c r="I172"/>
  <c r="O189"/>
  <c r="M189"/>
  <c r="U187"/>
  <c r="D172"/>
  <c r="G187"/>
  <c r="C172"/>
  <c r="M187"/>
  <c r="S172"/>
  <c r="X172"/>
  <c r="I26" i="88"/>
  <c r="AX26" i="105"/>
  <c r="M47" i="107"/>
  <c r="AX27" i="105"/>
  <c r="I59" i="88"/>
  <c r="I41"/>
  <c r="H62"/>
  <c r="G62"/>
  <c r="AW27" i="105"/>
  <c r="M13" i="107"/>
  <c r="AX13" i="105"/>
  <c r="M35" i="107"/>
  <c r="M34"/>
  <c r="M28"/>
  <c r="M51"/>
  <c r="M26"/>
  <c r="M25"/>
  <c r="M21"/>
  <c r="AS47" i="8"/>
  <c r="AK47" s="1"/>
  <c r="I47" i="88"/>
  <c r="AP41" i="8"/>
  <c r="AH41" s="1"/>
  <c r="AA47"/>
  <c r="AR47"/>
  <c r="AJ47" s="1"/>
  <c r="AS41"/>
  <c r="AK41" s="1"/>
  <c r="AG47"/>
  <c r="M55" i="124" s="1"/>
  <c r="M54" i="105"/>
  <c r="AT47" i="8"/>
  <c r="AQ47"/>
  <c r="AI47" s="1"/>
  <c r="G56" i="88"/>
  <c r="H56"/>
  <c r="M48" i="105"/>
  <c r="AT41" i="8"/>
  <c r="AG41"/>
  <c r="M49" i="124" s="1"/>
  <c r="M50" i="107"/>
  <c r="M17"/>
  <c r="M12"/>
  <c r="AW26" i="105"/>
  <c r="AR41" i="8"/>
  <c r="AJ41" s="1"/>
  <c r="AA41"/>
  <c r="B13" i="212" s="1"/>
  <c r="E15" i="213" s="1"/>
  <c r="M33" i="107"/>
  <c r="M52"/>
  <c r="M37"/>
  <c r="AW20" i="105"/>
  <c r="AR20" s="1"/>
  <c r="M43" i="107"/>
  <c r="AX19" i="105"/>
  <c r="M19" i="107"/>
  <c r="M31"/>
  <c r="M27"/>
  <c r="M22"/>
  <c r="M20"/>
  <c r="AX18" i="105"/>
  <c r="M32" i="107"/>
  <c r="M10"/>
  <c r="H12" i="224"/>
  <c r="M212" i="8"/>
  <c r="V212"/>
  <c r="L212"/>
  <c r="W212"/>
  <c r="E212"/>
  <c r="H212"/>
  <c r="R212"/>
  <c r="G166"/>
  <c r="T205"/>
  <c r="F212"/>
  <c r="O166"/>
  <c r="D173"/>
  <c r="AJ19" i="105" s="1"/>
  <c r="J19" i="224" s="1"/>
  <c r="F19" s="1"/>
  <c r="G205" i="8"/>
  <c r="U205"/>
  <c r="P205"/>
  <c r="Q205"/>
  <c r="K186"/>
  <c r="Q212"/>
  <c r="E166"/>
  <c r="F205"/>
  <c r="D212"/>
  <c r="N205"/>
  <c r="V166"/>
  <c r="X166"/>
  <c r="D166"/>
  <c r="I166"/>
  <c r="C203"/>
  <c r="U212"/>
  <c r="J166"/>
  <c r="M205"/>
  <c r="S212"/>
  <c r="O212"/>
  <c r="N211"/>
  <c r="X212"/>
  <c r="I212"/>
  <c r="Q166"/>
  <c r="L205"/>
  <c r="E205"/>
  <c r="R205"/>
  <c r="K205"/>
  <c r="N212"/>
  <c r="J212"/>
  <c r="J169"/>
  <c r="AJ15" i="105" s="1"/>
  <c r="J15" i="107" s="1"/>
  <c r="F15" s="1"/>
  <c r="P212" i="8"/>
  <c r="O205"/>
  <c r="W166"/>
  <c r="K212"/>
  <c r="W205"/>
  <c r="C166"/>
  <c r="T212"/>
  <c r="X205"/>
  <c r="T166"/>
  <c r="V205"/>
  <c r="J205"/>
  <c r="G212"/>
  <c r="M166"/>
  <c r="S166"/>
  <c r="K211"/>
  <c r="P166"/>
  <c r="K167"/>
  <c r="AJ13" i="105" s="1"/>
  <c r="J13" i="224" s="1"/>
  <c r="F13" s="1"/>
  <c r="K166" i="8"/>
  <c r="C183"/>
  <c r="AJ29" i="105" s="1"/>
  <c r="J29" i="107" s="1"/>
  <c r="F29" s="1"/>
  <c r="H166" i="8"/>
  <c r="F166"/>
  <c r="S205"/>
  <c r="L166"/>
  <c r="C205"/>
  <c r="R166"/>
  <c r="I181"/>
  <c r="AJ27" i="105" s="1"/>
  <c r="J27" i="107" s="1"/>
  <c r="F27" s="1"/>
  <c r="U166" i="8"/>
  <c r="N166"/>
  <c r="AK12" i="105" s="1"/>
  <c r="N12" i="107" s="1"/>
  <c r="AL57" i="124"/>
  <c r="AK52"/>
  <c r="AK34"/>
  <c r="AK60"/>
  <c r="AK44"/>
  <c r="AL36"/>
  <c r="AL49"/>
  <c r="AL56"/>
  <c r="AK58"/>
  <c r="AK31"/>
  <c r="AK24"/>
  <c r="AL19"/>
  <c r="J21" i="168"/>
  <c r="AK29" i="124"/>
  <c r="AL38"/>
  <c r="AK53"/>
  <c r="AL42"/>
  <c r="AK22"/>
  <c r="AK59"/>
  <c r="AK26"/>
  <c r="AL23"/>
  <c r="AX21" i="105"/>
  <c r="AK46" i="124"/>
  <c r="AK51"/>
  <c r="AK28"/>
  <c r="AL40"/>
  <c r="AL47"/>
  <c r="AK43"/>
  <c r="AK54"/>
  <c r="AK32"/>
  <c r="AK55"/>
  <c r="AK45"/>
  <c r="AL35"/>
  <c r="AL33"/>
  <c r="AL37"/>
  <c r="AL48"/>
  <c r="AK27"/>
  <c r="AK25"/>
  <c r="AK30"/>
  <c r="AK50"/>
  <c r="I46" i="88"/>
  <c r="N21" i="168"/>
  <c r="V21" s="1"/>
  <c r="J23" i="170"/>
  <c r="O27"/>
  <c r="T27" s="1"/>
  <c r="L27"/>
  <c r="Y27" s="1"/>
  <c r="J27"/>
  <c r="AW12" i="105"/>
  <c r="J25" i="170"/>
  <c r="L21" i="168"/>
  <c r="Y21" s="1"/>
  <c r="J28" i="170"/>
  <c r="N28" i="168"/>
  <c r="V28" s="1"/>
  <c r="L30" i="170"/>
  <c r="O30"/>
  <c r="T30" s="1"/>
  <c r="J25" i="168"/>
  <c r="J20"/>
  <c r="N30" i="170"/>
  <c r="AC30" s="1"/>
  <c r="AO30" s="1"/>
  <c r="AX12" i="105"/>
  <c r="AW29"/>
  <c r="AR29" s="1"/>
  <c r="O26" i="168"/>
  <c r="R26" s="1"/>
  <c r="J29" i="170"/>
  <c r="AX20" i="105"/>
  <c r="O23" i="170"/>
  <c r="R23" s="1"/>
  <c r="N23"/>
  <c r="AC23" s="1"/>
  <c r="AO23" s="1"/>
  <c r="J28" i="168"/>
  <c r="L29" i="170"/>
  <c r="R29" s="1"/>
  <c r="AW19" i="105"/>
  <c r="AQ19" s="1"/>
  <c r="L21" i="170"/>
  <c r="Z21" s="1"/>
  <c r="N21"/>
  <c r="Q21" s="1"/>
  <c r="L29" i="168"/>
  <c r="P29" s="1"/>
  <c r="AF29" s="1"/>
  <c r="AH29" s="1"/>
  <c r="L28"/>
  <c r="P28" s="1"/>
  <c r="AF28" s="1"/>
  <c r="AH28" s="1"/>
  <c r="N29" i="170"/>
  <c r="Q29" s="1"/>
  <c r="O20" i="168"/>
  <c r="T20" s="1"/>
  <c r="I13" i="211"/>
  <c r="W178" i="8"/>
  <c r="P178"/>
  <c r="D178"/>
  <c r="S178"/>
  <c r="F178"/>
  <c r="H178"/>
  <c r="N178"/>
  <c r="AK24" i="105" s="1"/>
  <c r="N24" i="107" s="1"/>
  <c r="Q178" i="8"/>
  <c r="I178"/>
  <c r="V178"/>
  <c r="X178"/>
  <c r="E178"/>
  <c r="M178"/>
  <c r="L178"/>
  <c r="R178"/>
  <c r="U178"/>
  <c r="O178"/>
  <c r="U177"/>
  <c r="T177"/>
  <c r="L177"/>
  <c r="N177"/>
  <c r="AK23" i="105" s="1"/>
  <c r="N23" i="107" s="1"/>
  <c r="I177" i="8"/>
  <c r="O177"/>
  <c r="G177"/>
  <c r="V177"/>
  <c r="S177"/>
  <c r="H177"/>
  <c r="K177"/>
  <c r="C177"/>
  <c r="P177"/>
  <c r="T178"/>
  <c r="S200"/>
  <c r="W177"/>
  <c r="E200"/>
  <c r="M177"/>
  <c r="H199"/>
  <c r="I199"/>
  <c r="V199"/>
  <c r="W192"/>
  <c r="X177"/>
  <c r="X200"/>
  <c r="G192"/>
  <c r="J199"/>
  <c r="AZ24" i="105"/>
  <c r="AW24" s="1"/>
  <c r="J172" i="8"/>
  <c r="O199"/>
  <c r="J192"/>
  <c r="P200"/>
  <c r="G200"/>
  <c r="J200"/>
  <c r="J177"/>
  <c r="R177"/>
  <c r="Q177"/>
  <c r="Q192"/>
  <c r="G199"/>
  <c r="K192"/>
  <c r="H200"/>
  <c r="R200"/>
  <c r="C200"/>
  <c r="I200"/>
  <c r="M192"/>
  <c r="E192"/>
  <c r="R192"/>
  <c r="S199"/>
  <c r="C199"/>
  <c r="O200"/>
  <c r="V200"/>
  <c r="F199"/>
  <c r="G189"/>
  <c r="K199"/>
  <c r="T199"/>
  <c r="X199"/>
  <c r="P192"/>
  <c r="C175"/>
  <c r="U192"/>
  <c r="P199"/>
  <c r="X192"/>
  <c r="D192"/>
  <c r="S192"/>
  <c r="N199"/>
  <c r="E199"/>
  <c r="Q199"/>
  <c r="K200"/>
  <c r="C192"/>
  <c r="D199"/>
  <c r="F192"/>
  <c r="N200"/>
  <c r="T192"/>
  <c r="I192"/>
  <c r="V192"/>
  <c r="M199"/>
  <c r="H175"/>
  <c r="H192"/>
  <c r="Q200"/>
  <c r="D200"/>
  <c r="L200"/>
  <c r="N192"/>
  <c r="U199"/>
  <c r="R199"/>
  <c r="J168"/>
  <c r="W199"/>
  <c r="M200"/>
  <c r="D205"/>
  <c r="W200"/>
  <c r="U200"/>
  <c r="T200"/>
  <c r="L192"/>
  <c r="L199"/>
  <c r="F200"/>
  <c r="O192"/>
  <c r="J24" i="170"/>
  <c r="N24"/>
  <c r="Q24" s="1"/>
  <c r="L24" i="168"/>
  <c r="Z24" s="1"/>
  <c r="L22"/>
  <c r="Y22" s="1"/>
  <c r="I32" i="88"/>
  <c r="N29" i="168"/>
  <c r="V29" s="1"/>
  <c r="N20"/>
  <c r="Q20" s="1"/>
  <c r="O22"/>
  <c r="L26" i="170"/>
  <c r="R26" s="1"/>
  <c r="O24"/>
  <c r="N24" i="168"/>
  <c r="Q24" s="1"/>
  <c r="J22"/>
  <c r="J20" i="170"/>
  <c r="J29" i="168"/>
  <c r="I53" i="88"/>
  <c r="O24" i="168"/>
  <c r="T24" s="1"/>
  <c r="L19" i="170"/>
  <c r="R19" s="1"/>
  <c r="O25"/>
  <c r="P25" s="1"/>
  <c r="AN25" s="1"/>
  <c r="AS25" s="1"/>
  <c r="I14" i="211"/>
  <c r="AW13" i="105"/>
  <c r="AW18"/>
  <c r="M47" i="219"/>
  <c r="F43" i="8"/>
  <c r="S43" i="6"/>
  <c r="Q43" i="8"/>
  <c r="X47" i="219"/>
  <c r="AD43" i="6"/>
  <c r="Y43"/>
  <c r="L43" i="8"/>
  <c r="S47" i="219"/>
  <c r="R43" i="6"/>
  <c r="L47" i="219"/>
  <c r="E43" i="8"/>
  <c r="Q43" i="6"/>
  <c r="K47" i="219"/>
  <c r="D43" i="8"/>
  <c r="W47" i="219"/>
  <c r="P43" i="8"/>
  <c r="AC43" i="6"/>
  <c r="U43"/>
  <c r="H43" i="8"/>
  <c r="O47" i="219"/>
  <c r="AD44"/>
  <c r="W40" i="8"/>
  <c r="AJ38" i="6"/>
  <c r="P43"/>
  <c r="C43" i="8"/>
  <c r="J47" i="219"/>
  <c r="U47"/>
  <c r="N43" i="8"/>
  <c r="G51" i="124"/>
  <c r="G50" i="105"/>
  <c r="AA43" i="6"/>
  <c r="I10" i="211"/>
  <c r="I15"/>
  <c r="I9"/>
  <c r="Q33" i="107"/>
  <c r="H55"/>
  <c r="H55" i="224"/>
  <c r="T58" i="107"/>
  <c r="N42"/>
  <c r="AW34" i="105"/>
  <c r="AS34" s="1"/>
  <c r="AX34"/>
  <c r="I44" i="224"/>
  <c r="I44" i="107"/>
  <c r="V43" i="6"/>
  <c r="P47" i="219"/>
  <c r="I43" i="8"/>
  <c r="BH84" i="124"/>
  <c r="AK17"/>
  <c r="B17" i="224"/>
  <c r="E17" s="1"/>
  <c r="Z17" s="1"/>
  <c r="B17" i="107"/>
  <c r="E17" s="1"/>
  <c r="X17" s="1"/>
  <c r="AW54" i="105"/>
  <c r="AR54" s="1"/>
  <c r="AX54"/>
  <c r="Q49" i="107"/>
  <c r="J40"/>
  <c r="J40" i="224"/>
  <c r="F40" s="1"/>
  <c r="N32" i="107"/>
  <c r="T32"/>
  <c r="BH83" i="124"/>
  <c r="AK16"/>
  <c r="H27" i="107"/>
  <c r="H27" i="224"/>
  <c r="I27"/>
  <c r="I27" i="107"/>
  <c r="H37"/>
  <c r="H37" i="224"/>
  <c r="AW35" i="105"/>
  <c r="AP35" s="1"/>
  <c r="AX35"/>
  <c r="I11" i="224"/>
  <c r="I11" i="107"/>
  <c r="Q43"/>
  <c r="H46" i="224"/>
  <c r="H46" i="107"/>
  <c r="I14" i="224"/>
  <c r="I14" i="107"/>
  <c r="AX36" i="105"/>
  <c r="AW36"/>
  <c r="AR36" s="1"/>
  <c r="B36" i="224"/>
  <c r="E36" s="1"/>
  <c r="Z36" s="1"/>
  <c r="B36" i="107"/>
  <c r="E36" s="1"/>
  <c r="X36" s="1"/>
  <c r="AS12" i="211"/>
  <c r="G12"/>
  <c r="AW38" i="105"/>
  <c r="AR38" s="1"/>
  <c r="AX38"/>
  <c r="H33" i="107"/>
  <c r="H33" i="224"/>
  <c r="H15" i="107"/>
  <c r="H15" i="224"/>
  <c r="J47" i="107"/>
  <c r="J47" i="224"/>
  <c r="F47" s="1"/>
  <c r="J55" i="107"/>
  <c r="J55" i="224"/>
  <c r="F55" s="1"/>
  <c r="R52" i="219"/>
  <c r="K48" i="8"/>
  <c r="AD52" i="219"/>
  <c r="W48" i="8"/>
  <c r="AW59" i="105"/>
  <c r="AX59"/>
  <c r="T52" i="107"/>
  <c r="N58"/>
  <c r="AW45" i="105"/>
  <c r="AP45" s="1"/>
  <c r="AX45"/>
  <c r="I45" i="224"/>
  <c r="I45" i="107"/>
  <c r="T45"/>
  <c r="B42" i="224"/>
  <c r="E42" s="1"/>
  <c r="Z42" s="1"/>
  <c r="B42" i="107"/>
  <c r="E42" s="1"/>
  <c r="X42" s="1"/>
  <c r="H26" i="224"/>
  <c r="H26" i="107"/>
  <c r="AX39" i="105"/>
  <c r="AW39"/>
  <c r="AQ39" s="1"/>
  <c r="Q39" i="107"/>
  <c r="Q31"/>
  <c r="N56"/>
  <c r="H56" i="224"/>
  <c r="H56" i="107"/>
  <c r="J53"/>
  <c r="J53" i="224"/>
  <c r="F53" s="1"/>
  <c r="I34"/>
  <c r="I34" i="107"/>
  <c r="J44" i="224"/>
  <c r="F44" s="1"/>
  <c r="J44" i="107"/>
  <c r="G43" i="8"/>
  <c r="N47" i="219"/>
  <c r="O31" i="6"/>
  <c r="I32" i="219" s="1"/>
  <c r="H54" i="27"/>
  <c r="J54" s="1"/>
  <c r="Y19" i="2"/>
  <c r="T57" i="107"/>
  <c r="B51" i="224"/>
  <c r="E51" s="1"/>
  <c r="Z51" s="1"/>
  <c r="B51" i="107"/>
  <c r="E51" s="1"/>
  <c r="X51" s="1"/>
  <c r="Q54"/>
  <c r="B12" i="224"/>
  <c r="E12" s="1"/>
  <c r="Z12" s="1"/>
  <c r="B12" i="107"/>
  <c r="E12" s="1"/>
  <c r="X12" s="1"/>
  <c r="AW40" i="105"/>
  <c r="AQ40" s="1"/>
  <c r="AX40"/>
  <c r="Q32" i="107"/>
  <c r="I32"/>
  <c r="I32" i="224"/>
  <c r="AX37" i="105"/>
  <c r="AW37"/>
  <c r="AQ37" s="1"/>
  <c r="B35" i="224"/>
  <c r="E35" s="1"/>
  <c r="Z35" s="1"/>
  <c r="B35" i="107"/>
  <c r="E35" s="1"/>
  <c r="X35" s="1"/>
  <c r="I29" i="224"/>
  <c r="I29" i="107"/>
  <c r="T43"/>
  <c r="AX41" i="105"/>
  <c r="AW41"/>
  <c r="AR41" s="1"/>
  <c r="I48" i="107"/>
  <c r="I48" i="224"/>
  <c r="Q36" i="107"/>
  <c r="G13" i="211"/>
  <c r="AS13"/>
  <c r="J33" i="224"/>
  <c r="F33" s="1"/>
  <c r="J33" i="107"/>
  <c r="Q47"/>
  <c r="I55"/>
  <c r="I55" i="224"/>
  <c r="B55"/>
  <c r="E55" s="1"/>
  <c r="Z55" s="1"/>
  <c r="B55" i="107"/>
  <c r="E55" s="1"/>
  <c r="X55" s="1"/>
  <c r="W46" i="6"/>
  <c r="J48" i="8"/>
  <c r="Q52" i="219"/>
  <c r="R48" i="8"/>
  <c r="Y52" i="219"/>
  <c r="AC52"/>
  <c r="V48" i="8"/>
  <c r="AX30" i="105"/>
  <c r="AW30"/>
  <c r="N59" i="107"/>
  <c r="H59" i="224"/>
  <c r="H59" i="107"/>
  <c r="B59" i="224"/>
  <c r="E59" s="1"/>
  <c r="Z59" s="1"/>
  <c r="B59" i="107"/>
  <c r="E59" s="1"/>
  <c r="X59" s="1"/>
  <c r="I52" i="224"/>
  <c r="I52" i="107"/>
  <c r="I23"/>
  <c r="I23" i="224"/>
  <c r="B23"/>
  <c r="E23" s="1"/>
  <c r="Z23" s="1"/>
  <c r="B23" i="107"/>
  <c r="E23" s="1"/>
  <c r="X23" s="1"/>
  <c r="J45"/>
  <c r="J45" i="224"/>
  <c r="F45" s="1"/>
  <c r="B39"/>
  <c r="E39" s="1"/>
  <c r="Z39" s="1"/>
  <c r="B39" i="107"/>
  <c r="E39" s="1"/>
  <c r="X39" s="1"/>
  <c r="I31"/>
  <c r="I31" i="224"/>
  <c r="T56" i="107"/>
  <c r="B56" i="224"/>
  <c r="E56" s="1"/>
  <c r="Z56" s="1"/>
  <c r="B56" i="107"/>
  <c r="E56" s="1"/>
  <c r="X56" s="1"/>
  <c r="BH86" i="124"/>
  <c r="AK19"/>
  <c r="B53" i="224"/>
  <c r="E53" s="1"/>
  <c r="Z53" s="1"/>
  <c r="B53" i="107"/>
  <c r="E53" s="1"/>
  <c r="X53" s="1"/>
  <c r="Q34"/>
  <c r="T44"/>
  <c r="J51" i="224"/>
  <c r="F51" s="1"/>
  <c r="J51" i="107"/>
  <c r="AW51" i="105"/>
  <c r="AQ51" s="1"/>
  <c r="AX51"/>
  <c r="M48" i="107"/>
  <c r="I18" i="211"/>
  <c r="AK39" i="124"/>
  <c r="L19" i="168"/>
  <c r="Z19" s="1"/>
  <c r="AW21" i="105"/>
  <c r="AQ21" s="1"/>
  <c r="AL52" i="124"/>
  <c r="M55" i="107"/>
  <c r="M18"/>
  <c r="M44"/>
  <c r="AK33" i="124"/>
  <c r="O22" i="170"/>
  <c r="J19" i="168"/>
  <c r="J21" i="170"/>
  <c r="I19" i="211"/>
  <c r="I17"/>
  <c r="I8"/>
  <c r="M49" i="107"/>
  <c r="AL34" i="124"/>
  <c r="AL15"/>
  <c r="M46" i="107"/>
  <c r="M41"/>
  <c r="AL26" i="124"/>
  <c r="AL27"/>
  <c r="M24" i="107"/>
  <c r="AL50" i="124"/>
  <c r="AL58"/>
  <c r="AK48"/>
  <c r="M23" i="107"/>
  <c r="M42"/>
  <c r="X46" i="6"/>
  <c r="AL53" i="124"/>
  <c r="AK41"/>
  <c r="M57" i="107"/>
  <c r="H54"/>
  <c r="H54" i="224"/>
  <c r="N40" i="107"/>
  <c r="B27" i="224"/>
  <c r="E27" s="1"/>
  <c r="Z27" s="1"/>
  <c r="B27" i="107"/>
  <c r="E27" s="1"/>
  <c r="X27" s="1"/>
  <c r="B43" i="224"/>
  <c r="E43" s="1"/>
  <c r="Z43" s="1"/>
  <c r="B43" i="107"/>
  <c r="E43" s="1"/>
  <c r="X43" s="1"/>
  <c r="Q41"/>
  <c r="AX33" i="105"/>
  <c r="AW33"/>
  <c r="AP33" s="1"/>
  <c r="O52" i="219"/>
  <c r="H48" i="8"/>
  <c r="I30" i="107"/>
  <c r="I30" i="224"/>
  <c r="H52" i="107"/>
  <c r="H52" i="224"/>
  <c r="AW58" i="105"/>
  <c r="AP58" s="1"/>
  <c r="AX58"/>
  <c r="B58" i="224"/>
  <c r="E58" s="1"/>
  <c r="Z58" s="1"/>
  <c r="B58" i="107"/>
  <c r="E58" s="1"/>
  <c r="X58" s="1"/>
  <c r="T42"/>
  <c r="J49"/>
  <c r="J49" i="224"/>
  <c r="F49" s="1"/>
  <c r="Q37" i="107"/>
  <c r="T37"/>
  <c r="T50"/>
  <c r="N41"/>
  <c r="T48"/>
  <c r="BH85" i="124"/>
  <c r="AK18"/>
  <c r="H22" i="107"/>
  <c r="H22" i="224"/>
  <c r="I24"/>
  <c r="I24" i="107"/>
  <c r="X48" i="8"/>
  <c r="AE52" i="219"/>
  <c r="AK46" i="6"/>
  <c r="J39" i="107"/>
  <c r="J39" i="224"/>
  <c r="F39" s="1"/>
  <c r="I56"/>
  <c r="I56" i="107"/>
  <c r="N53"/>
  <c r="B44" i="224"/>
  <c r="E44" s="1"/>
  <c r="Z44" s="1"/>
  <c r="B44" i="107"/>
  <c r="E44" s="1"/>
  <c r="X44" s="1"/>
  <c r="N51"/>
  <c r="I51" i="224"/>
  <c r="I51" i="107"/>
  <c r="Q40"/>
  <c r="J37"/>
  <c r="J37" i="224"/>
  <c r="F37" s="1"/>
  <c r="AX43" i="105"/>
  <c r="AW43"/>
  <c r="AR43" s="1"/>
  <c r="I50" i="107"/>
  <c r="I50" i="224"/>
  <c r="B46"/>
  <c r="E46" s="1"/>
  <c r="Z46" s="1"/>
  <c r="B46" i="107"/>
  <c r="E46" s="1"/>
  <c r="X46" s="1"/>
  <c r="N38"/>
  <c r="P52" i="219"/>
  <c r="I48" i="8"/>
  <c r="I58" i="224"/>
  <c r="I58" i="107"/>
  <c r="B45" i="224"/>
  <c r="E45" s="1"/>
  <c r="Z45" s="1"/>
  <c r="B45" i="107"/>
  <c r="E45" s="1"/>
  <c r="X45" s="1"/>
  <c r="AW42" i="105"/>
  <c r="AQ42" s="1"/>
  <c r="AX42"/>
  <c r="Q42" i="107"/>
  <c r="B25" i="224"/>
  <c r="E25" s="1"/>
  <c r="Z25" s="1"/>
  <c r="B25" i="107"/>
  <c r="E25" s="1"/>
  <c r="X25" s="1"/>
  <c r="H34" i="224"/>
  <c r="H34" i="107"/>
  <c r="H57"/>
  <c r="H57" i="224"/>
  <c r="AC47" i="219"/>
  <c r="V43" i="8"/>
  <c r="I17" i="224"/>
  <c r="I17" i="107"/>
  <c r="I54" i="224"/>
  <c r="I54" i="107"/>
  <c r="J54" i="224"/>
  <c r="F54" s="1"/>
  <c r="J54" i="107"/>
  <c r="T49"/>
  <c r="I49"/>
  <c r="I49" i="224"/>
  <c r="H49" i="107"/>
  <c r="H49" i="224"/>
  <c r="I12" i="107"/>
  <c r="I12" i="224"/>
  <c r="T40" i="107"/>
  <c r="J32"/>
  <c r="J32" i="224"/>
  <c r="F32" s="1"/>
  <c r="B13"/>
  <c r="E13" s="1"/>
  <c r="Z13" s="1"/>
  <c r="B13" i="107"/>
  <c r="E13" s="1"/>
  <c r="X13" s="1"/>
  <c r="N37"/>
  <c r="I35" i="224"/>
  <c r="I35" i="107"/>
  <c r="H29" i="224"/>
  <c r="H29" i="107"/>
  <c r="I43" i="224"/>
  <c r="I43" i="107"/>
  <c r="J50" i="224"/>
  <c r="F50" s="1"/>
  <c r="J50" i="107"/>
  <c r="N50"/>
  <c r="I28"/>
  <c r="I28" i="224"/>
  <c r="T46" i="107"/>
  <c r="B41" i="224"/>
  <c r="E41" s="1"/>
  <c r="Z41" s="1"/>
  <c r="B41" i="107"/>
  <c r="E41" s="1"/>
  <c r="X41" s="1"/>
  <c r="H48" i="224"/>
  <c r="H48" i="107"/>
  <c r="I36"/>
  <c r="I36" i="224"/>
  <c r="O32" i="6"/>
  <c r="I33" i="219" s="1"/>
  <c r="H55" i="27"/>
  <c r="J55" s="1"/>
  <c r="Y20" i="2"/>
  <c r="T38" i="107"/>
  <c r="Q38"/>
  <c r="B33" i="224"/>
  <c r="E33" s="1"/>
  <c r="Z33" s="1"/>
  <c r="B33" i="107"/>
  <c r="E33" s="1"/>
  <c r="X33" s="1"/>
  <c r="B47" i="224"/>
  <c r="E47" s="1"/>
  <c r="Z47" s="1"/>
  <c r="B47" i="107"/>
  <c r="E47" s="1"/>
  <c r="X47" s="1"/>
  <c r="AX55" i="105"/>
  <c r="AW55"/>
  <c r="AR55" s="1"/>
  <c r="F48" i="8"/>
  <c r="M52" i="219"/>
  <c r="G48" i="8"/>
  <c r="N52" i="219"/>
  <c r="X52"/>
  <c r="Q48" i="8"/>
  <c r="T30" i="107"/>
  <c r="J59"/>
  <c r="J59" i="224"/>
  <c r="F59" s="1"/>
  <c r="Q52" i="107"/>
  <c r="AX52" i="105"/>
  <c r="AW52"/>
  <c r="AS52" s="1"/>
  <c r="Q58" i="107"/>
  <c r="I20" i="224"/>
  <c r="I20" i="107"/>
  <c r="H45" i="224"/>
  <c r="H45" i="107"/>
  <c r="I42"/>
  <c r="I42" i="224"/>
  <c r="O28" i="6"/>
  <c r="H51" i="27"/>
  <c r="J51" s="1"/>
  <c r="J31" i="224"/>
  <c r="F31" s="1"/>
  <c r="J31" i="107"/>
  <c r="H31" i="224"/>
  <c r="H31" i="107"/>
  <c r="BH88" i="124"/>
  <c r="AK21"/>
  <c r="B21" i="224"/>
  <c r="E21" s="1"/>
  <c r="Z21" s="1"/>
  <c r="B21" i="107"/>
  <c r="E21" s="1"/>
  <c r="X21" s="1"/>
  <c r="AW53" i="105"/>
  <c r="AX53"/>
  <c r="T34" i="107"/>
  <c r="N44"/>
  <c r="J57" i="224"/>
  <c r="F57" s="1"/>
  <c r="J57" i="107"/>
  <c r="N57"/>
  <c r="B57" i="224"/>
  <c r="E57" s="1"/>
  <c r="Z57" s="1"/>
  <c r="B57" i="107"/>
  <c r="E57" s="1"/>
  <c r="X57" s="1"/>
  <c r="N19" i="168"/>
  <c r="AE19" s="1"/>
  <c r="I11" i="211"/>
  <c r="G40" i="8"/>
  <c r="I12" i="211"/>
  <c r="L20" i="170"/>
  <c r="Z20" s="1"/>
  <c r="O27" i="168"/>
  <c r="T27" s="1"/>
  <c r="N44" i="219"/>
  <c r="I16" i="211"/>
  <c r="AL32" i="124"/>
  <c r="AL29"/>
  <c r="M16" i="107"/>
  <c r="M14"/>
  <c r="AK37" i="124"/>
  <c r="AK57"/>
  <c r="AL60"/>
  <c r="AK36"/>
  <c r="AK49"/>
  <c r="M15" i="107"/>
  <c r="AL31" i="124"/>
  <c r="AL24"/>
  <c r="AL51"/>
  <c r="M39" i="107"/>
  <c r="AK35" i="124"/>
  <c r="J35" i="107"/>
  <c r="J35" i="224"/>
  <c r="F35" s="1"/>
  <c r="AX48" i="105"/>
  <c r="AW48"/>
  <c r="AQ48" s="1"/>
  <c r="T36" i="107"/>
  <c r="N47"/>
  <c r="T52" i="219"/>
  <c r="M48" i="8"/>
  <c r="J30" i="107"/>
  <c r="J30" i="224"/>
  <c r="F30" s="1"/>
  <c r="B26"/>
  <c r="E26" s="1"/>
  <c r="Z26" s="1"/>
  <c r="B26" i="107"/>
  <c r="E26" s="1"/>
  <c r="X26" s="1"/>
  <c r="I19"/>
  <c r="I19" i="224"/>
  <c r="I25" i="107"/>
  <c r="I25" i="224"/>
  <c r="N39" i="107"/>
  <c r="Q56"/>
  <c r="AW32" i="105"/>
  <c r="AS32" s="1"/>
  <c r="AX32"/>
  <c r="BH82" i="124"/>
  <c r="AK15"/>
  <c r="AW46" i="105"/>
  <c r="AR46" s="1"/>
  <c r="AX46"/>
  <c r="J36" i="224"/>
  <c r="F36" s="1"/>
  <c r="J36" i="107"/>
  <c r="H24" i="224"/>
  <c r="H24" i="107"/>
  <c r="I33" i="224"/>
  <c r="I33" i="107"/>
  <c r="N55"/>
  <c r="J52" i="219"/>
  <c r="J63" i="88"/>
  <c r="AE63"/>
  <c r="E56" i="124"/>
  <c r="C48" i="8"/>
  <c r="E55" i="105"/>
  <c r="H39" i="107"/>
  <c r="H39" i="224"/>
  <c r="O43" i="8"/>
  <c r="V47" i="219"/>
  <c r="W43" i="8"/>
  <c r="AD47" i="219"/>
  <c r="N49" i="107"/>
  <c r="B49" i="224"/>
  <c r="E49" s="1"/>
  <c r="Z49" s="1"/>
  <c r="B49" i="107"/>
  <c r="E49" s="1"/>
  <c r="X49" s="1"/>
  <c r="B32" i="224"/>
  <c r="E32" s="1"/>
  <c r="Z32" s="1"/>
  <c r="B32" i="107"/>
  <c r="E32" s="1"/>
  <c r="X32" s="1"/>
  <c r="J41" i="224"/>
  <c r="F41" s="1"/>
  <c r="J41" i="107"/>
  <c r="J48"/>
  <c r="J48" i="224"/>
  <c r="F48" s="1"/>
  <c r="B48"/>
  <c r="E48" s="1"/>
  <c r="Z48" s="1"/>
  <c r="B48" i="107"/>
  <c r="E48" s="1"/>
  <c r="X48" s="1"/>
  <c r="H47"/>
  <c r="H47" i="224"/>
  <c r="Z52" i="219"/>
  <c r="S48" i="8"/>
  <c r="AF63" i="88"/>
  <c r="J52" i="224"/>
  <c r="F52" s="1"/>
  <c r="J52" i="107"/>
  <c r="H23" i="224"/>
  <c r="H23" i="107"/>
  <c r="Y47" i="219"/>
  <c r="R43" i="8"/>
  <c r="AW31" i="105"/>
  <c r="AS31" s="1"/>
  <c r="AX31"/>
  <c r="J56" i="107"/>
  <c r="J56" i="224"/>
  <c r="F56" s="1"/>
  <c r="I57" i="107"/>
  <c r="I57" i="224"/>
  <c r="O29" i="6"/>
  <c r="I30" i="219" s="1"/>
  <c r="H52" i="27"/>
  <c r="J52" s="1"/>
  <c r="T54" i="107"/>
  <c r="H13" i="224"/>
  <c r="H13" i="107"/>
  <c r="I13"/>
  <c r="I13" i="224"/>
  <c r="B37"/>
  <c r="E37" s="1"/>
  <c r="Z37" s="1"/>
  <c r="B37" i="107"/>
  <c r="E37" s="1"/>
  <c r="X37" s="1"/>
  <c r="H35"/>
  <c r="H35" i="224"/>
  <c r="H50" i="107"/>
  <c r="H50" i="224"/>
  <c r="AX50" i="105"/>
  <c r="AW50"/>
  <c r="AQ50" s="1"/>
  <c r="B50" i="107"/>
  <c r="E50" s="1"/>
  <c r="X50" s="1"/>
  <c r="B50" i="224"/>
  <c r="E50" s="1"/>
  <c r="Z50" s="1"/>
  <c r="H20"/>
  <c r="H20" i="107"/>
  <c r="I46" i="224"/>
  <c r="I46" i="107"/>
  <c r="I41" i="224"/>
  <c r="I41" i="107"/>
  <c r="N48"/>
  <c r="B24" i="224"/>
  <c r="E24" s="1"/>
  <c r="Z24" s="1"/>
  <c r="B24" i="107"/>
  <c r="E24" s="1"/>
  <c r="X24" s="1"/>
  <c r="H38" i="224"/>
  <c r="H38" i="107"/>
  <c r="I15" i="224"/>
  <c r="I15" i="107"/>
  <c r="T47"/>
  <c r="I47" i="224"/>
  <c r="I47" i="107"/>
  <c r="T55"/>
  <c r="V52" i="219"/>
  <c r="O48" i="8"/>
  <c r="S52" i="219"/>
  <c r="L48" i="8"/>
  <c r="U48"/>
  <c r="AB52" i="219"/>
  <c r="AH63" i="88"/>
  <c r="AH46" i="6"/>
  <c r="N30" i="107"/>
  <c r="H30" i="224"/>
  <c r="H30" i="107"/>
  <c r="B30" i="224"/>
  <c r="E30" s="1"/>
  <c r="Z30" s="1"/>
  <c r="B30" i="107"/>
  <c r="E30" s="1"/>
  <c r="X30" s="1"/>
  <c r="H58" i="224"/>
  <c r="H58" i="107"/>
  <c r="B20" i="224"/>
  <c r="E20" s="1"/>
  <c r="Z20" s="1"/>
  <c r="B20" i="107"/>
  <c r="E20" s="1"/>
  <c r="X20" s="1"/>
  <c r="N45"/>
  <c r="J42"/>
  <c r="J42" i="224"/>
  <c r="F42" s="1"/>
  <c r="O30" i="6"/>
  <c r="I31" i="219" s="1"/>
  <c r="H53" i="27"/>
  <c r="J53" s="1"/>
  <c r="I26" i="224"/>
  <c r="I26" i="107"/>
  <c r="H19" i="224"/>
  <c r="H19" i="107"/>
  <c r="T39"/>
  <c r="T31"/>
  <c r="B31" i="224"/>
  <c r="E31" s="1"/>
  <c r="Z31" s="1"/>
  <c r="B31" i="107"/>
  <c r="E31" s="1"/>
  <c r="X31" s="1"/>
  <c r="AX56" i="105"/>
  <c r="AW56"/>
  <c r="H18" i="224"/>
  <c r="H18" i="107"/>
  <c r="B18" i="224"/>
  <c r="E18" s="1"/>
  <c r="Z18" s="1"/>
  <c r="B18" i="107"/>
  <c r="E18" s="1"/>
  <c r="X18" s="1"/>
  <c r="H53"/>
  <c r="H53" i="224"/>
  <c r="N34" i="107"/>
  <c r="AX44" i="105"/>
  <c r="AW44"/>
  <c r="AP44" s="1"/>
  <c r="Q57" i="107"/>
  <c r="AW57" i="105"/>
  <c r="AP57" s="1"/>
  <c r="AX57"/>
  <c r="Q51" i="107"/>
  <c r="M40"/>
  <c r="M11"/>
  <c r="M38"/>
  <c r="M45"/>
  <c r="N27" i="168"/>
  <c r="V27" s="1"/>
  <c r="J19" i="170"/>
  <c r="L25" i="168"/>
  <c r="R25" s="1"/>
  <c r="N26" i="170"/>
  <c r="AF26" s="1"/>
  <c r="AP26" s="1"/>
  <c r="N19"/>
  <c r="AM19" s="1"/>
  <c r="N25" i="168"/>
  <c r="Q25" s="1"/>
  <c r="N20" i="170"/>
  <c r="Q20" s="1"/>
  <c r="L27" i="168"/>
  <c r="Y27" s="1"/>
  <c r="J26" i="170"/>
  <c r="AX29" i="105"/>
  <c r="M54" i="107"/>
  <c r="AL16" i="124"/>
  <c r="AL25"/>
  <c r="M29" i="107"/>
  <c r="AL30" i="124"/>
  <c r="M36" i="107"/>
  <c r="AL18" i="124"/>
  <c r="AB43" i="6"/>
  <c r="AE43"/>
  <c r="AL45" i="124"/>
  <c r="M30" i="107"/>
  <c r="M59"/>
  <c r="AL28" i="124"/>
  <c r="AL21"/>
  <c r="AK47"/>
  <c r="AL17"/>
  <c r="H32" i="107"/>
  <c r="H32" i="224"/>
  <c r="N35" i="107"/>
  <c r="B16" i="224"/>
  <c r="E16" s="1"/>
  <c r="Z16" s="1"/>
  <c r="B16" i="107"/>
  <c r="E16" s="1"/>
  <c r="X16" s="1"/>
  <c r="N43"/>
  <c r="J43"/>
  <c r="J43" i="224"/>
  <c r="F43" s="1"/>
  <c r="Q50" i="107"/>
  <c r="Q46"/>
  <c r="J38" i="224"/>
  <c r="F38" s="1"/>
  <c r="J38" i="107"/>
  <c r="AX15" i="105"/>
  <c r="AW15"/>
  <c r="AS15" s="1"/>
  <c r="AW47"/>
  <c r="AX47"/>
  <c r="W52" i="219"/>
  <c r="P48" i="8"/>
  <c r="AK20" i="124"/>
  <c r="BH87"/>
  <c r="I59" i="107"/>
  <c r="I59" i="224"/>
  <c r="N54" i="107"/>
  <c r="I40"/>
  <c r="I40" i="224"/>
  <c r="T35" i="107"/>
  <c r="N46"/>
  <c r="N36"/>
  <c r="H36"/>
  <c r="H36" i="224"/>
  <c r="T33" i="107"/>
  <c r="Q55"/>
  <c r="T59"/>
  <c r="N52"/>
  <c r="H21" i="224"/>
  <c r="H21" i="107"/>
  <c r="I39" i="224"/>
  <c r="I39" i="107"/>
  <c r="Q53"/>
  <c r="T53"/>
  <c r="Q44"/>
  <c r="B54" i="224"/>
  <c r="E54" s="1"/>
  <c r="Z54" s="1"/>
  <c r="B54" i="107"/>
  <c r="E54" s="1"/>
  <c r="X54" s="1"/>
  <c r="B29" i="224"/>
  <c r="E29" s="1"/>
  <c r="Z29" s="1"/>
  <c r="B29" i="107"/>
  <c r="E29" s="1"/>
  <c r="X29" s="1"/>
  <c r="Q48"/>
  <c r="G56" i="124"/>
  <c r="U52" i="219"/>
  <c r="N48" i="8"/>
  <c r="G55" i="105"/>
  <c r="Q59" i="107"/>
  <c r="B19" i="224"/>
  <c r="E19" s="1"/>
  <c r="Z19" s="1"/>
  <c r="B19" i="107"/>
  <c r="E19" s="1"/>
  <c r="X19" s="1"/>
  <c r="I18" i="224"/>
  <c r="I18" i="107"/>
  <c r="AX49" i="105"/>
  <c r="AW49"/>
  <c r="H40" i="107"/>
  <c r="H40" i="224"/>
  <c r="B40"/>
  <c r="E40" s="1"/>
  <c r="Z40" s="1"/>
  <c r="B40" i="107"/>
  <c r="E40" s="1"/>
  <c r="X40" s="1"/>
  <c r="AS14" i="211"/>
  <c r="G14"/>
  <c r="I37" i="224"/>
  <c r="I37" i="107"/>
  <c r="Q35"/>
  <c r="I16" i="224"/>
  <c r="I16" i="107"/>
  <c r="B11" i="224"/>
  <c r="E11" s="1"/>
  <c r="Z11" s="1"/>
  <c r="B11" i="107"/>
  <c r="E11" s="1"/>
  <c r="X11" s="1"/>
  <c r="H43"/>
  <c r="H43" i="224"/>
  <c r="B28"/>
  <c r="E28" s="1"/>
  <c r="Z28" s="1"/>
  <c r="B28" i="107"/>
  <c r="E28" s="1"/>
  <c r="X28" s="1"/>
  <c r="J46"/>
  <c r="J46" i="224"/>
  <c r="F46" s="1"/>
  <c r="T41" i="107"/>
  <c r="H41"/>
  <c r="H41" i="224"/>
  <c r="B14"/>
  <c r="E14" s="1"/>
  <c r="Z14" s="1"/>
  <c r="B14" i="107"/>
  <c r="E14" s="1"/>
  <c r="X14" s="1"/>
  <c r="I38"/>
  <c r="I38" i="224"/>
  <c r="B38"/>
  <c r="E38" s="1"/>
  <c r="Z38" s="1"/>
  <c r="B38" i="107"/>
  <c r="E38" s="1"/>
  <c r="X38" s="1"/>
  <c r="N33"/>
  <c r="B15" i="224"/>
  <c r="E15" s="1"/>
  <c r="Z15" s="1"/>
  <c r="B15" i="107"/>
  <c r="E15" s="1"/>
  <c r="X15" s="1"/>
  <c r="L52" i="219"/>
  <c r="E48" i="8"/>
  <c r="K52" i="219"/>
  <c r="D48" i="8"/>
  <c r="AA52" i="219"/>
  <c r="T48" i="8"/>
  <c r="AG63" i="88"/>
  <c r="AG46" i="6"/>
  <c r="Q30" i="107"/>
  <c r="B52" i="224"/>
  <c r="E52" s="1"/>
  <c r="Z52" s="1"/>
  <c r="B52" i="107"/>
  <c r="E52" s="1"/>
  <c r="X52" s="1"/>
  <c r="J58" i="224"/>
  <c r="F58" s="1"/>
  <c r="J58" i="107"/>
  <c r="Q45"/>
  <c r="H42"/>
  <c r="H42" i="224"/>
  <c r="N31" i="107"/>
  <c r="I22" i="224"/>
  <c r="I22" i="107"/>
  <c r="B22" i="224"/>
  <c r="E22" s="1"/>
  <c r="Z22" s="1"/>
  <c r="B22" i="107"/>
  <c r="E22" s="1"/>
  <c r="X22" s="1"/>
  <c r="I21" i="224"/>
  <c r="I21" i="107"/>
  <c r="I53"/>
  <c r="I53" i="224"/>
  <c r="J34"/>
  <c r="F34" s="1"/>
  <c r="J34" i="107"/>
  <c r="B34" i="224"/>
  <c r="E34" s="1"/>
  <c r="Z34" s="1"/>
  <c r="B34" i="107"/>
  <c r="E34" s="1"/>
  <c r="X34" s="1"/>
  <c r="H44"/>
  <c r="H44" i="224"/>
  <c r="I10" i="107"/>
  <c r="I10" i="224"/>
  <c r="B10"/>
  <c r="E10" s="1"/>
  <c r="Z10" s="1"/>
  <c r="B10" i="107"/>
  <c r="E10" s="1"/>
  <c r="X10" s="1"/>
  <c r="T51"/>
  <c r="H51"/>
  <c r="H51" i="224"/>
  <c r="AL44" i="124"/>
  <c r="AK38"/>
  <c r="AL55"/>
  <c r="AL20"/>
  <c r="AK56"/>
  <c r="AL54"/>
  <c r="AK23"/>
  <c r="AL59"/>
  <c r="AI43" i="6"/>
  <c r="AL22" i="124"/>
  <c r="AL43"/>
  <c r="AF46" i="6"/>
  <c r="AL46" i="124"/>
  <c r="M56" i="107"/>
  <c r="I54" i="88"/>
  <c r="AK40" i="124"/>
  <c r="M53" i="107"/>
  <c r="Z46" i="6"/>
  <c r="AK42" i="124"/>
  <c r="N25" i="170"/>
  <c r="Q25" s="1"/>
  <c r="N26" i="168"/>
  <c r="O30"/>
  <c r="J26"/>
  <c r="J30"/>
  <c r="N30"/>
  <c r="Q30" s="1"/>
  <c r="N28" i="170"/>
  <c r="AF28" s="1"/>
  <c r="AP28" s="1"/>
  <c r="N22"/>
  <c r="AF22" s="1"/>
  <c r="AP22" s="1"/>
  <c r="L28"/>
  <c r="Z28" s="1"/>
  <c r="L22"/>
  <c r="Y22" s="1"/>
  <c r="D198" i="8"/>
  <c r="H198"/>
  <c r="D171"/>
  <c r="H207"/>
  <c r="E198"/>
  <c r="H206"/>
  <c r="C168"/>
  <c r="H171"/>
  <c r="H213"/>
  <c r="H186"/>
  <c r="E186"/>
  <c r="C207"/>
  <c r="C206"/>
  <c r="C198"/>
  <c r="E174"/>
  <c r="E180"/>
  <c r="E171"/>
  <c r="H174"/>
  <c r="D180"/>
  <c r="C171"/>
  <c r="F213"/>
  <c r="D206"/>
  <c r="Q22" i="168"/>
  <c r="V22"/>
  <c r="T25"/>
  <c r="AC27" i="170"/>
  <c r="AO27" s="1"/>
  <c r="Q27"/>
  <c r="V27"/>
  <c r="AF27"/>
  <c r="AP27" s="1"/>
  <c r="V23" i="168"/>
  <c r="Q23"/>
  <c r="T26" i="170"/>
  <c r="G35" i="8"/>
  <c r="T37" i="6"/>
  <c r="N39" i="219"/>
  <c r="T19" i="170"/>
  <c r="N26" i="107"/>
  <c r="T20" i="170"/>
  <c r="T29" i="168"/>
  <c r="N14" i="107"/>
  <c r="Y23" i="170"/>
  <c r="Z23"/>
  <c r="T21" i="168"/>
  <c r="Y24" i="170"/>
  <c r="Z24"/>
  <c r="T19" i="168"/>
  <c r="R23"/>
  <c r="Z23"/>
  <c r="P23"/>
  <c r="AF23" s="1"/>
  <c r="AH23" s="1"/>
  <c r="Y23"/>
  <c r="Z30"/>
  <c r="Y30"/>
  <c r="T28"/>
  <c r="T23"/>
  <c r="AE23"/>
  <c r="T29" i="170"/>
  <c r="AW17" i="105"/>
  <c r="AX17"/>
  <c r="AW14"/>
  <c r="AX14"/>
  <c r="Y25" i="170"/>
  <c r="Z25"/>
  <c r="Z20" i="168"/>
  <c r="Y20"/>
  <c r="Z26"/>
  <c r="Y26"/>
  <c r="T28" i="170"/>
  <c r="T21"/>
  <c r="N20" i="107"/>
  <c r="P148" i="8"/>
  <c r="K148"/>
  <c r="M148"/>
  <c r="S148"/>
  <c r="U148"/>
  <c r="H101"/>
  <c r="C124"/>
  <c r="E123"/>
  <c r="Q101"/>
  <c r="J124"/>
  <c r="H148"/>
  <c r="Z48"/>
  <c r="Q148"/>
  <c r="J148"/>
  <c r="R148"/>
  <c r="N101"/>
  <c r="L148"/>
  <c r="H122"/>
  <c r="C101"/>
  <c r="T101"/>
  <c r="C148"/>
  <c r="F123"/>
  <c r="W148"/>
  <c r="V101"/>
  <c r="C158"/>
  <c r="L101"/>
  <c r="T148"/>
  <c r="I151"/>
  <c r="F148"/>
  <c r="O101"/>
  <c r="K124"/>
  <c r="I148"/>
  <c r="N148"/>
  <c r="J101"/>
  <c r="H151"/>
  <c r="E148"/>
  <c r="E139"/>
  <c r="M101"/>
  <c r="X101"/>
  <c r="P101"/>
  <c r="H133"/>
  <c r="J135"/>
  <c r="U101"/>
  <c r="C140"/>
  <c r="N140"/>
  <c r="C134"/>
  <c r="G124"/>
  <c r="S101"/>
  <c r="N100"/>
  <c r="X148"/>
  <c r="F154"/>
  <c r="D123"/>
  <c r="Q154"/>
  <c r="R101"/>
  <c r="I154"/>
  <c r="W101"/>
  <c r="O148"/>
  <c r="F101"/>
  <c r="W154"/>
  <c r="S154"/>
  <c r="C133"/>
  <c r="V148"/>
  <c r="G148"/>
  <c r="U154"/>
  <c r="D148"/>
  <c r="I101"/>
  <c r="L149"/>
  <c r="K101"/>
  <c r="D101"/>
  <c r="G101"/>
  <c r="E101"/>
  <c r="V154"/>
  <c r="R154"/>
  <c r="X154"/>
  <c r="P154"/>
  <c r="E154"/>
  <c r="J154"/>
  <c r="D154"/>
  <c r="M154"/>
  <c r="K154"/>
  <c r="G154"/>
  <c r="L154"/>
  <c r="O154"/>
  <c r="T154"/>
  <c r="C154"/>
  <c r="H154"/>
  <c r="C187" l="1"/>
  <c r="C188"/>
  <c r="N194"/>
  <c r="C194"/>
  <c r="J189"/>
  <c r="H187"/>
  <c r="K178"/>
  <c r="AQ17" i="105"/>
  <c r="H205" i="8"/>
  <c r="E50" i="105"/>
  <c r="AJ14"/>
  <c r="AP14" s="1"/>
  <c r="AJ21"/>
  <c r="J21" i="224" s="1"/>
  <c r="F21" s="1"/>
  <c r="AX22" i="105"/>
  <c r="BH22" s="1"/>
  <c r="AC22" i="107" s="1"/>
  <c r="BG37" i="105"/>
  <c r="AB37" i="107" s="1"/>
  <c r="AJ20" i="105"/>
  <c r="J20" i="224" s="1"/>
  <c r="F20" s="1"/>
  <c r="AJ26" i="105"/>
  <c r="J26" i="107" s="1"/>
  <c r="F26" s="1"/>
  <c r="AX23" i="105"/>
  <c r="BH23" s="1"/>
  <c r="AC23" i="107" s="1"/>
  <c r="AJ17" i="105"/>
  <c r="J17" i="107" s="1"/>
  <c r="F17" s="1"/>
  <c r="AP13" i="105"/>
  <c r="V208" i="8"/>
  <c r="D208"/>
  <c r="L208"/>
  <c r="U208"/>
  <c r="I208"/>
  <c r="J208"/>
  <c r="W208"/>
  <c r="K208"/>
  <c r="X208"/>
  <c r="E208"/>
  <c r="P208"/>
  <c r="R208"/>
  <c r="Q208"/>
  <c r="T208"/>
  <c r="O208"/>
  <c r="G208"/>
  <c r="M208"/>
  <c r="V202"/>
  <c r="I205"/>
  <c r="S208"/>
  <c r="U202"/>
  <c r="F208"/>
  <c r="C208"/>
  <c r="J202"/>
  <c r="K202"/>
  <c r="W202"/>
  <c r="N202"/>
  <c r="T202"/>
  <c r="O202"/>
  <c r="F202"/>
  <c r="X202"/>
  <c r="G202"/>
  <c r="E202"/>
  <c r="I202"/>
  <c r="C202"/>
  <c r="H176"/>
  <c r="AJ22" i="105" s="1"/>
  <c r="J22" i="107" s="1"/>
  <c r="F22" s="1"/>
  <c r="P202" i="8"/>
  <c r="R202"/>
  <c r="D202"/>
  <c r="L203"/>
  <c r="M202"/>
  <c r="Q202"/>
  <c r="S202"/>
  <c r="L202"/>
  <c r="E193"/>
  <c r="AJ18" i="105"/>
  <c r="J18" i="224" s="1"/>
  <c r="F18" s="1"/>
  <c r="AS55" i="105"/>
  <c r="AS36"/>
  <c r="AQ36"/>
  <c r="E51" i="124"/>
  <c r="BH26" i="105"/>
  <c r="AC26" i="107" s="1"/>
  <c r="AS45" i="105"/>
  <c r="AE58" i="88"/>
  <c r="J58"/>
  <c r="G58" s="1"/>
  <c r="AQ45" i="105"/>
  <c r="AP37"/>
  <c r="BH37"/>
  <c r="AC37" i="107" s="1"/>
  <c r="BE54" i="105"/>
  <c r="Z54" i="107" s="1"/>
  <c r="J27" i="224"/>
  <c r="F27" s="1"/>
  <c r="BH47" i="105"/>
  <c r="AC47" i="107" s="1"/>
  <c r="AS54" i="105"/>
  <c r="BG51"/>
  <c r="AB51" i="107" s="1"/>
  <c r="AQ54" i="105"/>
  <c r="AP54"/>
  <c r="BE49"/>
  <c r="Z49" i="107" s="1"/>
  <c r="AR45" i="105"/>
  <c r="BF27"/>
  <c r="AA27" i="107" s="1"/>
  <c r="BH32" i="105"/>
  <c r="AC32" i="107" s="1"/>
  <c r="F46"/>
  <c r="BG45" i="105"/>
  <c r="AB45" i="107" s="1"/>
  <c r="BF54" i="105"/>
  <c r="AA54" i="107" s="1"/>
  <c r="BE27" i="105"/>
  <c r="Z27" i="107" s="1"/>
  <c r="BH27" i="105"/>
  <c r="AC27" i="107" s="1"/>
  <c r="AR27" i="105"/>
  <c r="AQ27"/>
  <c r="BG27"/>
  <c r="AB27" i="107" s="1"/>
  <c r="AP27" i="105"/>
  <c r="AS27"/>
  <c r="I62" i="88"/>
  <c r="J13" i="107"/>
  <c r="F13" s="1"/>
  <c r="BE26" i="105"/>
  <c r="Z26" i="107" s="1"/>
  <c r="J19"/>
  <c r="F19" s="1"/>
  <c r="J15" i="224"/>
  <c r="F15" s="1"/>
  <c r="AJ12" i="105"/>
  <c r="J12" i="107" s="1"/>
  <c r="F12" s="1"/>
  <c r="BG34" i="105"/>
  <c r="AB34" i="107" s="1"/>
  <c r="BF30" i="105"/>
  <c r="AA30" i="107" s="1"/>
  <c r="BF45" i="105"/>
  <c r="AA45" i="107" s="1"/>
  <c r="AR37" i="105"/>
  <c r="BE46"/>
  <c r="Z46" i="107" s="1"/>
  <c r="AS37" i="105"/>
  <c r="AP34"/>
  <c r="AP36"/>
  <c r="BG48"/>
  <c r="AB48" i="107" s="1"/>
  <c r="BF37" i="105"/>
  <c r="AA37" i="107" s="1"/>
  <c r="BF51" i="105"/>
  <c r="AA51" i="107" s="1"/>
  <c r="BF18" i="105"/>
  <c r="AA18" i="107" s="1"/>
  <c r="AS26" i="105"/>
  <c r="I56" i="88"/>
  <c r="AR26" i="105"/>
  <c r="BF26"/>
  <c r="AA26" i="107" s="1"/>
  <c r="BG26" i="105"/>
  <c r="AB26" i="107" s="1"/>
  <c r="AQ26" i="105"/>
  <c r="BG46"/>
  <c r="AB46" i="107" s="1"/>
  <c r="AQ52" i="105"/>
  <c r="F50" i="107"/>
  <c r="BE39" i="105"/>
  <c r="Z39" i="107" s="1"/>
  <c r="AP52" i="105"/>
  <c r="AP48"/>
  <c r="BG52"/>
  <c r="AB52" i="107" s="1"/>
  <c r="BF49" i="105"/>
  <c r="AA49" i="107" s="1"/>
  <c r="AR51" i="105"/>
  <c r="BE52"/>
  <c r="Z52" i="107" s="1"/>
  <c r="AP50" i="105"/>
  <c r="BG59"/>
  <c r="AB59" i="107" s="1"/>
  <c r="F47"/>
  <c r="BE30" i="105"/>
  <c r="Z30" i="107" s="1"/>
  <c r="AR48" i="105"/>
  <c r="AQ35"/>
  <c r="AR57"/>
  <c r="F41" i="107"/>
  <c r="BF53" i="105"/>
  <c r="AA53" i="107" s="1"/>
  <c r="BG55" i="105"/>
  <c r="AB55" i="107" s="1"/>
  <c r="BH38" i="105"/>
  <c r="AC38" i="107" s="1"/>
  <c r="F59"/>
  <c r="BE36" i="105"/>
  <c r="Z36" i="107" s="1"/>
  <c r="BG54" i="105"/>
  <c r="AB54" i="107" s="1"/>
  <c r="BE31" i="105"/>
  <c r="Z31" i="107" s="1"/>
  <c r="AP31" i="105"/>
  <c r="AS40"/>
  <c r="BE33"/>
  <c r="Z33" i="107" s="1"/>
  <c r="AR31" i="105"/>
  <c r="AQ31"/>
  <c r="BE47"/>
  <c r="Z47" i="107" s="1"/>
  <c r="BG33" i="105"/>
  <c r="AB33" i="107" s="1"/>
  <c r="BG35" i="105"/>
  <c r="AB35" i="107" s="1"/>
  <c r="F56"/>
  <c r="BE48" i="105"/>
  <c r="Z48" i="107" s="1"/>
  <c r="BH40" i="105"/>
  <c r="AC40" i="107" s="1"/>
  <c r="BH54" i="105"/>
  <c r="AC54" i="107" s="1"/>
  <c r="F31"/>
  <c r="AR52" i="105"/>
  <c r="F32" i="107"/>
  <c r="BH57" i="105"/>
  <c r="AC57" i="107" s="1"/>
  <c r="F51"/>
  <c r="BE40" i="105"/>
  <c r="Z40" i="107" s="1"/>
  <c r="AP40" i="105"/>
  <c r="BG40"/>
  <c r="AB40" i="107" s="1"/>
  <c r="F44"/>
  <c r="AS20" i="105"/>
  <c r="BH55"/>
  <c r="AC55" i="107" s="1"/>
  <c r="BG49" i="105"/>
  <c r="AB49" i="107" s="1"/>
  <c r="F58"/>
  <c r="AQ33" i="105"/>
  <c r="AR50"/>
  <c r="BG44"/>
  <c r="AB44" i="107" s="1"/>
  <c r="AQ30" i="105"/>
  <c r="BF50"/>
  <c r="AA50" i="107" s="1"/>
  <c r="AQ44" i="105"/>
  <c r="AP32"/>
  <c r="AS50"/>
  <c r="BH36"/>
  <c r="AC36" i="107" s="1"/>
  <c r="BF35" i="105"/>
  <c r="AA35" i="107" s="1"/>
  <c r="AR33" i="105"/>
  <c r="BF48"/>
  <c r="AA48" i="107" s="1"/>
  <c r="BH59" i="105"/>
  <c r="AC59" i="107" s="1"/>
  <c r="AP49" i="105"/>
  <c r="BH43"/>
  <c r="AC43" i="107" s="1"/>
  <c r="AS51" i="105"/>
  <c r="AR35"/>
  <c r="AR59"/>
  <c r="AS33"/>
  <c r="AS35"/>
  <c r="BH44"/>
  <c r="AC44" i="107" s="1"/>
  <c r="BH56" i="105"/>
  <c r="AC56" i="107" s="1"/>
  <c r="AS47" i="105"/>
  <c r="AQ47"/>
  <c r="BF33"/>
  <c r="AA33" i="107" s="1"/>
  <c r="AR58" i="105"/>
  <c r="BE55"/>
  <c r="Z55" i="107" s="1"/>
  <c r="BF55" i="105"/>
  <c r="AA55" i="107" s="1"/>
  <c r="BG36" i="105"/>
  <c r="AB36" i="107" s="1"/>
  <c r="BG41" i="105"/>
  <c r="AB41" i="107" s="1"/>
  <c r="BE37" i="105"/>
  <c r="Z37" i="107" s="1"/>
  <c r="F53"/>
  <c r="AQ20" i="105"/>
  <c r="BH51"/>
  <c r="AC51" i="107" s="1"/>
  <c r="AR40" i="105"/>
  <c r="AR49"/>
  <c r="AR30"/>
  <c r="BF40"/>
  <c r="AA40" i="107" s="1"/>
  <c r="AQ49" i="105"/>
  <c r="BH46"/>
  <c r="AC46" i="107" s="1"/>
  <c r="F57"/>
  <c r="AP59" i="105"/>
  <c r="AS48"/>
  <c r="BH33"/>
  <c r="AC33" i="107" s="1"/>
  <c r="AQ59" i="105"/>
  <c r="F33" i="107"/>
  <c r="BH20" i="105"/>
  <c r="AC20" i="107" s="1"/>
  <c r="J29" i="224"/>
  <c r="F29" s="1"/>
  <c r="AQ12" i="105"/>
  <c r="V20" i="168"/>
  <c r="X20" s="1"/>
  <c r="C212" i="8"/>
  <c r="AC25" i="170"/>
  <c r="AO25" s="1"/>
  <c r="P30"/>
  <c r="AN30" s="1"/>
  <c r="AS30" s="1"/>
  <c r="P21" i="168"/>
  <c r="AF21" s="1"/>
  <c r="AH21" s="1"/>
  <c r="AE21"/>
  <c r="Y19"/>
  <c r="R28"/>
  <c r="Q21"/>
  <c r="X21" s="1"/>
  <c r="R19"/>
  <c r="V28" i="170"/>
  <c r="W28" s="1"/>
  <c r="AR28" s="1"/>
  <c r="V23"/>
  <c r="R21" i="168"/>
  <c r="P27" i="170"/>
  <c r="AN27" s="1"/>
  <c r="AS27" s="1"/>
  <c r="R27"/>
  <c r="S27" s="1"/>
  <c r="R24" i="168"/>
  <c r="S24" s="1"/>
  <c r="V24"/>
  <c r="X24" s="1"/>
  <c r="BH13" i="105"/>
  <c r="AC13" i="107" s="1"/>
  <c r="AM27" i="170"/>
  <c r="V29"/>
  <c r="X29" s="1"/>
  <c r="Z27"/>
  <c r="AF20"/>
  <c r="AP20" s="1"/>
  <c r="T26" i="168"/>
  <c r="AR12" i="105"/>
  <c r="Z28" i="168"/>
  <c r="Z21"/>
  <c r="AC21" i="170"/>
  <c r="AO21" s="1"/>
  <c r="P24" i="168"/>
  <c r="AF24" s="1"/>
  <c r="AH24" s="1"/>
  <c r="Z22"/>
  <c r="Y20" i="170"/>
  <c r="AF21"/>
  <c r="AP21" s="1"/>
  <c r="AS12" i="105"/>
  <c r="V21" i="170"/>
  <c r="X21" s="1"/>
  <c r="BG12" i="105"/>
  <c r="AB12" i="107" s="1"/>
  <c r="BE12" i="105"/>
  <c r="Z12" i="107" s="1"/>
  <c r="BG20" i="105"/>
  <c r="AB20" i="107" s="1"/>
  <c r="AM23" i="170"/>
  <c r="BH12" i="105"/>
  <c r="AC12" i="107" s="1"/>
  <c r="BF12" i="105"/>
  <c r="AA12" i="107" s="1"/>
  <c r="R30" i="170"/>
  <c r="P20"/>
  <c r="AN20" s="1"/>
  <c r="AS20" s="1"/>
  <c r="BF20" i="105"/>
  <c r="AA20" i="107" s="1"/>
  <c r="Y25" i="168"/>
  <c r="T23" i="170"/>
  <c r="BG13" i="105"/>
  <c r="AB13" i="107" s="1"/>
  <c r="Y28" i="168"/>
  <c r="Q30" i="170"/>
  <c r="AR13" i="105"/>
  <c r="P22" i="168"/>
  <c r="AF22" s="1"/>
  <c r="AH22" s="1"/>
  <c r="AM30" i="170"/>
  <c r="AM24"/>
  <c r="Q23"/>
  <c r="V30"/>
  <c r="W30" s="1"/>
  <c r="AR30" s="1"/>
  <c r="BE13" i="105"/>
  <c r="Z13" i="107" s="1"/>
  <c r="AE29" i="168"/>
  <c r="AF30" i="170"/>
  <c r="AP30" s="1"/>
  <c r="AQ30" s="1"/>
  <c r="AS13" i="105"/>
  <c r="AQ13"/>
  <c r="AF23" i="170"/>
  <c r="AP23" s="1"/>
  <c r="AQ23" s="1"/>
  <c r="Q29" i="168"/>
  <c r="X29" s="1"/>
  <c r="Z29"/>
  <c r="BF13" i="105"/>
  <c r="AA13" i="107" s="1"/>
  <c r="Q19" i="168"/>
  <c r="BF19" i="105"/>
  <c r="AA19" i="107" s="1"/>
  <c r="T22" i="168"/>
  <c r="AM29" i="170"/>
  <c r="BE18" i="105"/>
  <c r="Z18" i="107" s="1"/>
  <c r="AP29" i="105"/>
  <c r="AS29"/>
  <c r="AE24" i="168"/>
  <c r="Y30" i="170"/>
  <c r="AQ29" i="105"/>
  <c r="AE22" i="168"/>
  <c r="R28" i="170"/>
  <c r="Y29"/>
  <c r="Z25" i="168"/>
  <c r="Q28"/>
  <c r="X28" s="1"/>
  <c r="AE28"/>
  <c r="Z30" i="170"/>
  <c r="R27" i="168"/>
  <c r="AC29" i="170"/>
  <c r="AO29" s="1"/>
  <c r="AE20" i="168"/>
  <c r="AF29" i="170"/>
  <c r="AP29" s="1"/>
  <c r="AF25"/>
  <c r="AP25" s="1"/>
  <c r="BE29" i="105"/>
  <c r="Z29" i="107" s="1"/>
  <c r="Z19" i="170"/>
  <c r="AC19"/>
  <c r="AO19" s="1"/>
  <c r="V25"/>
  <c r="X25" s="1"/>
  <c r="R25"/>
  <c r="S25" s="1"/>
  <c r="Y28"/>
  <c r="AM26"/>
  <c r="R22" i="168"/>
  <c r="S22" s="1"/>
  <c r="V19" i="170"/>
  <c r="K30"/>
  <c r="Q19"/>
  <c r="S19" s="1"/>
  <c r="AT19" s="1"/>
  <c r="V25" i="168"/>
  <c r="X25" s="1"/>
  <c r="AE25"/>
  <c r="P29" i="170"/>
  <c r="AN29" s="1"/>
  <c r="AS29" s="1"/>
  <c r="Z29"/>
  <c r="AF19"/>
  <c r="AP19" s="1"/>
  <c r="K26"/>
  <c r="R20" i="168"/>
  <c r="S20" s="1"/>
  <c r="P25"/>
  <c r="AF25" s="1"/>
  <c r="AH25" s="1"/>
  <c r="P20"/>
  <c r="AF20" s="1"/>
  <c r="AH20" s="1"/>
  <c r="BH21" i="105"/>
  <c r="AC21" i="107" s="1"/>
  <c r="R24" i="170"/>
  <c r="S24" s="1"/>
  <c r="AS22" i="105"/>
  <c r="AC24" i="170"/>
  <c r="AO24" s="1"/>
  <c r="P24"/>
  <c r="AN24" s="1"/>
  <c r="AS24" s="1"/>
  <c r="AS19" i="105"/>
  <c r="V24" i="170"/>
  <c r="W24" s="1"/>
  <c r="AR24" s="1"/>
  <c r="AS23" i="105"/>
  <c r="P21" i="170"/>
  <c r="AN21" s="1"/>
  <c r="AS21" s="1"/>
  <c r="AQ18" i="105"/>
  <c r="AR18"/>
  <c r="AM25" i="170"/>
  <c r="P26"/>
  <c r="AN26" s="1"/>
  <c r="AS26" s="1"/>
  <c r="AM21"/>
  <c r="AR19" i="105"/>
  <c r="P26" i="168"/>
  <c r="AF26" s="1"/>
  <c r="AH26" s="1"/>
  <c r="R29"/>
  <c r="AE27"/>
  <c r="T25" i="170"/>
  <c r="Y26"/>
  <c r="BH19" i="105"/>
  <c r="AC19" i="107" s="1"/>
  <c r="AF24" i="170"/>
  <c r="AP24" s="1"/>
  <c r="V19" i="168"/>
  <c r="Y29"/>
  <c r="Q27"/>
  <c r="X27" s="1"/>
  <c r="R21" i="170"/>
  <c r="S21" s="1"/>
  <c r="P23"/>
  <c r="AN23" s="1"/>
  <c r="AS23" s="1"/>
  <c r="AC26"/>
  <c r="AO26" s="1"/>
  <c r="AQ26" s="1"/>
  <c r="T24"/>
  <c r="Y24" i="168"/>
  <c r="Z26" i="170"/>
  <c r="K29" i="168"/>
  <c r="P19" i="170"/>
  <c r="AN19" s="1"/>
  <c r="AS19" s="1"/>
  <c r="P27" i="168"/>
  <c r="AF27" s="1"/>
  <c r="AH27" s="1"/>
  <c r="BG21" i="105"/>
  <c r="AB21" i="107" s="1"/>
  <c r="BG18" i="105"/>
  <c r="AB18" i="107" s="1"/>
  <c r="Y19" i="170"/>
  <c r="K22"/>
  <c r="AS18" i="105"/>
  <c r="BE19"/>
  <c r="Z19" i="107" s="1"/>
  <c r="AP19" i="105"/>
  <c r="Y21" i="170"/>
  <c r="BH18" i="105"/>
  <c r="AC18" i="107" s="1"/>
  <c r="AQ23" i="105"/>
  <c r="BE20"/>
  <c r="Z20" i="107" s="1"/>
  <c r="AR23" i="105"/>
  <c r="BG19"/>
  <c r="AB19" i="107" s="1"/>
  <c r="AQ22" i="105"/>
  <c r="G178" i="8"/>
  <c r="F177"/>
  <c r="E177"/>
  <c r="J178"/>
  <c r="C178"/>
  <c r="H202"/>
  <c r="H208"/>
  <c r="D177"/>
  <c r="AS24" i="105"/>
  <c r="AR24"/>
  <c r="AQ24"/>
  <c r="K28" i="170"/>
  <c r="J17" i="211"/>
  <c r="T17" s="1"/>
  <c r="AX24" i="105"/>
  <c r="BF24" s="1"/>
  <c r="AA24" i="107" s="1"/>
  <c r="AT48" i="8"/>
  <c r="M55" i="105"/>
  <c r="AG48" i="8"/>
  <c r="M56" i="124" s="1"/>
  <c r="I29" i="219"/>
  <c r="AR48" i="8"/>
  <c r="AJ48" s="1"/>
  <c r="P38" i="6"/>
  <c r="C40" i="8"/>
  <c r="J44" i="219"/>
  <c r="AC44"/>
  <c r="V40" i="8"/>
  <c r="AI38" i="6"/>
  <c r="AA47" i="219"/>
  <c r="T43" i="8"/>
  <c r="AG58" i="88"/>
  <c r="AG43" i="6"/>
  <c r="R47" i="219"/>
  <c r="K43" i="8"/>
  <c r="AQ43" s="1"/>
  <c r="AI43" s="1"/>
  <c r="X43" i="6"/>
  <c r="J14" i="211"/>
  <c r="J16"/>
  <c r="J12"/>
  <c r="J13"/>
  <c r="J8"/>
  <c r="J9"/>
  <c r="J15"/>
  <c r="W44" i="219"/>
  <c r="P40" i="8"/>
  <c r="AC38" i="6"/>
  <c r="AP43" i="8"/>
  <c r="AH43" s="1"/>
  <c r="S38" i="6"/>
  <c r="M44" i="219"/>
  <c r="F40" i="8"/>
  <c r="AS42" i="105"/>
  <c r="S29" i="170"/>
  <c r="AC20"/>
  <c r="AO20" s="1"/>
  <c r="K24"/>
  <c r="BF34" i="105"/>
  <c r="AA34" i="107" s="1"/>
  <c r="BF41" i="105"/>
  <c r="AA41" i="107" s="1"/>
  <c r="AQ43" i="105"/>
  <c r="BH42"/>
  <c r="AC42" i="107" s="1"/>
  <c r="BH31" i="105"/>
  <c r="AC31" i="107" s="1"/>
  <c r="BE50" i="105"/>
  <c r="Z50" i="107" s="1"/>
  <c r="F48"/>
  <c r="BG43" i="105"/>
  <c r="AB43" i="107" s="1"/>
  <c r="BH35" i="105"/>
  <c r="AC35" i="107" s="1"/>
  <c r="BE42" i="105"/>
  <c r="Z42" i="107" s="1"/>
  <c r="AQ38" i="105"/>
  <c r="AP39"/>
  <c r="BF38"/>
  <c r="AA38" i="107" s="1"/>
  <c r="BF59" i="105"/>
  <c r="AA59" i="107" s="1"/>
  <c r="AQ58" i="105"/>
  <c r="BE35"/>
  <c r="Z35" i="107" s="1"/>
  <c r="Z27" i="168"/>
  <c r="BF21" i="105"/>
  <c r="AA21" i="107" s="1"/>
  <c r="P19" i="168"/>
  <c r="AF19" s="1"/>
  <c r="AH19" s="1"/>
  <c r="AM20" i="170"/>
  <c r="V20"/>
  <c r="W20" s="1"/>
  <c r="AR20" s="1"/>
  <c r="T22"/>
  <c r="BE21" i="105"/>
  <c r="Z21" i="107" s="1"/>
  <c r="BF44" i="105"/>
  <c r="AA44" i="107" s="1"/>
  <c r="BG42" i="105"/>
  <c r="AB42" i="107" s="1"/>
  <c r="F34"/>
  <c r="AP46" i="105"/>
  <c r="AS53"/>
  <c r="AP38"/>
  <c r="F43" i="107"/>
  <c r="BF56" i="105"/>
  <c r="AA56" i="107" s="1"/>
  <c r="AQ55" i="105"/>
  <c r="AR56"/>
  <c r="F35" i="107"/>
  <c r="BH45" i="105"/>
  <c r="AC45" i="107" s="1"/>
  <c r="BH50" i="105"/>
  <c r="AC50" i="107" s="1"/>
  <c r="BG47" i="105"/>
  <c r="AB47" i="107" s="1"/>
  <c r="BG50" i="105"/>
  <c r="AB50" i="107" s="1"/>
  <c r="AS46" i="105"/>
  <c r="BE43"/>
  <c r="Z43" i="107" s="1"/>
  <c r="AQ41" i="105"/>
  <c r="F49" i="107"/>
  <c r="BE58" i="105"/>
  <c r="Z58" i="107" s="1"/>
  <c r="BF46" i="105"/>
  <c r="AA46" i="107" s="1"/>
  <c r="BG58" i="105"/>
  <c r="AB58" i="107" s="1"/>
  <c r="BH52" i="105"/>
  <c r="AC52" i="107" s="1"/>
  <c r="AP51" i="105"/>
  <c r="AR47"/>
  <c r="AR32"/>
  <c r="AR39"/>
  <c r="AP47"/>
  <c r="F40" i="107"/>
  <c r="BE34" i="105"/>
  <c r="Z34" i="107" s="1"/>
  <c r="AS48" i="8"/>
  <c r="AK48" s="1"/>
  <c r="AA48"/>
  <c r="J43"/>
  <c r="AR43" s="1"/>
  <c r="AJ43" s="1"/>
  <c r="Q47" i="219"/>
  <c r="W43" i="6"/>
  <c r="R38"/>
  <c r="L44" i="219"/>
  <c r="E40" i="8"/>
  <c r="Q38" i="6"/>
  <c r="K44" i="219"/>
  <c r="D40" i="8"/>
  <c r="Z47" i="219"/>
  <c r="S43" i="8"/>
  <c r="AF58" i="88"/>
  <c r="AF43" i="6"/>
  <c r="BF15" i="105"/>
  <c r="AA15" i="107" s="1"/>
  <c r="AR15" i="105"/>
  <c r="BH15"/>
  <c r="AC15" i="107" s="1"/>
  <c r="AP15" i="105"/>
  <c r="AQ15"/>
  <c r="BG15"/>
  <c r="AB15" i="107" s="1"/>
  <c r="V44" i="219"/>
  <c r="O40" i="8"/>
  <c r="AB38" i="6"/>
  <c r="H63" i="88"/>
  <c r="K63"/>
  <c r="G63"/>
  <c r="N63"/>
  <c r="X44" i="219"/>
  <c r="Q40" i="8"/>
  <c r="AD38" i="6"/>
  <c r="F54" i="107"/>
  <c r="K23" i="170"/>
  <c r="AP43" i="105"/>
  <c r="BF31"/>
  <c r="AA31" i="107" s="1"/>
  <c r="BE32" i="105"/>
  <c r="Z32" i="107" s="1"/>
  <c r="BG38" i="105"/>
  <c r="AB38" i="107" s="1"/>
  <c r="BG39" i="105"/>
  <c r="AB39" i="107" s="1"/>
  <c r="BG31" i="105"/>
  <c r="AB31" i="107" s="1"/>
  <c r="R20" i="170"/>
  <c r="R22"/>
  <c r="K21"/>
  <c r="Q26"/>
  <c r="S26" s="1"/>
  <c r="K29"/>
  <c r="J18" i="211"/>
  <c r="J10"/>
  <c r="BF57" i="105"/>
  <c r="AA57" i="107" s="1"/>
  <c r="BF32" i="105"/>
  <c r="AA32" i="107" s="1"/>
  <c r="F42"/>
  <c r="AP56" i="105"/>
  <c r="F52" i="107"/>
  <c r="F36"/>
  <c r="BG56" i="105"/>
  <c r="AB56" i="107" s="1"/>
  <c r="BH53" i="105"/>
  <c r="AC53" i="107" s="1"/>
  <c r="J11" i="211"/>
  <c r="AQ57" i="105"/>
  <c r="AS38"/>
  <c r="AS49"/>
  <c r="BH30"/>
  <c r="AC30" i="107" s="1"/>
  <c r="BH41" i="105"/>
  <c r="AC41" i="107" s="1"/>
  <c r="BH49" i="105"/>
  <c r="AC49" i="107" s="1"/>
  <c r="BH34" i="105"/>
  <c r="AC34" i="107" s="1"/>
  <c r="BE51" i="105"/>
  <c r="Z51" i="107" s="1"/>
  <c r="AR34" i="105"/>
  <c r="AS56"/>
  <c r="AQ56"/>
  <c r="F55" i="107"/>
  <c r="BE15" i="105"/>
  <c r="Z15" i="107" s="1"/>
  <c r="AB47" i="219"/>
  <c r="U43" i="8"/>
  <c r="AH58" i="88"/>
  <c r="AH43" i="6"/>
  <c r="W35" i="8"/>
  <c r="AD39" i="219"/>
  <c r="AJ37" i="6"/>
  <c r="U38"/>
  <c r="O44" i="219"/>
  <c r="H40" i="8"/>
  <c r="AP48"/>
  <c r="AH48" s="1"/>
  <c r="U44" i="219"/>
  <c r="G48" i="124"/>
  <c r="AA38" i="6"/>
  <c r="N40" i="8"/>
  <c r="G47" i="105"/>
  <c r="AQ48" i="8"/>
  <c r="AI48" s="1"/>
  <c r="Y44" i="219"/>
  <c r="R40" i="8"/>
  <c r="AE38" i="6"/>
  <c r="AE47" i="219"/>
  <c r="X43" i="8"/>
  <c r="AK43" i="6"/>
  <c r="V38"/>
  <c r="P44" i="219"/>
  <c r="I40" i="8"/>
  <c r="Y38" i="6"/>
  <c r="S44" i="219"/>
  <c r="L40" i="8"/>
  <c r="AM22" i="170"/>
  <c r="BF39" i="105"/>
  <c r="AA39" i="107" s="1"/>
  <c r="F38"/>
  <c r="BF42" i="105"/>
  <c r="AA42" i="107" s="1"/>
  <c r="BF29" i="105"/>
  <c r="AA29" i="107" s="1"/>
  <c r="Q22" i="170"/>
  <c r="P22"/>
  <c r="AN22" s="1"/>
  <c r="AS22" s="1"/>
  <c r="BH39" i="105"/>
  <c r="AC39" i="107" s="1"/>
  <c r="BH58" i="105"/>
  <c r="AC58" i="107" s="1"/>
  <c r="BG32" i="105"/>
  <c r="AB32" i="107" s="1"/>
  <c r="AQ53" i="105"/>
  <c r="BE45"/>
  <c r="Z45" i="107" s="1"/>
  <c r="BE38" i="105"/>
  <c r="Z38" i="107" s="1"/>
  <c r="AC22" i="170"/>
  <c r="AO22" s="1"/>
  <c r="AQ22" s="1"/>
  <c r="V22"/>
  <c r="V26" i="168"/>
  <c r="K20" i="170"/>
  <c r="AR21" i="105"/>
  <c r="Z22" i="170"/>
  <c r="K25"/>
  <c r="V26"/>
  <c r="V30" i="168"/>
  <c r="W30" s="1"/>
  <c r="AG30" s="1"/>
  <c r="K28"/>
  <c r="K24"/>
  <c r="AS41" i="105"/>
  <c r="AQ46"/>
  <c r="BF58"/>
  <c r="AA58" i="107" s="1"/>
  <c r="BF43" i="105"/>
  <c r="AA43" i="107" s="1"/>
  <c r="BE57" i="105"/>
  <c r="Z57" i="107" s="1"/>
  <c r="AQ34" i="105"/>
  <c r="BE56"/>
  <c r="Z56" i="107" s="1"/>
  <c r="AS39" i="105"/>
  <c r="AP42"/>
  <c r="AP41"/>
  <c r="AP30"/>
  <c r="BF47"/>
  <c r="AA47" i="107" s="1"/>
  <c r="BH48" i="105"/>
  <c r="AC48" i="107" s="1"/>
  <c r="BG57" i="105"/>
  <c r="AB57" i="107" s="1"/>
  <c r="AS30" i="105"/>
  <c r="F37" i="107"/>
  <c r="BG30" i="105"/>
  <c r="AB30" i="107" s="1"/>
  <c r="BF36" i="105"/>
  <c r="AA36" i="107" s="1"/>
  <c r="BE41" i="105"/>
  <c r="Z41" i="107" s="1"/>
  <c r="AS57" i="105"/>
  <c r="BE59"/>
  <c r="Z59" i="107" s="1"/>
  <c r="AP55" i="105"/>
  <c r="AQ32"/>
  <c r="AS58"/>
  <c r="J19" i="211"/>
  <c r="BG29" i="105"/>
  <c r="AB29" i="107" s="1"/>
  <c r="Z43" i="6"/>
  <c r="T47" i="219"/>
  <c r="M43" i="8"/>
  <c r="AS43" s="1"/>
  <c r="AK43" s="1"/>
  <c r="AE26" i="168"/>
  <c r="AP53" i="105"/>
  <c r="K19" i="170"/>
  <c r="AR44" i="105"/>
  <c r="BE53"/>
  <c r="Z53" i="107" s="1"/>
  <c r="AR42" i="105"/>
  <c r="AS43"/>
  <c r="Q26" i="168"/>
  <c r="S26" s="1"/>
  <c r="K27" i="170"/>
  <c r="S25" i="168"/>
  <c r="BE14" i="105"/>
  <c r="Z14" i="107" s="1"/>
  <c r="AS21" i="105"/>
  <c r="AR53"/>
  <c r="AS59"/>
  <c r="BG53"/>
  <c r="AB53" i="107" s="1"/>
  <c r="BE44" i="105"/>
  <c r="Z44" i="107" s="1"/>
  <c r="F30"/>
  <c r="F39"/>
  <c r="BF52" i="105"/>
  <c r="AA52" i="107" s="1"/>
  <c r="AS44" i="105"/>
  <c r="F45" i="107"/>
  <c r="BH29" i="105"/>
  <c r="AC29" i="107" s="1"/>
  <c r="K21" i="168"/>
  <c r="AE30"/>
  <c r="AC28" i="170"/>
  <c r="AO28" s="1"/>
  <c r="AQ28" s="1"/>
  <c r="K19" i="168"/>
  <c r="K23"/>
  <c r="T30"/>
  <c r="P28" i="170"/>
  <c r="AN28" s="1"/>
  <c r="AS28" s="1"/>
  <c r="Q28"/>
  <c r="K22" i="168"/>
  <c r="R30"/>
  <c r="AM28" i="170"/>
  <c r="K20" i="168"/>
  <c r="P30"/>
  <c r="AF30" s="1"/>
  <c r="AH30" s="1"/>
  <c r="K26"/>
  <c r="K30"/>
  <c r="K25"/>
  <c r="K27"/>
  <c r="AQ27" i="170"/>
  <c r="S23" i="168"/>
  <c r="W23"/>
  <c r="AG23" s="1"/>
  <c r="X23"/>
  <c r="W27" i="170"/>
  <c r="AR27" s="1"/>
  <c r="X27"/>
  <c r="W29" i="168"/>
  <c r="AG29" s="1"/>
  <c r="W27"/>
  <c r="AG27" s="1"/>
  <c r="AO12" i="16"/>
  <c r="G34" i="8"/>
  <c r="E37" i="196"/>
  <c r="N38" i="219"/>
  <c r="T33" i="6"/>
  <c r="X22" i="168"/>
  <c r="W22"/>
  <c r="AG22" s="1"/>
  <c r="BH14" i="105"/>
  <c r="AC14" i="107" s="1"/>
  <c r="BG14" i="105"/>
  <c r="AB14" i="107" s="1"/>
  <c r="AR14" i="105"/>
  <c r="AS14"/>
  <c r="BF14"/>
  <c r="AA14" i="107" s="1"/>
  <c r="BH17" i="105"/>
  <c r="AC17" i="107" s="1"/>
  <c r="AS17" i="105"/>
  <c r="BG17"/>
  <c r="AB17" i="107" s="1"/>
  <c r="AR17" i="105"/>
  <c r="BF17"/>
  <c r="AA17" i="107" s="1"/>
  <c r="W28" i="168"/>
  <c r="AG28" s="1"/>
  <c r="W21"/>
  <c r="AG21" s="1"/>
  <c r="BE17" i="105"/>
  <c r="Z17" i="107" s="1"/>
  <c r="AQ14" i="105"/>
  <c r="V155" i="8"/>
  <c r="W96"/>
  <c r="I155"/>
  <c r="E155"/>
  <c r="X96"/>
  <c r="N96"/>
  <c r="V96"/>
  <c r="E96"/>
  <c r="C96"/>
  <c r="J155"/>
  <c r="O96"/>
  <c r="O155"/>
  <c r="Q96"/>
  <c r="R155"/>
  <c r="C155"/>
  <c r="L96"/>
  <c r="U96"/>
  <c r="P155"/>
  <c r="F155"/>
  <c r="R96"/>
  <c r="H155"/>
  <c r="M155"/>
  <c r="X155"/>
  <c r="Z43"/>
  <c r="I96"/>
  <c r="L155"/>
  <c r="G155"/>
  <c r="T155"/>
  <c r="S155"/>
  <c r="H96"/>
  <c r="K155"/>
  <c r="Q155"/>
  <c r="F96"/>
  <c r="G96"/>
  <c r="D96"/>
  <c r="W155"/>
  <c r="N154"/>
  <c r="T96"/>
  <c r="U155"/>
  <c r="D155"/>
  <c r="S96"/>
  <c r="N155"/>
  <c r="P96"/>
  <c r="J14" i="107" l="1"/>
  <c r="F14" s="1"/>
  <c r="D9" i="168"/>
  <c r="L10" i="121" s="1"/>
  <c r="W19" i="170"/>
  <c r="AR19" s="1"/>
  <c r="W23"/>
  <c r="AR23" s="1"/>
  <c r="D9"/>
  <c r="AE55" i="88"/>
  <c r="J14" i="224"/>
  <c r="F14" s="1"/>
  <c r="J20" i="107"/>
  <c r="F20" s="1"/>
  <c r="AP20" i="105"/>
  <c r="J21" i="107"/>
  <c r="F21" s="1"/>
  <c r="AP21" i="105"/>
  <c r="BF22"/>
  <c r="AA22" i="107" s="1"/>
  <c r="BG22" i="105"/>
  <c r="AB22" i="107" s="1"/>
  <c r="BE22" i="105"/>
  <c r="Z22" i="107" s="1"/>
  <c r="AJ24" i="105"/>
  <c r="J24" i="224" s="1"/>
  <c r="F24" s="1"/>
  <c r="J26"/>
  <c r="F26" s="1"/>
  <c r="AP26" i="105"/>
  <c r="AJ23"/>
  <c r="J23" i="107" s="1"/>
  <c r="F23" s="1"/>
  <c r="BG23" i="105"/>
  <c r="AB23" i="107" s="1"/>
  <c r="AP17" i="105"/>
  <c r="BE23"/>
  <c r="Z23" i="107" s="1"/>
  <c r="BF23" i="105"/>
  <c r="AA23" i="107" s="1"/>
  <c r="J17" i="224"/>
  <c r="F17" s="1"/>
  <c r="AP22" i="105"/>
  <c r="AP18"/>
  <c r="J22" i="224"/>
  <c r="F22" s="1"/>
  <c r="J18" i="107"/>
  <c r="F18" s="1"/>
  <c r="N208" i="8"/>
  <c r="H58" i="88"/>
  <c r="I58" s="1"/>
  <c r="N58"/>
  <c r="K58"/>
  <c r="J55"/>
  <c r="N55" s="1"/>
  <c r="E48" i="124"/>
  <c r="E47" i="105"/>
  <c r="AP12"/>
  <c r="J12" i="224"/>
  <c r="F12" s="1"/>
  <c r="X28" i="170"/>
  <c r="S19" i="168"/>
  <c r="AI19" s="1"/>
  <c r="AN19" s="1"/>
  <c r="W20"/>
  <c r="AG20" s="1"/>
  <c r="S21"/>
  <c r="W25"/>
  <c r="AG25" s="1"/>
  <c r="AQ25" i="170"/>
  <c r="X23"/>
  <c r="W29"/>
  <c r="AR29" s="1"/>
  <c r="AQ21"/>
  <c r="X30"/>
  <c r="X19" i="168"/>
  <c r="W24"/>
  <c r="AG24" s="1"/>
  <c r="V17" i="211"/>
  <c r="S30" i="170"/>
  <c r="X20"/>
  <c r="X26"/>
  <c r="AQ20"/>
  <c r="W21"/>
  <c r="AR21" s="1"/>
  <c r="AQ29"/>
  <c r="L17" i="211"/>
  <c r="BI17" s="1"/>
  <c r="N17"/>
  <c r="S29" i="168"/>
  <c r="S28"/>
  <c r="M22"/>
  <c r="X26"/>
  <c r="AQ24" i="170"/>
  <c r="M29"/>
  <c r="AQ19"/>
  <c r="W19" i="168"/>
  <c r="AG19" s="1"/>
  <c r="X24" i="170"/>
  <c r="BH24" i="105"/>
  <c r="AC24" i="107" s="1"/>
  <c r="S23" i="170"/>
  <c r="M30" i="168"/>
  <c r="X19" i="170"/>
  <c r="W25"/>
  <c r="AR25" s="1"/>
  <c r="M17" i="211"/>
  <c r="Q17" s="1"/>
  <c r="S22" i="170"/>
  <c r="AJ24"/>
  <c r="S13" i="168"/>
  <c r="X30"/>
  <c r="M28" i="170"/>
  <c r="M30"/>
  <c r="S27" i="168"/>
  <c r="I63" i="88"/>
  <c r="M23" i="170"/>
  <c r="M27"/>
  <c r="AB24" i="168"/>
  <c r="BJ17" i="211"/>
  <c r="W26" i="168"/>
  <c r="AG26" s="1"/>
  <c r="M19" i="170"/>
  <c r="M25"/>
  <c r="AJ28"/>
  <c r="S10" s="1"/>
  <c r="W26"/>
  <c r="AR26" s="1"/>
  <c r="AJ19"/>
  <c r="S11" s="1"/>
  <c r="AJ20"/>
  <c r="M24"/>
  <c r="H209" i="8"/>
  <c r="D209"/>
  <c r="G209"/>
  <c r="M209"/>
  <c r="E209"/>
  <c r="Q209"/>
  <c r="U209"/>
  <c r="W209"/>
  <c r="K209"/>
  <c r="T209"/>
  <c r="F209"/>
  <c r="O209"/>
  <c r="R209"/>
  <c r="P209"/>
  <c r="V209"/>
  <c r="I209"/>
  <c r="C209"/>
  <c r="S209"/>
  <c r="X209"/>
  <c r="N209"/>
  <c r="L209"/>
  <c r="J209"/>
  <c r="BG24" i="105"/>
  <c r="AB24" i="107" s="1"/>
  <c r="AJ30" i="170"/>
  <c r="S20"/>
  <c r="AJ25"/>
  <c r="M19" i="168"/>
  <c r="M27"/>
  <c r="X22" i="170"/>
  <c r="M22"/>
  <c r="BE24" i="105"/>
  <c r="Z24" i="107" s="1"/>
  <c r="AJ27" i="170"/>
  <c r="AJ26"/>
  <c r="AJ29"/>
  <c r="M24" i="168"/>
  <c r="S13" i="170"/>
  <c r="AG43" i="8"/>
  <c r="M51" i="124" s="1"/>
  <c r="M50" i="105"/>
  <c r="AT43" i="8"/>
  <c r="D35"/>
  <c r="K39" i="219"/>
  <c r="Q37" i="6"/>
  <c r="S39" i="219"/>
  <c r="L35" i="8"/>
  <c r="Y37" i="6"/>
  <c r="AB44" i="219"/>
  <c r="AH55" i="88"/>
  <c r="U40" i="8"/>
  <c r="AH38" i="6"/>
  <c r="W39" i="219"/>
  <c r="P35" i="8"/>
  <c r="AC37" i="6"/>
  <c r="BJ16" i="211"/>
  <c r="N16"/>
  <c r="L16"/>
  <c r="BI16" s="1"/>
  <c r="V16"/>
  <c r="T16"/>
  <c r="M16"/>
  <c r="Y39" i="219"/>
  <c r="R35" i="8"/>
  <c r="AE37" i="6"/>
  <c r="M12" i="211"/>
  <c r="V12"/>
  <c r="T12"/>
  <c r="L12"/>
  <c r="BI12" s="1"/>
  <c r="N12"/>
  <c r="M20" i="170"/>
  <c r="M21"/>
  <c r="M29" i="168"/>
  <c r="AJ22" i="170"/>
  <c r="AJ23"/>
  <c r="M26" i="168"/>
  <c r="AA43" i="8"/>
  <c r="AC39" i="219"/>
  <c r="V35" i="8"/>
  <c r="AI37" i="6"/>
  <c r="AA37"/>
  <c r="G43" i="124"/>
  <c r="N35" i="8"/>
  <c r="U39" i="219"/>
  <c r="G42" i="105"/>
  <c r="M39" i="219"/>
  <c r="S37" i="6"/>
  <c r="F35" i="8"/>
  <c r="W34"/>
  <c r="AD38" i="219"/>
  <c r="E53" i="196"/>
  <c r="AO28" i="16"/>
  <c r="AJ33" i="6"/>
  <c r="M19" i="211"/>
  <c r="BJ19"/>
  <c r="V19"/>
  <c r="T19"/>
  <c r="L19"/>
  <c r="BI19" s="1"/>
  <c r="N19"/>
  <c r="AE44" i="219"/>
  <c r="X40" i="8"/>
  <c r="AK38" i="6"/>
  <c r="O39" i="219"/>
  <c r="H35" i="8"/>
  <c r="U37" i="6"/>
  <c r="L39" i="219"/>
  <c r="E35" i="8"/>
  <c r="R37" i="6"/>
  <c r="M9" i="211"/>
  <c r="N9"/>
  <c r="T9"/>
  <c r="V9"/>
  <c r="L9"/>
  <c r="BI9" s="1"/>
  <c r="M14"/>
  <c r="V14"/>
  <c r="BJ14"/>
  <c r="L14"/>
  <c r="BI14" s="1"/>
  <c r="T14"/>
  <c r="N14"/>
  <c r="N13"/>
  <c r="M13"/>
  <c r="L13"/>
  <c r="BI13" s="1"/>
  <c r="T13"/>
  <c r="V13"/>
  <c r="V37" i="6"/>
  <c r="P39" i="219"/>
  <c r="I35" i="8"/>
  <c r="T18" i="211"/>
  <c r="V18"/>
  <c r="N18"/>
  <c r="BJ18"/>
  <c r="M18"/>
  <c r="L18"/>
  <c r="BI18" s="1"/>
  <c r="Z44" i="219"/>
  <c r="S40" i="8"/>
  <c r="AF55" i="88"/>
  <c r="AF38" i="6"/>
  <c r="N15" i="211"/>
  <c r="L15"/>
  <c r="BI15" s="1"/>
  <c r="BJ15"/>
  <c r="T15"/>
  <c r="M15"/>
  <c r="V15"/>
  <c r="M26" i="170"/>
  <c r="W22"/>
  <c r="AR22" s="1"/>
  <c r="AB22" i="168"/>
  <c r="M20"/>
  <c r="M21"/>
  <c r="AJ21" i="170"/>
  <c r="AB26" i="168"/>
  <c r="M28"/>
  <c r="M23"/>
  <c r="M11" i="211"/>
  <c r="L11"/>
  <c r="BI11" s="1"/>
  <c r="N11"/>
  <c r="BJ11"/>
  <c r="V11"/>
  <c r="T11"/>
  <c r="W38" i="6"/>
  <c r="Q44" i="219"/>
  <c r="J40" i="8"/>
  <c r="L8" i="211"/>
  <c r="BI8" s="1"/>
  <c r="M8"/>
  <c r="V8"/>
  <c r="N8"/>
  <c r="T8"/>
  <c r="AA44" i="219"/>
  <c r="T40" i="8"/>
  <c r="AG55" i="88"/>
  <c r="AG38" i="6"/>
  <c r="Z38"/>
  <c r="M40" i="8"/>
  <c r="AS40" s="1"/>
  <c r="AK40" s="1"/>
  <c r="T44" i="219"/>
  <c r="BJ10" i="211"/>
  <c r="M10"/>
  <c r="L10"/>
  <c r="BI10" s="1"/>
  <c r="V10"/>
  <c r="T10"/>
  <c r="N10"/>
  <c r="Q35" i="8"/>
  <c r="X39" i="219"/>
  <c r="AD37" i="6"/>
  <c r="O35" i="8"/>
  <c r="V39" i="219"/>
  <c r="AB37" i="6"/>
  <c r="X38"/>
  <c r="R44" i="219"/>
  <c r="K40" i="8"/>
  <c r="J39" i="219"/>
  <c r="C35" i="8"/>
  <c r="P37" i="6"/>
  <c r="AP40" i="8"/>
  <c r="AH40" s="1"/>
  <c r="AB28" i="168"/>
  <c r="AB25"/>
  <c r="AB30"/>
  <c r="AB19"/>
  <c r="AB23"/>
  <c r="M25"/>
  <c r="AB27"/>
  <c r="S30"/>
  <c r="AB20"/>
  <c r="S28" i="170"/>
  <c r="AB29" i="168"/>
  <c r="AB21"/>
  <c r="AY19" i="170"/>
  <c r="AZ19"/>
  <c r="G30" i="8"/>
  <c r="N34" i="219"/>
  <c r="T27" i="6"/>
  <c r="P93" i="8"/>
  <c r="Z40"/>
  <c r="F93"/>
  <c r="R93"/>
  <c r="J96"/>
  <c r="I93"/>
  <c r="D93"/>
  <c r="X93"/>
  <c r="T93"/>
  <c r="E93"/>
  <c r="O93"/>
  <c r="W93"/>
  <c r="C93"/>
  <c r="G93"/>
  <c r="M96"/>
  <c r="H93"/>
  <c r="V93"/>
  <c r="L93"/>
  <c r="S93"/>
  <c r="U93"/>
  <c r="Q93"/>
  <c r="M93"/>
  <c r="K96"/>
  <c r="N93"/>
  <c r="G150"/>
  <c r="K93"/>
  <c r="J93"/>
  <c r="I150"/>
  <c r="H150"/>
  <c r="O150"/>
  <c r="C150"/>
  <c r="D150"/>
  <c r="T150"/>
  <c r="S150"/>
  <c r="F150"/>
  <c r="R150"/>
  <c r="U150"/>
  <c r="P150"/>
  <c r="W150"/>
  <c r="Q150"/>
  <c r="N150"/>
  <c r="L150"/>
  <c r="X150"/>
  <c r="E150"/>
  <c r="V150"/>
  <c r="E42" i="105" l="1"/>
  <c r="AP24"/>
  <c r="J24" i="107"/>
  <c r="F24" s="1"/>
  <c r="J23" i="224"/>
  <c r="F23" s="1"/>
  <c r="AP23" i="105"/>
  <c r="AI20" i="168"/>
  <c r="AO20" s="1"/>
  <c r="C43" i="121" s="1"/>
  <c r="K55" i="88"/>
  <c r="G55"/>
  <c r="H55"/>
  <c r="J50"/>
  <c r="G50" s="1"/>
  <c r="E43" i="124"/>
  <c r="AE50" i="88"/>
  <c r="AO19" i="168"/>
  <c r="C42" i="121" s="1"/>
  <c r="AL19" i="168"/>
  <c r="AW19" s="1"/>
  <c r="AK19"/>
  <c r="AU19" s="1"/>
  <c r="I42" i="121" s="1"/>
  <c r="P17" i="211"/>
  <c r="H17" s="1"/>
  <c r="AW19" i="170"/>
  <c r="BI19" s="1"/>
  <c r="AJ19" i="168"/>
  <c r="AR19" s="1"/>
  <c r="F42" i="121" s="1"/>
  <c r="O17" i="211"/>
  <c r="G204" i="8"/>
  <c r="C204"/>
  <c r="W204"/>
  <c r="O204"/>
  <c r="S204"/>
  <c r="P204"/>
  <c r="H204"/>
  <c r="L204"/>
  <c r="I204"/>
  <c r="F204"/>
  <c r="N204"/>
  <c r="D204"/>
  <c r="Q204"/>
  <c r="V204"/>
  <c r="U204"/>
  <c r="E204"/>
  <c r="T204"/>
  <c r="R204"/>
  <c r="X204"/>
  <c r="AT20" i="170"/>
  <c r="AZ20" s="1"/>
  <c r="AA40" i="8"/>
  <c r="AU19" i="170"/>
  <c r="BC19" s="1"/>
  <c r="AV19"/>
  <c r="BE19" s="1"/>
  <c r="AG40" i="8"/>
  <c r="M48" i="124" s="1"/>
  <c r="M47" i="105"/>
  <c r="AT40" i="8"/>
  <c r="AC38" i="219"/>
  <c r="E52" i="196"/>
  <c r="V34" i="8"/>
  <c r="AO27" i="16"/>
  <c r="AI33" i="6"/>
  <c r="E34" i="196"/>
  <c r="AO9" i="16"/>
  <c r="K38" i="219"/>
  <c r="Q33" i="6"/>
  <c r="D34" i="8"/>
  <c r="E44" i="196"/>
  <c r="AA33" i="6"/>
  <c r="G42" i="124"/>
  <c r="G41" i="105"/>
  <c r="U38" i="219"/>
  <c r="AO19" i="16"/>
  <c r="N34" i="8"/>
  <c r="Q12" i="211"/>
  <c r="O12"/>
  <c r="P12"/>
  <c r="X38" i="219"/>
  <c r="Q34" i="8"/>
  <c r="AO22" i="16"/>
  <c r="E47" i="196"/>
  <c r="AD33" i="6"/>
  <c r="O11" i="211"/>
  <c r="P11"/>
  <c r="Q13"/>
  <c r="O13"/>
  <c r="P13"/>
  <c r="J35" i="8"/>
  <c r="Q39" i="219"/>
  <c r="W37" i="6"/>
  <c r="Q14" i="211"/>
  <c r="O14"/>
  <c r="P14"/>
  <c r="AB33" i="6"/>
  <c r="E45" i="196"/>
  <c r="O34" i="8"/>
  <c r="AO20" i="16"/>
  <c r="V38" i="219"/>
  <c r="AR40" i="8"/>
  <c r="AJ40" s="1"/>
  <c r="Q18" i="211"/>
  <c r="O18"/>
  <c r="P18"/>
  <c r="Q9"/>
  <c r="P9"/>
  <c r="O9"/>
  <c r="W30" i="8"/>
  <c r="AD34" i="219"/>
  <c r="AJ27" i="6"/>
  <c r="Q11" i="211"/>
  <c r="K35" i="8"/>
  <c r="AQ35" s="1"/>
  <c r="AI35" s="1"/>
  <c r="X37" i="6"/>
  <c r="R39" i="219"/>
  <c r="AA39"/>
  <c r="AG50" i="88"/>
  <c r="T35" i="8"/>
  <c r="AG37" i="6"/>
  <c r="P38" i="219"/>
  <c r="I34" i="8"/>
  <c r="AO14" i="16"/>
  <c r="E39" i="196"/>
  <c r="V33" i="6"/>
  <c r="AE39" i="219"/>
  <c r="X35" i="8"/>
  <c r="AK37" i="6"/>
  <c r="Q19" i="211"/>
  <c r="P19"/>
  <c r="O19"/>
  <c r="P33" i="6"/>
  <c r="AO8" i="16"/>
  <c r="J38" i="219"/>
  <c r="C34" i="8"/>
  <c r="E33" i="196"/>
  <c r="T39" i="219"/>
  <c r="M35" i="8"/>
  <c r="Z37" i="6"/>
  <c r="Q8" i="211"/>
  <c r="M4"/>
  <c r="B49" s="1"/>
  <c r="AI5"/>
  <c r="AI4" s="1"/>
  <c r="AH5"/>
  <c r="AH4" s="1"/>
  <c r="AH3" s="1"/>
  <c r="O8"/>
  <c r="M5"/>
  <c r="B50" s="1"/>
  <c r="P8"/>
  <c r="AG5"/>
  <c r="AG4" s="1"/>
  <c r="AG3" s="1"/>
  <c r="AF5"/>
  <c r="AF4" s="1"/>
  <c r="AF3" s="1"/>
  <c r="AE5"/>
  <c r="AE4" s="1"/>
  <c r="Q15"/>
  <c r="O15"/>
  <c r="P15"/>
  <c r="AO11" i="16"/>
  <c r="E36" i="196"/>
  <c r="F34" i="8"/>
  <c r="M38" i="219"/>
  <c r="S33" i="6"/>
  <c r="Y38" i="219"/>
  <c r="R34" i="8"/>
  <c r="AO23" i="16"/>
  <c r="E48" i="196"/>
  <c r="AE33" i="6"/>
  <c r="AB39" i="219"/>
  <c r="AH50" i="88"/>
  <c r="U35" i="8"/>
  <c r="AH37" i="6"/>
  <c r="AQ40" i="8"/>
  <c r="AI40" s="1"/>
  <c r="AC8" i="211"/>
  <c r="Y8"/>
  <c r="AB8"/>
  <c r="Z8"/>
  <c r="AA8"/>
  <c r="Q16"/>
  <c r="O16"/>
  <c r="P16"/>
  <c r="U33" i="6"/>
  <c r="H34" i="8"/>
  <c r="O38" i="219"/>
  <c r="AO13" i="16"/>
  <c r="E38" i="196"/>
  <c r="Z39" i="219"/>
  <c r="S35" i="8"/>
  <c r="AF50" i="88"/>
  <c r="AF37" i="6"/>
  <c r="P34" i="8"/>
  <c r="W38" i="219"/>
  <c r="E46" i="196"/>
  <c r="AO21" i="16"/>
  <c r="AC33" i="6"/>
  <c r="Q10" i="211"/>
  <c r="P10"/>
  <c r="O10"/>
  <c r="AP35" i="8"/>
  <c r="AH35" s="1"/>
  <c r="Y33" i="6"/>
  <c r="S38" i="219"/>
  <c r="AO17" i="16"/>
  <c r="E42" i="196"/>
  <c r="L34" i="8"/>
  <c r="E35" i="196"/>
  <c r="R33" i="6"/>
  <c r="E34" i="8"/>
  <c r="L38" i="219"/>
  <c r="AO10" i="16"/>
  <c r="T26" i="6"/>
  <c r="G24" i="8"/>
  <c r="N28" i="219"/>
  <c r="B42" i="121"/>
  <c r="AM19" i="168"/>
  <c r="A42" i="121" s="1"/>
  <c r="D88" i="8"/>
  <c r="F147"/>
  <c r="O147"/>
  <c r="X88"/>
  <c r="T88"/>
  <c r="L147"/>
  <c r="U147"/>
  <c r="L88"/>
  <c r="M147"/>
  <c r="K147"/>
  <c r="P147"/>
  <c r="V88"/>
  <c r="S147"/>
  <c r="T147"/>
  <c r="I147"/>
  <c r="G88"/>
  <c r="H147"/>
  <c r="F88"/>
  <c r="R147"/>
  <c r="H88"/>
  <c r="I88"/>
  <c r="X147"/>
  <c r="U88"/>
  <c r="J150"/>
  <c r="Q147"/>
  <c r="P88"/>
  <c r="J147"/>
  <c r="C147"/>
  <c r="V147"/>
  <c r="E88"/>
  <c r="K150"/>
  <c r="C88"/>
  <c r="O88"/>
  <c r="R88"/>
  <c r="S88"/>
  <c r="M150"/>
  <c r="G147"/>
  <c r="N88"/>
  <c r="Z35"/>
  <c r="W147"/>
  <c r="N147"/>
  <c r="D147"/>
  <c r="Q88"/>
  <c r="W88"/>
  <c r="E147"/>
  <c r="M88"/>
  <c r="J204" l="1"/>
  <c r="AC11" i="88"/>
  <c r="AI21" i="168"/>
  <c r="AO21" s="1"/>
  <c r="C44" i="121" s="1"/>
  <c r="AN20" i="168"/>
  <c r="AM20" s="1"/>
  <c r="A43" i="121" s="1"/>
  <c r="I55" i="88"/>
  <c r="N50"/>
  <c r="H50"/>
  <c r="I50" s="1"/>
  <c r="K50"/>
  <c r="AH11"/>
  <c r="AQ9" s="1"/>
  <c r="E42" i="124"/>
  <c r="E41" i="105"/>
  <c r="J49" i="88"/>
  <c r="H49" s="1"/>
  <c r="AE49"/>
  <c r="AX19" i="168"/>
  <c r="L42" i="121" s="1"/>
  <c r="AT19" i="168"/>
  <c r="H42" i="121" s="1"/>
  <c r="AK20" i="168"/>
  <c r="AT20" s="1"/>
  <c r="AL20"/>
  <c r="AW20" s="1"/>
  <c r="K204" i="8"/>
  <c r="AY20" i="170"/>
  <c r="AJ20" i="168"/>
  <c r="AR20" s="1"/>
  <c r="F43" i="121" s="1"/>
  <c r="R17" i="211"/>
  <c r="BH19" i="170"/>
  <c r="AW20"/>
  <c r="BI20" s="1"/>
  <c r="AQ19" i="168"/>
  <c r="E42" i="121" s="1"/>
  <c r="AU20" i="170"/>
  <c r="BB20" s="1"/>
  <c r="BB19"/>
  <c r="AF11" i="88"/>
  <c r="AT21" i="170"/>
  <c r="AT22" s="1"/>
  <c r="AA35" i="8"/>
  <c r="AK7" i="211"/>
  <c r="V201" i="8"/>
  <c r="L201"/>
  <c r="T201"/>
  <c r="P201"/>
  <c r="M201"/>
  <c r="O201"/>
  <c r="K201"/>
  <c r="M204"/>
  <c r="J201"/>
  <c r="R201"/>
  <c r="H201"/>
  <c r="W201"/>
  <c r="U201"/>
  <c r="I201"/>
  <c r="F201"/>
  <c r="X201"/>
  <c r="G201"/>
  <c r="C201"/>
  <c r="D201"/>
  <c r="N201"/>
  <c r="S201"/>
  <c r="E201"/>
  <c r="Q201"/>
  <c r="AV20" i="170"/>
  <c r="BE20" s="1"/>
  <c r="AD11" i="88"/>
  <c r="BF19" i="170"/>
  <c r="M42" i="105"/>
  <c r="AT35" i="8"/>
  <c r="AG35"/>
  <c r="M43" i="124" s="1"/>
  <c r="AB38" i="219"/>
  <c r="U34" i="8"/>
  <c r="AH49" i="88"/>
  <c r="AO26" i="16"/>
  <c r="E51" i="196"/>
  <c r="AH33" i="6"/>
  <c r="J34" i="219"/>
  <c r="P27" i="6"/>
  <c r="C30" i="8"/>
  <c r="AE38" i="219"/>
  <c r="X34" i="8"/>
  <c r="E54" i="196"/>
  <c r="AO29" i="16"/>
  <c r="AK33" i="6"/>
  <c r="T34" i="8"/>
  <c r="AA38" i="219"/>
  <c r="AG49" i="88"/>
  <c r="E50" i="196"/>
  <c r="AO25" i="16"/>
  <c r="AG33" i="6"/>
  <c r="H9" i="211"/>
  <c r="R9"/>
  <c r="J34" i="8"/>
  <c r="Q38" i="219"/>
  <c r="W33" i="6"/>
  <c r="AO15" i="16"/>
  <c r="E40" i="196"/>
  <c r="Q30" i="8"/>
  <c r="X34" i="219"/>
  <c r="AD27" i="6"/>
  <c r="K34" i="219"/>
  <c r="D30" i="8"/>
  <c r="Q27" i="6"/>
  <c r="H10" i="211"/>
  <c r="R10"/>
  <c r="R16"/>
  <c r="H16"/>
  <c r="AI7"/>
  <c r="AE11" i="88"/>
  <c r="M34" i="219"/>
  <c r="F30" i="8"/>
  <c r="S27" i="6"/>
  <c r="AF49" i="88"/>
  <c r="Z38" i="219"/>
  <c r="S34" i="8"/>
  <c r="E49" i="196"/>
  <c r="AO24" i="16"/>
  <c r="AF33" i="6"/>
  <c r="R15" i="211"/>
  <c r="H15"/>
  <c r="H11"/>
  <c r="R11"/>
  <c r="AP34" i="8"/>
  <c r="AH34" s="1"/>
  <c r="AF8" i="211"/>
  <c r="Y9"/>
  <c r="AE8"/>
  <c r="U34" i="219"/>
  <c r="N30" i="8"/>
  <c r="G38" i="124"/>
  <c r="AA27" i="6"/>
  <c r="G37" i="105"/>
  <c r="S34" i="219"/>
  <c r="Y27" i="6"/>
  <c r="L30" i="8"/>
  <c r="AL8" i="211"/>
  <c r="AK8"/>
  <c r="AB9"/>
  <c r="Y34" i="219"/>
  <c r="R30" i="8"/>
  <c r="AE27" i="6"/>
  <c r="R8" i="211"/>
  <c r="H8"/>
  <c r="W24" i="8"/>
  <c r="AD28" i="219"/>
  <c r="AJ26" i="6"/>
  <c r="AC34" i="219"/>
  <c r="V30" i="8"/>
  <c r="AI27" i="6"/>
  <c r="AS35" i="8"/>
  <c r="AK35" s="1"/>
  <c r="W34" i="219"/>
  <c r="P30" i="8"/>
  <c r="AC27" i="6"/>
  <c r="H30" i="8"/>
  <c r="U27" i="6"/>
  <c r="O34" i="219"/>
  <c r="H19" i="211"/>
  <c r="R19"/>
  <c r="H14"/>
  <c r="R14"/>
  <c r="R12"/>
  <c r="H12"/>
  <c r="Z9"/>
  <c r="AH8"/>
  <c r="AG8"/>
  <c r="AO18" i="16"/>
  <c r="Z33" i="6"/>
  <c r="T38" i="219"/>
  <c r="E43" i="196"/>
  <c r="M34" i="8"/>
  <c r="AS34" s="1"/>
  <c r="AK34" s="1"/>
  <c r="I30"/>
  <c r="P34" i="219"/>
  <c r="V27" i="6"/>
  <c r="H13" i="211"/>
  <c r="R13"/>
  <c r="AG7"/>
  <c r="E30" i="8"/>
  <c r="L34" i="219"/>
  <c r="R27" i="6"/>
  <c r="AC9" i="211"/>
  <c r="AM8"/>
  <c r="AO16" i="16"/>
  <c r="X33" i="6"/>
  <c r="R38" i="219"/>
  <c r="E41" i="196"/>
  <c r="K34" i="8"/>
  <c r="AA9" i="211"/>
  <c r="AI8"/>
  <c r="AJ8"/>
  <c r="R18"/>
  <c r="H18"/>
  <c r="V34" i="219"/>
  <c r="AB27" i="6"/>
  <c r="O30" i="8"/>
  <c r="AR35"/>
  <c r="AJ35" s="1"/>
  <c r="AE7" i="211"/>
  <c r="AV19" i="168"/>
  <c r="J42" i="121" s="1"/>
  <c r="K42"/>
  <c r="T24" i="6"/>
  <c r="G23" i="8"/>
  <c r="D37" i="196"/>
  <c r="AD12" i="16"/>
  <c r="N27" i="219"/>
  <c r="AP29" i="16"/>
  <c r="AP27"/>
  <c r="U87" i="8"/>
  <c r="E87"/>
  <c r="V87"/>
  <c r="AP22" i="16"/>
  <c r="AP21"/>
  <c r="AP19"/>
  <c r="H87" i="8"/>
  <c r="AP9" i="16"/>
  <c r="AP17"/>
  <c r="AP24"/>
  <c r="AP10"/>
  <c r="D87" i="8"/>
  <c r="AP25" i="16"/>
  <c r="I87" i="8"/>
  <c r="Z34"/>
  <c r="AP26" i="16"/>
  <c r="AP15"/>
  <c r="J87" i="8"/>
  <c r="J88"/>
  <c r="P87"/>
  <c r="AP28" i="16"/>
  <c r="O87" i="8"/>
  <c r="AP23" i="16"/>
  <c r="X87" i="8"/>
  <c r="R87"/>
  <c r="S87"/>
  <c r="AP20" i="16"/>
  <c r="AP8"/>
  <c r="K88" i="8"/>
  <c r="L87"/>
  <c r="I142"/>
  <c r="T87"/>
  <c r="C87"/>
  <c r="W87"/>
  <c r="M87"/>
  <c r="Q87"/>
  <c r="G87"/>
  <c r="S142"/>
  <c r="AP18" i="16"/>
  <c r="C142" i="8"/>
  <c r="AP12" i="16"/>
  <c r="AP11"/>
  <c r="AP13"/>
  <c r="AP14"/>
  <c r="N87" i="8"/>
  <c r="Q142"/>
  <c r="V142"/>
  <c r="K87"/>
  <c r="R142"/>
  <c r="AQ10" i="16"/>
  <c r="AP16"/>
  <c r="AQ25" s="1"/>
  <c r="AQ14"/>
  <c r="F87" i="8"/>
  <c r="AQ12" i="16"/>
  <c r="AQ17"/>
  <c r="E142" i="8"/>
  <c r="M142"/>
  <c r="G142"/>
  <c r="O142"/>
  <c r="F142"/>
  <c r="L142"/>
  <c r="P142"/>
  <c r="W142"/>
  <c r="AQ29" i="16"/>
  <c r="AQ19"/>
  <c r="AQ28"/>
  <c r="AQ15"/>
  <c r="AQ23"/>
  <c r="AQ16"/>
  <c r="AQ11"/>
  <c r="AQ27"/>
  <c r="AQ13"/>
  <c r="AQ24"/>
  <c r="AQ22"/>
  <c r="AQ8"/>
  <c r="AQ21"/>
  <c r="AQ26"/>
  <c r="N142" i="8"/>
  <c r="X142"/>
  <c r="H142"/>
  <c r="U142"/>
  <c r="D142"/>
  <c r="T142"/>
  <c r="AQ9" i="16"/>
  <c r="AQ20"/>
  <c r="E37" i="105" l="1"/>
  <c r="AI22" i="168"/>
  <c r="AN22" s="1"/>
  <c r="B43" i="121"/>
  <c r="AN21" i="168"/>
  <c r="B44" i="121" s="1"/>
  <c r="G49" i="88"/>
  <c r="I49" s="1"/>
  <c r="J45"/>
  <c r="H45" s="1"/>
  <c r="E38" i="124"/>
  <c r="AE45" i="88"/>
  <c r="K49"/>
  <c r="I11"/>
  <c r="J11" s="1"/>
  <c r="AJ21" i="168"/>
  <c r="AJ22" s="1"/>
  <c r="AR22" s="1"/>
  <c r="F45" i="121" s="1"/>
  <c r="AQ20" i="168"/>
  <c r="AP20" s="1"/>
  <c r="D43" i="121" s="1"/>
  <c r="AK21" i="168"/>
  <c r="AK22" s="1"/>
  <c r="AU20"/>
  <c r="I43" i="121" s="1"/>
  <c r="AS19" i="168"/>
  <c r="G42" i="121" s="1"/>
  <c r="AL21" i="168"/>
  <c r="AX21" s="1"/>
  <c r="L44" i="121" s="1"/>
  <c r="AX20" i="168"/>
  <c r="L43" i="121" s="1"/>
  <c r="AW21" i="170"/>
  <c r="BI21" s="1"/>
  <c r="BH20"/>
  <c r="BC20"/>
  <c r="AP19" i="168"/>
  <c r="D42" i="121" s="1"/>
  <c r="AU21" i="170"/>
  <c r="BC21" s="1"/>
  <c r="AY21"/>
  <c r="AZ21"/>
  <c r="J16" i="196"/>
  <c r="J17" s="1"/>
  <c r="J41" s="1"/>
  <c r="AA34" i="8"/>
  <c r="AQ34"/>
  <c r="AI34" s="1"/>
  <c r="I196"/>
  <c r="D196"/>
  <c r="M196"/>
  <c r="R196"/>
  <c r="L196"/>
  <c r="Q196"/>
  <c r="F196"/>
  <c r="C196"/>
  <c r="U196"/>
  <c r="S196"/>
  <c r="O196"/>
  <c r="H196"/>
  <c r="P196"/>
  <c r="N196"/>
  <c r="E196"/>
  <c r="X196"/>
  <c r="G196"/>
  <c r="T196"/>
  <c r="V196"/>
  <c r="W196"/>
  <c r="BF20" i="170"/>
  <c r="AV21"/>
  <c r="AU21" i="16"/>
  <c r="T24" i="67" s="1"/>
  <c r="AR21" i="16"/>
  <c r="AV21"/>
  <c r="U24" i="67" s="1"/>
  <c r="AS21" i="16"/>
  <c r="AW21"/>
  <c r="V24" i="67" s="1"/>
  <c r="AT21" i="16"/>
  <c r="Q24" i="67" s="1"/>
  <c r="R24" s="1"/>
  <c r="AT23" i="16"/>
  <c r="Q26" i="67" s="1"/>
  <c r="R26" s="1"/>
  <c r="AU23" i="16"/>
  <c r="T26" i="67" s="1"/>
  <c r="AR23" i="16"/>
  <c r="AS23"/>
  <c r="AV23"/>
  <c r="U26" i="67" s="1"/>
  <c r="AW23" i="16"/>
  <c r="V26" i="67" s="1"/>
  <c r="AU27" i="16"/>
  <c r="T30" i="67" s="1"/>
  <c r="AR27" i="16"/>
  <c r="AV27"/>
  <c r="U30" i="67" s="1"/>
  <c r="AT27" i="16"/>
  <c r="Q30" i="67" s="1"/>
  <c r="R30" s="1"/>
  <c r="AW27" i="16"/>
  <c r="V30" i="67" s="1"/>
  <c r="AS27" i="16"/>
  <c r="AS25"/>
  <c r="AW25"/>
  <c r="V28" i="67" s="1"/>
  <c r="AR25" i="16"/>
  <c r="AT25"/>
  <c r="Q28" i="67" s="1"/>
  <c r="R28" s="1"/>
  <c r="AU25" i="16"/>
  <c r="T28" i="67" s="1"/>
  <c r="AV25" i="16"/>
  <c r="U28" i="67" s="1"/>
  <c r="AS29" i="16"/>
  <c r="AV29"/>
  <c r="U32" i="67" s="1"/>
  <c r="AW29" i="16"/>
  <c r="V32" i="67" s="1"/>
  <c r="AT29" i="16"/>
  <c r="Q32" i="67" s="1"/>
  <c r="R32" s="1"/>
  <c r="AU29" i="16"/>
  <c r="T32" i="67" s="1"/>
  <c r="AR29" i="16"/>
  <c r="AS28"/>
  <c r="AW28"/>
  <c r="V31" i="67" s="1"/>
  <c r="AT28" i="16"/>
  <c r="Q31" i="67" s="1"/>
  <c r="R31" s="1"/>
  <c r="AV28" i="16"/>
  <c r="U31" i="67" s="1"/>
  <c r="AU28" i="16"/>
  <c r="T31" i="67" s="1"/>
  <c r="AR28" i="16"/>
  <c r="AR26"/>
  <c r="AU26"/>
  <c r="T29" i="67" s="1"/>
  <c r="AV26" i="16"/>
  <c r="U29" i="67" s="1"/>
  <c r="AT26" i="16"/>
  <c r="Q29" i="67" s="1"/>
  <c r="R29" s="1"/>
  <c r="AW26" i="16"/>
  <c r="V29" i="67" s="1"/>
  <c r="AS26" i="16"/>
  <c r="AS24"/>
  <c r="AU24"/>
  <c r="T27" i="67" s="1"/>
  <c r="AR24" i="16"/>
  <c r="AV24"/>
  <c r="U27" i="67" s="1"/>
  <c r="AT24" i="16"/>
  <c r="Q27" i="67" s="1"/>
  <c r="R27" s="1"/>
  <c r="AW24" i="16"/>
  <c r="V27" i="67" s="1"/>
  <c r="AU22" i="16"/>
  <c r="T25" i="67" s="1"/>
  <c r="AR22" i="16"/>
  <c r="AT22"/>
  <c r="Q25" i="67" s="1"/>
  <c r="R25" s="1"/>
  <c r="AS22" i="16"/>
  <c r="AV22"/>
  <c r="U25" i="67" s="1"/>
  <c r="AW22" i="16"/>
  <c r="V25" i="67" s="1"/>
  <c r="M41" i="105"/>
  <c r="AT34" i="8"/>
  <c r="AG34"/>
  <c r="M42" i="124" s="1"/>
  <c r="AA34" i="219"/>
  <c r="T30" i="8"/>
  <c r="AG45" i="88"/>
  <c r="AG27" i="6"/>
  <c r="AD27" i="219"/>
  <c r="W23" i="8"/>
  <c r="AD28" i="16"/>
  <c r="D53" i="196"/>
  <c r="AJ24" i="6"/>
  <c r="Q24" i="8"/>
  <c r="X28" i="219"/>
  <c r="AD26" i="6"/>
  <c r="AM9" i="211"/>
  <c r="AC10"/>
  <c r="AG9"/>
  <c r="AH9"/>
  <c r="Z10"/>
  <c r="F24" i="8"/>
  <c r="S26" i="6"/>
  <c r="M28" i="219"/>
  <c r="V28"/>
  <c r="AB26" i="6"/>
  <c r="O24" i="8"/>
  <c r="L28" i="219"/>
  <c r="E24" i="8"/>
  <c r="R26" i="6"/>
  <c r="AC28" i="219"/>
  <c r="V24" i="8"/>
  <c r="AI26" i="6"/>
  <c r="Y28" i="219"/>
  <c r="R24" i="8"/>
  <c r="AE26" i="6"/>
  <c r="L11" i="88"/>
  <c r="P24" i="8"/>
  <c r="W28" i="219"/>
  <c r="AC26" i="6"/>
  <c r="AB10" i="211"/>
  <c r="AK9"/>
  <c r="AL9"/>
  <c r="AA10"/>
  <c r="AI9"/>
  <c r="AJ9"/>
  <c r="AE34" i="219"/>
  <c r="X30" i="8"/>
  <c r="AK27" i="6"/>
  <c r="M30" i="8"/>
  <c r="AS30" s="1"/>
  <c r="AK30" s="1"/>
  <c r="T34" i="219"/>
  <c r="Z27" i="6"/>
  <c r="V26"/>
  <c r="P28" i="219"/>
  <c r="I24" i="8"/>
  <c r="S28" i="219"/>
  <c r="L24" i="8"/>
  <c r="Y26" i="6"/>
  <c r="AE9" i="211"/>
  <c r="AF9"/>
  <c r="Y10"/>
  <c r="D24" i="8"/>
  <c r="Q26" i="6"/>
  <c r="K28" i="219"/>
  <c r="W27" i="6"/>
  <c r="Q34" i="219"/>
  <c r="J30" i="8"/>
  <c r="AP30"/>
  <c r="AH30" s="1"/>
  <c r="N24"/>
  <c r="G31" i="105"/>
  <c r="G32" i="124"/>
  <c r="U28" i="219"/>
  <c r="AA26" i="6"/>
  <c r="P26"/>
  <c r="J28" i="219"/>
  <c r="C24" i="8"/>
  <c r="O28" i="219"/>
  <c r="H24" i="8"/>
  <c r="U26" i="6"/>
  <c r="AR34" i="8"/>
  <c r="AJ34" s="1"/>
  <c r="S30"/>
  <c r="AF45" i="88"/>
  <c r="Z34" i="219"/>
  <c r="AF27" i="6"/>
  <c r="R34" i="219"/>
  <c r="K30" i="8"/>
  <c r="X27" i="6"/>
  <c r="AB34" i="219"/>
  <c r="U30" i="8"/>
  <c r="AH45" i="88"/>
  <c r="AH27" i="6"/>
  <c r="H43" i="121"/>
  <c r="AS20" i="168"/>
  <c r="G43" i="121" s="1"/>
  <c r="AY22" i="170"/>
  <c r="AT23"/>
  <c r="AZ22"/>
  <c r="K43" i="121"/>
  <c r="AV20" i="168"/>
  <c r="J43" i="121" s="1"/>
  <c r="G21" i="8"/>
  <c r="N25" i="219"/>
  <c r="T21" i="6"/>
  <c r="AT20" i="16"/>
  <c r="AW20"/>
  <c r="AV20"/>
  <c r="H141" i="8"/>
  <c r="D141"/>
  <c r="N141"/>
  <c r="AV8" i="16"/>
  <c r="T141" i="8"/>
  <c r="AT9" i="16"/>
  <c r="AV14"/>
  <c r="O83" i="8"/>
  <c r="AT15" i="16"/>
  <c r="AV19"/>
  <c r="AT10"/>
  <c r="AV15"/>
  <c r="S141" i="8"/>
  <c r="K141"/>
  <c r="AW16" i="16"/>
  <c r="Z30" i="8"/>
  <c r="S83"/>
  <c r="L83"/>
  <c r="W141"/>
  <c r="AW15" i="16"/>
  <c r="F83" i="8"/>
  <c r="AW14" i="16"/>
  <c r="I141" i="8"/>
  <c r="AW12" i="16"/>
  <c r="AT12"/>
  <c r="N83" i="8"/>
  <c r="AW17" i="16"/>
  <c r="AV10"/>
  <c r="AQ18"/>
  <c r="X83" i="8"/>
  <c r="C83"/>
  <c r="E83"/>
  <c r="O141"/>
  <c r="U141"/>
  <c r="AW11" i="16"/>
  <c r="AT17"/>
  <c r="AV9"/>
  <c r="AW9"/>
  <c r="AV13"/>
  <c r="Q83" i="8"/>
  <c r="M141"/>
  <c r="AW8" i="16"/>
  <c r="R141" i="8"/>
  <c r="AV12" i="16"/>
  <c r="AT11"/>
  <c r="J142" i="8"/>
  <c r="V83"/>
  <c r="P141"/>
  <c r="F141"/>
  <c r="T83"/>
  <c r="X141"/>
  <c r="J141"/>
  <c r="AT19" i="16"/>
  <c r="W83" i="8"/>
  <c r="C141"/>
  <c r="AT14" i="16"/>
  <c r="K83" i="8"/>
  <c r="AV17" i="16"/>
  <c r="K142" i="8"/>
  <c r="V141"/>
  <c r="H83"/>
  <c r="AW19" i="16"/>
  <c r="U83" i="8"/>
  <c r="I83"/>
  <c r="AW10" i="16"/>
  <c r="G83" i="8"/>
  <c r="P83"/>
  <c r="AV11" i="16"/>
  <c r="R83" i="8"/>
  <c r="G141"/>
  <c r="AT13" i="16"/>
  <c r="E141" i="8"/>
  <c r="L141"/>
  <c r="AT8" i="16"/>
  <c r="AT16"/>
  <c r="Q141" i="8"/>
  <c r="AW13" i="16"/>
  <c r="D83" i="8"/>
  <c r="AV16" i="16"/>
  <c r="J83" i="8"/>
  <c r="AS20" i="16" l="1"/>
  <c r="K196" i="8"/>
  <c r="U23" i="67"/>
  <c r="V23"/>
  <c r="Q23"/>
  <c r="E31" i="105"/>
  <c r="AO22" i="168"/>
  <c r="C45" i="121" s="1"/>
  <c r="AI23" i="168"/>
  <c r="AN23" s="1"/>
  <c r="AM21"/>
  <c r="A44" i="121" s="1"/>
  <c r="K11" i="88"/>
  <c r="H11" s="1"/>
  <c r="D8" i="194" s="1"/>
  <c r="J39" i="88"/>
  <c r="K39" s="1"/>
  <c r="AE39"/>
  <c r="E32" i="124"/>
  <c r="K45" i="88"/>
  <c r="N45"/>
  <c r="G45"/>
  <c r="I45" s="1"/>
  <c r="E8" i="194"/>
  <c r="AR21" i="168"/>
  <c r="F44" i="121" s="1"/>
  <c r="AL22" i="168"/>
  <c r="AW22" s="1"/>
  <c r="AJ23"/>
  <c r="AR23" s="1"/>
  <c r="F46" i="121" s="1"/>
  <c r="AQ21" i="168"/>
  <c r="E44" i="121" s="1"/>
  <c r="AQ22" i="168"/>
  <c r="AP22" s="1"/>
  <c r="D45" i="121" s="1"/>
  <c r="E43"/>
  <c r="AU21" i="168"/>
  <c r="I44" i="121" s="1"/>
  <c r="AT21" i="168"/>
  <c r="AS21" s="1"/>
  <c r="G44" i="121" s="1"/>
  <c r="AW21" i="168"/>
  <c r="K44" i="121" s="1"/>
  <c r="BH21" i="170"/>
  <c r="AW22"/>
  <c r="AW23" s="1"/>
  <c r="BB21"/>
  <c r="AU22"/>
  <c r="AU23" s="1"/>
  <c r="J54" i="196"/>
  <c r="J195" i="8"/>
  <c r="Q16" i="67"/>
  <c r="Q14"/>
  <c r="V13"/>
  <c r="P195" i="8"/>
  <c r="Q20" i="67"/>
  <c r="Q19"/>
  <c r="U22"/>
  <c r="U14"/>
  <c r="L195" i="8"/>
  <c r="V16" i="67"/>
  <c r="Q22"/>
  <c r="X195" i="8"/>
  <c r="V195"/>
  <c r="C195"/>
  <c r="Q15" i="67"/>
  <c r="U16"/>
  <c r="Q12"/>
  <c r="U18"/>
  <c r="U17"/>
  <c r="M195" i="8"/>
  <c r="G195"/>
  <c r="V19" i="67"/>
  <c r="T195" i="8"/>
  <c r="V12" i="67"/>
  <c r="V18"/>
  <c r="U11"/>
  <c r="Q17"/>
  <c r="V20"/>
  <c r="Q11"/>
  <c r="V17"/>
  <c r="Q195" i="8"/>
  <c r="U195"/>
  <c r="F195"/>
  <c r="S195"/>
  <c r="E195"/>
  <c r="U15" i="67"/>
  <c r="U19"/>
  <c r="D195" i="8"/>
  <c r="R195"/>
  <c r="U12" i="67"/>
  <c r="Q18"/>
  <c r="U13"/>
  <c r="O195" i="8"/>
  <c r="H195"/>
  <c r="V15" i="67"/>
  <c r="W195" i="8"/>
  <c r="N195"/>
  <c r="J196"/>
  <c r="K195"/>
  <c r="U20" i="67"/>
  <c r="I195" i="8"/>
  <c r="V22" i="67"/>
  <c r="V11"/>
  <c r="V14"/>
  <c r="Q13"/>
  <c r="J43" i="196"/>
  <c r="J53"/>
  <c r="AV22" i="170"/>
  <c r="BF21"/>
  <c r="BE21"/>
  <c r="AT30" i="8"/>
  <c r="M37" i="105"/>
  <c r="AG30" i="8"/>
  <c r="M38" i="124" s="1"/>
  <c r="W26" i="6"/>
  <c r="Q28" i="219"/>
  <c r="J24" i="8"/>
  <c r="AB28" i="219"/>
  <c r="AH39" i="88"/>
  <c r="U24" i="8"/>
  <c r="AH26" i="6"/>
  <c r="Y24"/>
  <c r="L23" i="8"/>
  <c r="S27" i="219"/>
  <c r="D42" i="196"/>
  <c r="AD17" i="16"/>
  <c r="J50" i="196"/>
  <c r="J20"/>
  <c r="J21" s="1"/>
  <c r="AG10" i="211"/>
  <c r="Z11"/>
  <c r="AH10"/>
  <c r="W21" i="8"/>
  <c r="AD25" i="219"/>
  <c r="AJ21" i="6"/>
  <c r="S24" i="8"/>
  <c r="AF39" i="88"/>
  <c r="Z28" i="219"/>
  <c r="AF26" i="6"/>
  <c r="AR30" i="8"/>
  <c r="AJ30" s="1"/>
  <c r="AC27" i="219"/>
  <c r="V23" i="8"/>
  <c r="D52" i="196"/>
  <c r="AD27" i="16"/>
  <c r="AI24" i="6"/>
  <c r="J45" i="196"/>
  <c r="J47"/>
  <c r="J52"/>
  <c r="J51"/>
  <c r="P24" i="6"/>
  <c r="C23" i="8"/>
  <c r="J27" i="219"/>
  <c r="D33" i="196"/>
  <c r="AD8" i="16"/>
  <c r="D44" i="196"/>
  <c r="AA24" i="6"/>
  <c r="G30" i="105"/>
  <c r="G31" i="124"/>
  <c r="AD19" i="16"/>
  <c r="U27" i="219"/>
  <c r="N23" i="8"/>
  <c r="T28" i="219"/>
  <c r="Z26" i="6"/>
  <c r="M24" i="8"/>
  <c r="AJ10" i="211"/>
  <c r="AI10"/>
  <c r="AA11"/>
  <c r="P23" i="8"/>
  <c r="W27" i="219"/>
  <c r="AD21" i="16"/>
  <c r="D46" i="196"/>
  <c r="AC24" i="6"/>
  <c r="D45" i="196"/>
  <c r="V27" i="219"/>
  <c r="O23" i="8"/>
  <c r="AD20" i="16"/>
  <c r="AB24" i="6"/>
  <c r="Y11" i="211"/>
  <c r="AE10"/>
  <c r="AF10"/>
  <c r="AD14" i="16"/>
  <c r="I23" i="8"/>
  <c r="D39" i="196"/>
  <c r="V24" i="6"/>
  <c r="P27" i="219"/>
  <c r="AK10" i="211"/>
  <c r="AL10"/>
  <c r="AB11"/>
  <c r="X27" i="219"/>
  <c r="Q23" i="8"/>
  <c r="D47" i="196"/>
  <c r="AD22" i="16"/>
  <c r="AD24" i="6"/>
  <c r="AA28" i="219"/>
  <c r="AG39" i="88"/>
  <c r="T24" i="8"/>
  <c r="AG26" i="6"/>
  <c r="J34" i="196"/>
  <c r="J38"/>
  <c r="AA30" i="8"/>
  <c r="J40" i="196"/>
  <c r="J46"/>
  <c r="AE28" i="219"/>
  <c r="X24" i="8"/>
  <c r="AK26" i="6"/>
  <c r="R28" i="219"/>
  <c r="K24" i="8"/>
  <c r="AQ24" s="1"/>
  <c r="AI24" s="1"/>
  <c r="X26" i="6"/>
  <c r="Y27" i="219"/>
  <c r="R23" i="8"/>
  <c r="D48" i="196"/>
  <c r="AD23" i="16"/>
  <c r="AE24" i="6"/>
  <c r="Q24"/>
  <c r="AD9" i="16"/>
  <c r="K27" i="219"/>
  <c r="D34" i="196"/>
  <c r="D23" i="8"/>
  <c r="AP24"/>
  <c r="AH24" s="1"/>
  <c r="AD11" i="16"/>
  <c r="F23" i="8"/>
  <c r="D36" i="196"/>
  <c r="S24" i="6"/>
  <c r="M27" i="219"/>
  <c r="AM10" i="211"/>
  <c r="AC11"/>
  <c r="J48" i="196"/>
  <c r="J33"/>
  <c r="J35"/>
  <c r="AQ30" i="8"/>
  <c r="AI30" s="1"/>
  <c r="J37" i="196"/>
  <c r="J42"/>
  <c r="J39"/>
  <c r="O27" i="219"/>
  <c r="U24" i="6"/>
  <c r="D38" i="196"/>
  <c r="H23" i="8"/>
  <c r="AD13" i="16"/>
  <c r="E23" i="8"/>
  <c r="D35" i="196"/>
  <c r="R24" i="6"/>
  <c r="AD10" i="16"/>
  <c r="L27" i="219"/>
  <c r="J49" i="196"/>
  <c r="J36"/>
  <c r="J44"/>
  <c r="B45" i="121"/>
  <c r="AM22" i="168"/>
  <c r="A45" i="121" s="1"/>
  <c r="AK23" i="168"/>
  <c r="AT22"/>
  <c r="AU22"/>
  <c r="I45" i="121" s="1"/>
  <c r="AT24" i="170"/>
  <c r="AY23"/>
  <c r="AZ23"/>
  <c r="G18" i="8"/>
  <c r="N22" i="219"/>
  <c r="T12" i="6"/>
  <c r="AR20" i="16"/>
  <c r="G77" i="8"/>
  <c r="I77"/>
  <c r="M83"/>
  <c r="G137"/>
  <c r="T137"/>
  <c r="E137"/>
  <c r="Q137"/>
  <c r="N137"/>
  <c r="H77"/>
  <c r="T77"/>
  <c r="AV18" i="16"/>
  <c r="W77" i="8"/>
  <c r="U137"/>
  <c r="V137"/>
  <c r="P137"/>
  <c r="E77"/>
  <c r="V77"/>
  <c r="W137"/>
  <c r="C137"/>
  <c r="R137"/>
  <c r="AT18" i="16"/>
  <c r="F137" i="8"/>
  <c r="K137"/>
  <c r="N77"/>
  <c r="U77"/>
  <c r="S77"/>
  <c r="AW18" i="16"/>
  <c r="J77" i="8"/>
  <c r="I137"/>
  <c r="AR11" i="16"/>
  <c r="AS8"/>
  <c r="C77" i="8"/>
  <c r="X77"/>
  <c r="O77"/>
  <c r="AS16" i="16"/>
  <c r="Z24" i="8"/>
  <c r="S137"/>
  <c r="AS15" i="16"/>
  <c r="D77" i="8"/>
  <c r="P77"/>
  <c r="X137"/>
  <c r="H137"/>
  <c r="Q77"/>
  <c r="D137"/>
  <c r="AR17" i="16"/>
  <c r="AR19"/>
  <c r="AS12"/>
  <c r="M77" i="8"/>
  <c r="R77"/>
  <c r="L137"/>
  <c r="F77"/>
  <c r="AR8" i="16"/>
  <c r="J137" i="8"/>
  <c r="AR10" i="16"/>
  <c r="AS18"/>
  <c r="AS13"/>
  <c r="L77" i="8"/>
  <c r="O137"/>
  <c r="AR16" i="16"/>
  <c r="AS14"/>
  <c r="AS10"/>
  <c r="AS9"/>
  <c r="AR9"/>
  <c r="AR15"/>
  <c r="AS11"/>
  <c r="AR13"/>
  <c r="AS19"/>
  <c r="AS17"/>
  <c r="AR12"/>
  <c r="AR14"/>
  <c r="V21" i="67" l="1"/>
  <c r="AW1" i="16"/>
  <c r="V10" i="67" s="1"/>
  <c r="U21"/>
  <c r="Q21"/>
  <c r="R23"/>
  <c r="AU20" i="16"/>
  <c r="T23" i="67" s="1"/>
  <c r="J38" i="88"/>
  <c r="K38" s="1"/>
  <c r="AO23" i="168"/>
  <c r="C46" i="121" s="1"/>
  <c r="AI24" i="168"/>
  <c r="AO24" s="1"/>
  <c r="C47" i="121" s="1"/>
  <c r="N39" i="88"/>
  <c r="H39"/>
  <c r="AH10"/>
  <c r="AP9" s="1"/>
  <c r="G39"/>
  <c r="AE38"/>
  <c r="E31" i="124"/>
  <c r="E30" i="105"/>
  <c r="AC10" i="88"/>
  <c r="H44" i="121"/>
  <c r="E45"/>
  <c r="AL23" i="168"/>
  <c r="AX23" s="1"/>
  <c r="L46" i="121" s="1"/>
  <c r="AX22" i="168"/>
  <c r="L45" i="121" s="1"/>
  <c r="AJ24" i="168"/>
  <c r="AJ25" s="1"/>
  <c r="AQ23"/>
  <c r="AP23" s="1"/>
  <c r="D46" i="121" s="1"/>
  <c r="AP21" i="168"/>
  <c r="D44" i="121" s="1"/>
  <c r="AV21" i="168"/>
  <c r="J44" i="121" s="1"/>
  <c r="R16" i="67"/>
  <c r="BB22" i="170"/>
  <c r="R12" i="67"/>
  <c r="BC22" i="170"/>
  <c r="BI22"/>
  <c r="BH22"/>
  <c r="R13" i="67"/>
  <c r="R11"/>
  <c r="E191" i="8"/>
  <c r="W191"/>
  <c r="U191"/>
  <c r="T191"/>
  <c r="H191"/>
  <c r="N191"/>
  <c r="V191"/>
  <c r="AU19" i="16"/>
  <c r="T22" i="67" s="1"/>
  <c r="AU15" i="16"/>
  <c r="T18" i="67" s="1"/>
  <c r="C191" i="8"/>
  <c r="S191"/>
  <c r="F191"/>
  <c r="AU10" i="16"/>
  <c r="T13" i="67" s="1"/>
  <c r="AU8" i="16"/>
  <c r="T11" i="67" s="1"/>
  <c r="O191" i="8"/>
  <c r="AU16" i="16"/>
  <c r="T19" i="67" s="1"/>
  <c r="K191" i="8"/>
  <c r="D191"/>
  <c r="X191"/>
  <c r="Q191"/>
  <c r="AU13" i="16"/>
  <c r="T16" i="67" s="1"/>
  <c r="L191" i="8"/>
  <c r="J191"/>
  <c r="I191"/>
  <c r="AU12" i="16"/>
  <c r="T15" i="67" s="1"/>
  <c r="P191" i="8"/>
  <c r="G191"/>
  <c r="AU17" i="16"/>
  <c r="T20" i="67" s="1"/>
  <c r="R191" i="8"/>
  <c r="AU11" i="16"/>
  <c r="T14" i="67" s="1"/>
  <c r="AU9" i="16"/>
  <c r="T12" i="67" s="1"/>
  <c r="AU14" i="16"/>
  <c r="T17" i="67" s="1"/>
  <c r="BF22" i="170"/>
  <c r="BE22"/>
  <c r="AV23"/>
  <c r="R18" i="67"/>
  <c r="R17"/>
  <c r="R15"/>
  <c r="R20"/>
  <c r="R19"/>
  <c r="AA24" i="8"/>
  <c r="R14" i="67"/>
  <c r="R22"/>
  <c r="M31" i="105"/>
  <c r="AT24" i="8"/>
  <c r="AG24"/>
  <c r="M32" i="124" s="1"/>
  <c r="K25" i="219"/>
  <c r="D21" i="8"/>
  <c r="Q21" i="6"/>
  <c r="AF38" i="88"/>
  <c r="Z27" i="219"/>
  <c r="S23" i="8"/>
  <c r="D49" i="196"/>
  <c r="AD24" i="16"/>
  <c r="AF24" i="6"/>
  <c r="Z12" i="211"/>
  <c r="AH11"/>
  <c r="AG11"/>
  <c r="S21" i="6"/>
  <c r="F21" i="8"/>
  <c r="M25" i="219"/>
  <c r="AB12" i="211"/>
  <c r="AL11"/>
  <c r="AK11"/>
  <c r="W25" i="219"/>
  <c r="P21" i="8"/>
  <c r="AC21" i="6"/>
  <c r="AA21"/>
  <c r="N21" i="8"/>
  <c r="G29" i="124"/>
  <c r="AA14" s="1"/>
  <c r="BE81" s="1"/>
  <c r="G28" i="105"/>
  <c r="AB28" s="1"/>
  <c r="L28" i="107" s="1"/>
  <c r="U25" i="219"/>
  <c r="AD15" i="16"/>
  <c r="W24" i="6"/>
  <c r="J23" i="8"/>
  <c r="D40" i="196"/>
  <c r="Q27" i="219"/>
  <c r="AP23" i="8"/>
  <c r="AH23" s="1"/>
  <c r="AA27" i="219"/>
  <c r="T23" i="8"/>
  <c r="AG38" i="88"/>
  <c r="D50" i="196"/>
  <c r="AD25" i="16"/>
  <c r="AG24" i="6"/>
  <c r="P21"/>
  <c r="J25" i="219"/>
  <c r="C21" i="8"/>
  <c r="AS24"/>
  <c r="AK24" s="1"/>
  <c r="D43" i="196"/>
  <c r="AD18" i="16"/>
  <c r="Z24" i="6"/>
  <c r="T27" i="219"/>
  <c r="M23" i="8"/>
  <c r="AS23" s="1"/>
  <c r="AK23" s="1"/>
  <c r="AC12" i="211"/>
  <c r="AM11"/>
  <c r="H21" i="8"/>
  <c r="U21" i="6"/>
  <c r="O25" i="219"/>
  <c r="P25"/>
  <c r="V21" i="6"/>
  <c r="I21" i="8"/>
  <c r="AD10" i="88"/>
  <c r="L21" i="8"/>
  <c r="S25" i="219"/>
  <c r="Y21" i="6"/>
  <c r="Y25" i="219"/>
  <c r="R21" i="8"/>
  <c r="AE21" i="6"/>
  <c r="W18" i="8"/>
  <c r="AD22" i="219"/>
  <c r="AJ12" i="6"/>
  <c r="R27" i="219"/>
  <c r="K23" i="8"/>
  <c r="D41" i="196"/>
  <c r="AD16" i="16"/>
  <c r="X24" i="6"/>
  <c r="X25" i="219"/>
  <c r="Q21" i="8"/>
  <c r="AD21" i="6"/>
  <c r="O21" i="8"/>
  <c r="AB21" i="6"/>
  <c r="V25" i="219"/>
  <c r="J25" i="196"/>
  <c r="J22"/>
  <c r="AE10" i="88"/>
  <c r="AC25" i="219"/>
  <c r="V21" i="8"/>
  <c r="AI21" i="6"/>
  <c r="AE27" i="219"/>
  <c r="X23" i="8"/>
  <c r="D54" i="196"/>
  <c r="AD29" i="16"/>
  <c r="AK24" i="6"/>
  <c r="AR24" i="8"/>
  <c r="AJ24" s="1"/>
  <c r="E21"/>
  <c r="L25" i="219"/>
  <c r="R21" i="6"/>
  <c r="AI11" i="211"/>
  <c r="AA12"/>
  <c r="AJ11"/>
  <c r="AF11"/>
  <c r="AE11"/>
  <c r="Y12"/>
  <c r="AB27" i="219"/>
  <c r="AH38" i="88"/>
  <c r="U23" i="8"/>
  <c r="D51" i="196"/>
  <c r="AD26" i="16"/>
  <c r="AH24" i="6"/>
  <c r="AF10" i="88"/>
  <c r="BC23" i="170"/>
  <c r="AU24"/>
  <c r="BB23"/>
  <c r="K45" i="121"/>
  <c r="AV22" i="168"/>
  <c r="J45" i="121" s="1"/>
  <c r="AU23" i="168"/>
  <c r="I46" i="121" s="1"/>
  <c r="AT23" i="168"/>
  <c r="AK24"/>
  <c r="AS22"/>
  <c r="G45" i="121" s="1"/>
  <c r="H45"/>
  <c r="BH23" i="170"/>
  <c r="AW24"/>
  <c r="BI23"/>
  <c r="G9" i="8"/>
  <c r="N13" i="219"/>
  <c r="T7" i="6"/>
  <c r="AT25" i="170"/>
  <c r="AZ24"/>
  <c r="AY24"/>
  <c r="B46" i="121"/>
  <c r="AM23" i="168"/>
  <c r="A46" i="121" s="1"/>
  <c r="AE29" i="16"/>
  <c r="W76" i="8"/>
  <c r="T76"/>
  <c r="AE21" i="16"/>
  <c r="AE11"/>
  <c r="O76" i="8"/>
  <c r="AE10" i="16"/>
  <c r="AE12"/>
  <c r="AE13"/>
  <c r="AE19"/>
  <c r="I76" i="8"/>
  <c r="AE8" i="16"/>
  <c r="Z23" i="8"/>
  <c r="U76"/>
  <c r="AE20" i="16"/>
  <c r="AE15"/>
  <c r="M137" i="8"/>
  <c r="AR18" i="16"/>
  <c r="F76" i="8"/>
  <c r="D76"/>
  <c r="N76"/>
  <c r="AF17" i="16"/>
  <c r="E76" i="8"/>
  <c r="AE27" i="16"/>
  <c r="AE24"/>
  <c r="G76" i="8"/>
  <c r="S76"/>
  <c r="Q76"/>
  <c r="P76"/>
  <c r="AE17" i="16"/>
  <c r="X76" i="8"/>
  <c r="AE22" i="16"/>
  <c r="K76" i="8"/>
  <c r="V76"/>
  <c r="AE25" i="16"/>
  <c r="AE26"/>
  <c r="AE23"/>
  <c r="H76" i="8"/>
  <c r="C76"/>
  <c r="L76"/>
  <c r="AE14" i="16"/>
  <c r="K77" i="8"/>
  <c r="V131"/>
  <c r="R76"/>
  <c r="AE28" i="16"/>
  <c r="E131" i="8"/>
  <c r="H131"/>
  <c r="P131"/>
  <c r="AE9" i="16"/>
  <c r="O131" i="8"/>
  <c r="R131"/>
  <c r="AE18" i="16"/>
  <c r="J76" i="8"/>
  <c r="AE16" i="16"/>
  <c r="AF21"/>
  <c r="AF18"/>
  <c r="AF27"/>
  <c r="AF23"/>
  <c r="D131" i="8"/>
  <c r="U131"/>
  <c r="J131"/>
  <c r="I131"/>
  <c r="N131"/>
  <c r="L131"/>
  <c r="C131"/>
  <c r="X131"/>
  <c r="G131"/>
  <c r="S131"/>
  <c r="T131"/>
  <c r="M131"/>
  <c r="W131"/>
  <c r="Q131"/>
  <c r="F131"/>
  <c r="AF15" i="16"/>
  <c r="AF29"/>
  <c r="AF16"/>
  <c r="AF8"/>
  <c r="AF24"/>
  <c r="AF13"/>
  <c r="AF19"/>
  <c r="AF25"/>
  <c r="AF20"/>
  <c r="AF28"/>
  <c r="AF9"/>
  <c r="AF14"/>
  <c r="AF10"/>
  <c r="AF11"/>
  <c r="AF12"/>
  <c r="AF22"/>
  <c r="AF26"/>
  <c r="R21" i="67" l="1"/>
  <c r="AU18" i="16"/>
  <c r="T21" i="67" s="1"/>
  <c r="H38" i="88"/>
  <c r="G38"/>
  <c r="AE36"/>
  <c r="AI25" i="168"/>
  <c r="AN25" s="1"/>
  <c r="AN24"/>
  <c r="B47" i="121" s="1"/>
  <c r="I10" i="88"/>
  <c r="J10" s="1"/>
  <c r="I39"/>
  <c r="AR24" i="168"/>
  <c r="F47" i="121" s="1"/>
  <c r="AQ24" i="168"/>
  <c r="E47" i="121" s="1"/>
  <c r="J36" i="88"/>
  <c r="G36" s="1"/>
  <c r="E29" i="124"/>
  <c r="Y14" s="1"/>
  <c r="BD81" s="1"/>
  <c r="E28" i="105"/>
  <c r="Z28" s="1"/>
  <c r="H28" i="224" s="1"/>
  <c r="E46" i="121"/>
  <c r="AW23" i="168"/>
  <c r="AV23" s="1"/>
  <c r="J46" i="121" s="1"/>
  <c r="AL24" i="168"/>
  <c r="AW24" s="1"/>
  <c r="S185" i="8"/>
  <c r="Q185"/>
  <c r="X185"/>
  <c r="F185"/>
  <c r="M191"/>
  <c r="T185"/>
  <c r="J185"/>
  <c r="N185"/>
  <c r="I185"/>
  <c r="U185"/>
  <c r="E185"/>
  <c r="R185"/>
  <c r="D185"/>
  <c r="G185"/>
  <c r="C185"/>
  <c r="V185"/>
  <c r="P185"/>
  <c r="H185"/>
  <c r="L185"/>
  <c r="M185"/>
  <c r="W185"/>
  <c r="O185"/>
  <c r="AV24" i="170"/>
  <c r="BF23"/>
  <c r="BE23"/>
  <c r="AQ23" i="8"/>
  <c r="AI23" s="1"/>
  <c r="I16" i="196"/>
  <c r="I17" s="1"/>
  <c r="L10" i="88"/>
  <c r="AA23" i="8"/>
  <c r="AJ21" i="16"/>
  <c r="M24" i="67" s="1"/>
  <c r="AK21" i="16"/>
  <c r="N24" i="67" s="1"/>
  <c r="AH21" i="16"/>
  <c r="AG21"/>
  <c r="AL21"/>
  <c r="O24" i="67" s="1"/>
  <c r="AI21" i="16"/>
  <c r="J24" i="67" s="1"/>
  <c r="K24" s="1"/>
  <c r="AJ22" i="16"/>
  <c r="M25" i="67" s="1"/>
  <c r="AH22" i="16"/>
  <c r="AI22"/>
  <c r="J25" i="67" s="1"/>
  <c r="K25" s="1"/>
  <c r="AL22" i="16"/>
  <c r="O25" i="67" s="1"/>
  <c r="AG22" i="16"/>
  <c r="AK22"/>
  <c r="N25" i="67" s="1"/>
  <c r="AL25" i="16"/>
  <c r="O28" i="67" s="1"/>
  <c r="AI25" i="16"/>
  <c r="J28" i="67" s="1"/>
  <c r="K28" s="1"/>
  <c r="AG25" i="16"/>
  <c r="AJ25"/>
  <c r="M28" i="67" s="1"/>
  <c r="AK25" i="16"/>
  <c r="N28" i="67" s="1"/>
  <c r="AH25" i="16"/>
  <c r="AL24"/>
  <c r="O27" i="67" s="1"/>
  <c r="AI24" i="16"/>
  <c r="J27" i="67" s="1"/>
  <c r="K27" s="1"/>
  <c r="AK24" i="16"/>
  <c r="N27" i="67" s="1"/>
  <c r="AH24" i="16"/>
  <c r="AG24"/>
  <c r="AJ24"/>
  <c r="M27" i="67" s="1"/>
  <c r="AK23" i="16"/>
  <c r="N26" i="67" s="1"/>
  <c r="AG23" i="16"/>
  <c r="AL23"/>
  <c r="O26" i="67" s="1"/>
  <c r="AH23" i="16"/>
  <c r="AJ23"/>
  <c r="M26" i="67" s="1"/>
  <c r="AI23" i="16"/>
  <c r="J26" i="67" s="1"/>
  <c r="K26" s="1"/>
  <c r="AL27" i="16"/>
  <c r="O30" i="67" s="1"/>
  <c r="AJ27" i="16"/>
  <c r="M30" i="67" s="1"/>
  <c r="AG27" i="16"/>
  <c r="AK27"/>
  <c r="N30" i="67" s="1"/>
  <c r="AH27" i="16"/>
  <c r="AI27"/>
  <c r="J30" i="67" s="1"/>
  <c r="K30" s="1"/>
  <c r="AL29" i="16"/>
  <c r="O32" i="67" s="1"/>
  <c r="AG29" i="16"/>
  <c r="AH29"/>
  <c r="AI29"/>
  <c r="J32" i="67" s="1"/>
  <c r="K32" s="1"/>
  <c r="AJ29" i="16"/>
  <c r="M32" i="67" s="1"/>
  <c r="AK29" i="16"/>
  <c r="N32" i="67" s="1"/>
  <c r="AG28" i="16"/>
  <c r="AH28"/>
  <c r="AI28"/>
  <c r="J31" i="67" s="1"/>
  <c r="K31" s="1"/>
  <c r="AK28" i="16"/>
  <c r="N31" i="67" s="1"/>
  <c r="AJ28" i="16"/>
  <c r="M31" i="67" s="1"/>
  <c r="AL28" i="16"/>
  <c r="O31" i="67" s="1"/>
  <c r="AK26" i="16"/>
  <c r="N29" i="67" s="1"/>
  <c r="AG26" i="16"/>
  <c r="AL26"/>
  <c r="O29" i="67" s="1"/>
  <c r="AI26" i="16"/>
  <c r="J29" i="67" s="1"/>
  <c r="K29" s="1"/>
  <c r="AJ26" i="16"/>
  <c r="M29" i="67" s="1"/>
  <c r="AH26" i="16"/>
  <c r="M30" i="105"/>
  <c r="AG23" i="8"/>
  <c r="M31" i="124" s="1"/>
  <c r="AT23" i="8"/>
  <c r="AC22" i="219"/>
  <c r="V18" i="8"/>
  <c r="AI12" i="6"/>
  <c r="E18" i="8"/>
  <c r="R12" i="6"/>
  <c r="L22" i="219"/>
  <c r="AB12" i="6"/>
  <c r="V22" i="219"/>
  <c r="O18" i="8"/>
  <c r="S22" i="219"/>
  <c r="L18" i="8"/>
  <c r="Y12" i="6"/>
  <c r="I18" i="8"/>
  <c r="V12" i="6"/>
  <c r="P22" i="219"/>
  <c r="AB13" i="211"/>
  <c r="AL12"/>
  <c r="AK12"/>
  <c r="S21" i="8"/>
  <c r="AF36" i="88"/>
  <c r="Z25" i="219"/>
  <c r="AF21" i="6"/>
  <c r="J22" i="219"/>
  <c r="P12" i="6"/>
  <c r="C18" i="8"/>
  <c r="Z13" i="211"/>
  <c r="AG12"/>
  <c r="AH12"/>
  <c r="R25" i="219"/>
  <c r="X21" i="6"/>
  <c r="K21" i="8"/>
  <c r="AQ21" s="1"/>
  <c r="AI21" s="1"/>
  <c r="Y22" i="219"/>
  <c r="R18" i="8"/>
  <c r="AE12" i="6"/>
  <c r="D18" i="8"/>
  <c r="Q12" i="6"/>
  <c r="K22" i="219"/>
  <c r="AB25"/>
  <c r="U21" i="8"/>
  <c r="AH36" i="88"/>
  <c r="AH21" i="6"/>
  <c r="AE25" i="219"/>
  <c r="X21" i="8"/>
  <c r="AK21" i="6"/>
  <c r="W21"/>
  <c r="Q25" i="219"/>
  <c r="J21" i="8"/>
  <c r="Z21" i="6"/>
  <c r="T25" i="219"/>
  <c r="M21" i="8"/>
  <c r="AS21" s="1"/>
  <c r="AK21" s="1"/>
  <c r="J23" i="196"/>
  <c r="J24"/>
  <c r="O22" i="219"/>
  <c r="U12" i="6"/>
  <c r="H18" i="8"/>
  <c r="AC13" i="211"/>
  <c r="AM12"/>
  <c r="AR23" i="8"/>
  <c r="AJ23" s="1"/>
  <c r="W22" i="219"/>
  <c r="P18" i="8"/>
  <c r="AC12" i="6"/>
  <c r="F18" i="8"/>
  <c r="S12" i="6"/>
  <c r="M22" i="219"/>
  <c r="AJ12" i="211"/>
  <c r="AI12"/>
  <c r="AA13"/>
  <c r="AE12"/>
  <c r="Y13"/>
  <c r="AF12"/>
  <c r="AP21" i="8"/>
  <c r="AH21" s="1"/>
  <c r="Q18"/>
  <c r="X22" i="219"/>
  <c r="AD12" i="6"/>
  <c r="W9" i="8"/>
  <c r="AD13" i="219"/>
  <c r="AJ7" i="6"/>
  <c r="AA25" i="219"/>
  <c r="T21" i="8"/>
  <c r="AG36" i="88"/>
  <c r="AG21" i="6"/>
  <c r="N18" i="8"/>
  <c r="AA12" i="6"/>
  <c r="U22" i="219"/>
  <c r="G26" i="124"/>
  <c r="AA13" s="1"/>
  <c r="BE80" s="1"/>
  <c r="G25" i="105"/>
  <c r="AB25" s="1"/>
  <c r="L25" i="107" s="1"/>
  <c r="AT24" i="168"/>
  <c r="AU24"/>
  <c r="I47" i="121" s="1"/>
  <c r="AK25" i="168"/>
  <c r="BB24" i="170"/>
  <c r="AU25"/>
  <c r="BC24"/>
  <c r="G4" i="8"/>
  <c r="T6" i="6"/>
  <c r="N8" i="219"/>
  <c r="AT26" i="170"/>
  <c r="AY25"/>
  <c r="AZ25"/>
  <c r="BH24"/>
  <c r="BI24"/>
  <c r="AW25"/>
  <c r="AQ25" i="168"/>
  <c r="AJ26"/>
  <c r="AR25"/>
  <c r="F48" i="121" s="1"/>
  <c r="AS23" i="168"/>
  <c r="G46" i="121" s="1"/>
  <c r="H46"/>
  <c r="AK20" i="16"/>
  <c r="AI20"/>
  <c r="AL20"/>
  <c r="AL13"/>
  <c r="AL12"/>
  <c r="V74" i="8"/>
  <c r="AK14" i="16"/>
  <c r="U74" i="8"/>
  <c r="M76"/>
  <c r="H74"/>
  <c r="W74"/>
  <c r="G130"/>
  <c r="P130"/>
  <c r="AI13" i="16"/>
  <c r="AI8"/>
  <c r="O130" i="8"/>
  <c r="AL10" i="16"/>
  <c r="N74" i="8"/>
  <c r="P74"/>
  <c r="AI18" i="16"/>
  <c r="E74" i="8"/>
  <c r="AK11" i="16"/>
  <c r="AK9"/>
  <c r="AL19"/>
  <c r="C130" i="8"/>
  <c r="H130"/>
  <c r="L74"/>
  <c r="AK17" i="16"/>
  <c r="AL9"/>
  <c r="J74" i="8"/>
  <c r="AL18" i="16"/>
  <c r="AI16"/>
  <c r="AK12"/>
  <c r="K131" i="8"/>
  <c r="X130"/>
  <c r="S130"/>
  <c r="AL17" i="16"/>
  <c r="G74" i="8"/>
  <c r="L130"/>
  <c r="T130"/>
  <c r="E130"/>
  <c r="F74"/>
  <c r="AL14" i="16"/>
  <c r="R130" i="8"/>
  <c r="AI14" i="16"/>
  <c r="C74" i="8"/>
  <c r="AI17" i="16"/>
  <c r="AL11"/>
  <c r="D74" i="8"/>
  <c r="AK16" i="16"/>
  <c r="D130" i="8"/>
  <c r="T74"/>
  <c r="AK18" i="16"/>
  <c r="AK19"/>
  <c r="U130" i="8"/>
  <c r="AI12" i="16"/>
  <c r="V130" i="8"/>
  <c r="AI9" i="16"/>
  <c r="AI10"/>
  <c r="AK13"/>
  <c r="AK8"/>
  <c r="F130" i="8"/>
  <c r="AL15" i="16"/>
  <c r="O74" i="8"/>
  <c r="AL16" i="16"/>
  <c r="J130" i="8"/>
  <c r="AL8" i="16"/>
  <c r="R74" i="8"/>
  <c r="Z21"/>
  <c r="AI11" i="16"/>
  <c r="AK15"/>
  <c r="AI15"/>
  <c r="S74" i="8"/>
  <c r="Q130"/>
  <c r="K130"/>
  <c r="I130"/>
  <c r="AH10" i="16"/>
  <c r="AH19"/>
  <c r="AI19"/>
  <c r="AK10"/>
  <c r="N130" i="8"/>
  <c r="W130"/>
  <c r="AH14" i="16"/>
  <c r="X74" i="8"/>
  <c r="Q74"/>
  <c r="I74"/>
  <c r="AH16" i="16"/>
  <c r="AH15"/>
  <c r="AH8"/>
  <c r="AH9"/>
  <c r="AH11"/>
  <c r="AH17"/>
  <c r="AH13"/>
  <c r="AH18"/>
  <c r="AH12"/>
  <c r="AH20" l="1"/>
  <c r="O23" i="67"/>
  <c r="J23"/>
  <c r="N23"/>
  <c r="I38" i="88"/>
  <c r="J33"/>
  <c r="H33" s="1"/>
  <c r="AI26" i="168"/>
  <c r="AO26" s="1"/>
  <c r="C49" i="121" s="1"/>
  <c r="AO25" i="168"/>
  <c r="C48" i="121" s="1"/>
  <c r="AM24" i="168"/>
  <c r="A47" i="121" s="1"/>
  <c r="E7" i="194"/>
  <c r="K10" i="88"/>
  <c r="H10" s="1"/>
  <c r="D7" i="194" s="1"/>
  <c r="E26" i="124"/>
  <c r="Y13" s="1"/>
  <c r="BD80" s="1"/>
  <c r="AE33" i="88"/>
  <c r="E25" i="105"/>
  <c r="Z25" s="1"/>
  <c r="H25" i="224" s="1"/>
  <c r="AP24" i="168"/>
  <c r="D47" i="121" s="1"/>
  <c r="H28" i="107"/>
  <c r="H36" i="88"/>
  <c r="I36" s="1"/>
  <c r="N36"/>
  <c r="K36"/>
  <c r="AX24" i="168"/>
  <c r="L47" i="121" s="1"/>
  <c r="AL25" i="168"/>
  <c r="AW25" s="1"/>
  <c r="K46" i="121"/>
  <c r="K185" i="8"/>
  <c r="S184"/>
  <c r="J16" i="67"/>
  <c r="O20"/>
  <c r="X184" i="8"/>
  <c r="J184"/>
  <c r="O15" i="67"/>
  <c r="N12"/>
  <c r="J22"/>
  <c r="O184" i="8"/>
  <c r="I184"/>
  <c r="G184"/>
  <c r="N16" i="67"/>
  <c r="N15"/>
  <c r="J12"/>
  <c r="J13"/>
  <c r="J19"/>
  <c r="O17"/>
  <c r="N184" i="8"/>
  <c r="Q184"/>
  <c r="O18" i="67"/>
  <c r="N20"/>
  <c r="O16"/>
  <c r="E184" i="8"/>
  <c r="W184"/>
  <c r="J20" i="67"/>
  <c r="D184" i="8"/>
  <c r="J14" i="67"/>
  <c r="O13"/>
  <c r="N19"/>
  <c r="N18"/>
  <c r="C184" i="8"/>
  <c r="O11" i="67"/>
  <c r="O22"/>
  <c r="N17"/>
  <c r="T184" i="8"/>
  <c r="O14" i="67"/>
  <c r="L184" i="8"/>
  <c r="U184"/>
  <c r="P184"/>
  <c r="J11" i="67"/>
  <c r="J15"/>
  <c r="N21"/>
  <c r="O19"/>
  <c r="V184" i="8"/>
  <c r="N11" i="67"/>
  <c r="K184" i="8"/>
  <c r="O21" i="67"/>
  <c r="O12"/>
  <c r="J17"/>
  <c r="F184" i="8"/>
  <c r="R184"/>
  <c r="H184"/>
  <c r="N14" i="67"/>
  <c r="J21"/>
  <c r="N13"/>
  <c r="N22"/>
  <c r="J18"/>
  <c r="I54" i="196"/>
  <c r="I43"/>
  <c r="M43" s="1"/>
  <c r="I48"/>
  <c r="I39"/>
  <c r="I44"/>
  <c r="I20"/>
  <c r="I21" s="1"/>
  <c r="I36"/>
  <c r="I42"/>
  <c r="M42" s="1"/>
  <c r="I40"/>
  <c r="N40" s="1"/>
  <c r="I35"/>
  <c r="I37"/>
  <c r="M37" s="1"/>
  <c r="I46"/>
  <c r="M46" s="1"/>
  <c r="I47"/>
  <c r="I34"/>
  <c r="M34" s="1"/>
  <c r="I53"/>
  <c r="N53" s="1"/>
  <c r="I41"/>
  <c r="N41" s="1"/>
  <c r="I49"/>
  <c r="I52"/>
  <c r="M52" s="1"/>
  <c r="I45"/>
  <c r="M45" s="1"/>
  <c r="I33"/>
  <c r="M33" s="1"/>
  <c r="I50"/>
  <c r="N50" s="1"/>
  <c r="I38"/>
  <c r="I51"/>
  <c r="AA21" i="8"/>
  <c r="BE24" i="170"/>
  <c r="BF24"/>
  <c r="AV25"/>
  <c r="AT21" i="8"/>
  <c r="AG21"/>
  <c r="M29" i="124" s="1"/>
  <c r="AG14" s="1"/>
  <c r="M28" i="105"/>
  <c r="AH28" s="1"/>
  <c r="L28" i="224" s="1"/>
  <c r="BA28" i="105"/>
  <c r="P9" i="8"/>
  <c r="W13" i="219"/>
  <c r="AC7" i="6"/>
  <c r="W4" i="8"/>
  <c r="AD8" i="219"/>
  <c r="AJ6" i="6"/>
  <c r="Y14" i="211"/>
  <c r="AF13"/>
  <c r="AE13"/>
  <c r="AM13"/>
  <c r="AC14"/>
  <c r="E9" i="8"/>
  <c r="R7" i="6"/>
  <c r="L13" i="219"/>
  <c r="AF15" i="196"/>
  <c r="AG15" s="1"/>
  <c r="AF12"/>
  <c r="AG12" s="1"/>
  <c r="AF16"/>
  <c r="AF11"/>
  <c r="AG11" s="1"/>
  <c r="AF27"/>
  <c r="AG27" s="1"/>
  <c r="AF28"/>
  <c r="AF14"/>
  <c r="AG14" s="1"/>
  <c r="AF23"/>
  <c r="AG23" s="1"/>
  <c r="AF19"/>
  <c r="AF13"/>
  <c r="AF21"/>
  <c r="AG21" s="1"/>
  <c r="AF18"/>
  <c r="AG18" s="1"/>
  <c r="AF29"/>
  <c r="AG29" s="1"/>
  <c r="AF9"/>
  <c r="AG9" s="1"/>
  <c r="AF22"/>
  <c r="AF25"/>
  <c r="AF24"/>
  <c r="AG24" s="1"/>
  <c r="AF17"/>
  <c r="AG17" s="1"/>
  <c r="AF10"/>
  <c r="AF26"/>
  <c r="AG26" s="1"/>
  <c r="AF20"/>
  <c r="AG20" s="1"/>
  <c r="AE22" i="219"/>
  <c r="X18" i="8"/>
  <c r="AK12" i="6"/>
  <c r="D9" i="8"/>
  <c r="BF15" i="211"/>
  <c r="Q7" i="6"/>
  <c r="AV15" i="211"/>
  <c r="K13" i="219"/>
  <c r="R22"/>
  <c r="K18" i="8"/>
  <c r="X12" i="6"/>
  <c r="V7"/>
  <c r="P13" i="219"/>
  <c r="I9" i="8"/>
  <c r="T22" i="219"/>
  <c r="M18" i="8"/>
  <c r="AS18" s="1"/>
  <c r="AK18" s="1"/>
  <c r="Z12" i="6"/>
  <c r="AP18" i="8"/>
  <c r="AH18" s="1"/>
  <c r="M13" i="219"/>
  <c r="F9" i="8"/>
  <c r="S7" i="6"/>
  <c r="AA22" i="219"/>
  <c r="AG33" i="88"/>
  <c r="T18" i="8"/>
  <c r="AG12" i="6"/>
  <c r="W12"/>
  <c r="Q22" i="219"/>
  <c r="J18" i="8"/>
  <c r="AR18" s="1"/>
  <c r="AJ18" s="1"/>
  <c r="V13" i="219"/>
  <c r="O9" i="8"/>
  <c r="AB7" i="6"/>
  <c r="AC13" i="219"/>
  <c r="V9" i="8"/>
  <c r="AI7" i="6"/>
  <c r="Y13" i="219"/>
  <c r="R9" i="8"/>
  <c r="AE7" i="6"/>
  <c r="S13" i="219"/>
  <c r="Y7" i="6"/>
  <c r="L9" i="8"/>
  <c r="P7" i="6"/>
  <c r="AU15" i="211"/>
  <c r="C9" i="8"/>
  <c r="BE15" i="211"/>
  <c r="J13" i="219"/>
  <c r="Q9" i="8"/>
  <c r="X13" i="219"/>
  <c r="AD7" i="6"/>
  <c r="U18" i="8"/>
  <c r="AB22" i="219"/>
  <c r="AH33" i="88"/>
  <c r="AH12" i="6"/>
  <c r="AL13" i="211"/>
  <c r="AK13"/>
  <c r="AB14"/>
  <c r="G16" i="105"/>
  <c r="AB16" s="1"/>
  <c r="L16" i="107" s="1"/>
  <c r="N9" i="8"/>
  <c r="G17" i="124"/>
  <c r="AA12" s="1"/>
  <c r="BE79" s="1"/>
  <c r="AA7" i="6"/>
  <c r="U13" i="219"/>
  <c r="AA14" i="211"/>
  <c r="AI13"/>
  <c r="AJ13"/>
  <c r="U7" i="6"/>
  <c r="O13" i="219"/>
  <c r="H9" i="8"/>
  <c r="AR21"/>
  <c r="AJ21" s="1"/>
  <c r="AG13" i="211"/>
  <c r="AH13"/>
  <c r="Z14"/>
  <c r="Z22" i="219"/>
  <c r="AF33" i="88"/>
  <c r="S18" i="8"/>
  <c r="AF12" i="6"/>
  <c r="AL1" i="16"/>
  <c r="O10" i="67" s="1"/>
  <c r="AT27" i="170"/>
  <c r="AY26"/>
  <c r="AZ26"/>
  <c r="AU25" i="168"/>
  <c r="I48" i="121" s="1"/>
  <c r="AK26" i="168"/>
  <c r="AT25"/>
  <c r="C37" i="196"/>
  <c r="T5" i="6"/>
  <c r="G3" i="8"/>
  <c r="S12" i="16"/>
  <c r="F23" i="216"/>
  <c r="E23"/>
  <c r="D23"/>
  <c r="N7" i="219"/>
  <c r="AJ27" i="168"/>
  <c r="AQ26"/>
  <c r="AR26"/>
  <c r="F49" i="121" s="1"/>
  <c r="AP25" i="168"/>
  <c r="D48" i="121" s="1"/>
  <c r="E48"/>
  <c r="BC25" i="170"/>
  <c r="AU26"/>
  <c r="BB25"/>
  <c r="K47" i="121"/>
  <c r="AV24" i="168"/>
  <c r="J47" i="121" s="1"/>
  <c r="AW26" i="170"/>
  <c r="BI25"/>
  <c r="BH25"/>
  <c r="B48" i="121"/>
  <c r="AM25" i="168"/>
  <c r="A48" i="121" s="1"/>
  <c r="H47"/>
  <c r="AS24" i="168"/>
  <c r="G47" i="121" s="1"/>
  <c r="AG20" i="16"/>
  <c r="AG13"/>
  <c r="AG11"/>
  <c r="AG17"/>
  <c r="H71" i="8"/>
  <c r="K74"/>
  <c r="X71"/>
  <c r="D71"/>
  <c r="R71"/>
  <c r="M130"/>
  <c r="AG16" i="16"/>
  <c r="AG9"/>
  <c r="AG19"/>
  <c r="T71" i="8"/>
  <c r="Z18"/>
  <c r="O71"/>
  <c r="AG14" i="16"/>
  <c r="S71" i="8"/>
  <c r="L71"/>
  <c r="AG10" i="16"/>
  <c r="K71" i="8"/>
  <c r="Q71"/>
  <c r="M74"/>
  <c r="F71"/>
  <c r="N71"/>
  <c r="AG12" i="16"/>
  <c r="G128" i="8"/>
  <c r="D128"/>
  <c r="C128"/>
  <c r="P71"/>
  <c r="G71"/>
  <c r="AG8" i="16"/>
  <c r="I71" i="8"/>
  <c r="AG18" i="16"/>
  <c r="F128" i="8"/>
  <c r="H128"/>
  <c r="E71"/>
  <c r="W71"/>
  <c r="C71"/>
  <c r="U71"/>
  <c r="Q128"/>
  <c r="X128"/>
  <c r="R128"/>
  <c r="V71"/>
  <c r="AG15" i="16"/>
  <c r="T128" i="8"/>
  <c r="P128"/>
  <c r="U128"/>
  <c r="W128"/>
  <c r="O128"/>
  <c r="I128"/>
  <c r="N128"/>
  <c r="L128"/>
  <c r="S128"/>
  <c r="E128"/>
  <c r="V128"/>
  <c r="J128"/>
  <c r="K23" i="67" l="1"/>
  <c r="AJ20" i="16"/>
  <c r="M23" i="67" s="1"/>
  <c r="J24" i="88"/>
  <c r="H24" s="1"/>
  <c r="K33"/>
  <c r="G33"/>
  <c r="I33" s="1"/>
  <c r="N33"/>
  <c r="AZ28" i="105"/>
  <c r="AX28" s="1"/>
  <c r="AN26" i="168"/>
  <c r="B49" i="121" s="1"/>
  <c r="AI27" i="168"/>
  <c r="AI28" s="1"/>
  <c r="N37" i="196"/>
  <c r="N33"/>
  <c r="H25" i="107"/>
  <c r="E17" i="124"/>
  <c r="Y12" s="1"/>
  <c r="BD79" s="1"/>
  <c r="AE24" i="88"/>
  <c r="E16" i="105"/>
  <c r="Z16" s="1"/>
  <c r="H16" i="224" s="1"/>
  <c r="AX25" i="168"/>
  <c r="L48" i="121" s="1"/>
  <c r="AL26" i="168"/>
  <c r="AW26" s="1"/>
  <c r="K20" i="67"/>
  <c r="M184" i="8"/>
  <c r="N34" i="196"/>
  <c r="K12" i="67"/>
  <c r="K11"/>
  <c r="M50" i="196"/>
  <c r="K15" i="67"/>
  <c r="N42" i="196"/>
  <c r="N46"/>
  <c r="M53"/>
  <c r="K17" i="67"/>
  <c r="M41" i="196"/>
  <c r="K13" i="67"/>
  <c r="N52" i="196"/>
  <c r="K19" i="67"/>
  <c r="K22"/>
  <c r="G182" i="8"/>
  <c r="O182"/>
  <c r="C182"/>
  <c r="I182"/>
  <c r="AJ14" i="16"/>
  <c r="M17" i="67" s="1"/>
  <c r="N182" i="8"/>
  <c r="AK28" i="105" s="1"/>
  <c r="J182" i="8"/>
  <c r="AJ8" i="16"/>
  <c r="M11" i="67" s="1"/>
  <c r="X182" i="8"/>
  <c r="AJ18" i="16"/>
  <c r="M21" i="67" s="1"/>
  <c r="R182" i="8"/>
  <c r="AJ13" i="16"/>
  <c r="M16" i="67" s="1"/>
  <c r="Q182" i="8"/>
  <c r="F182"/>
  <c r="AJ17" i="16"/>
  <c r="M20" i="67" s="1"/>
  <c r="S182" i="8"/>
  <c r="V182"/>
  <c r="AJ19" i="16"/>
  <c r="M22" i="67" s="1"/>
  <c r="AJ10" i="16"/>
  <c r="M13" i="67" s="1"/>
  <c r="AJ12" i="16"/>
  <c r="M15" i="67" s="1"/>
  <c r="W182" i="8"/>
  <c r="L182"/>
  <c r="AJ16" i="16"/>
  <c r="M19" i="67" s="1"/>
  <c r="P182" i="8"/>
  <c r="H182"/>
  <c r="U182"/>
  <c r="AJ11" i="16"/>
  <c r="M14" i="67" s="1"/>
  <c r="D182" i="8"/>
  <c r="AJ9" i="16"/>
  <c r="M12" i="67" s="1"/>
  <c r="T182" i="8"/>
  <c r="E182"/>
  <c r="AJ15" i="16"/>
  <c r="M18" i="67" s="1"/>
  <c r="M49" i="196"/>
  <c r="N49"/>
  <c r="M35"/>
  <c r="N35"/>
  <c r="M39"/>
  <c r="N39"/>
  <c r="M47"/>
  <c r="N47"/>
  <c r="N44"/>
  <c r="M44"/>
  <c r="M40"/>
  <c r="N43"/>
  <c r="N45"/>
  <c r="K14" i="67"/>
  <c r="K21"/>
  <c r="AV26" i="170"/>
  <c r="BF25"/>
  <c r="BE25"/>
  <c r="M48" i="196"/>
  <c r="N48"/>
  <c r="N38"/>
  <c r="M38"/>
  <c r="I25"/>
  <c r="I22"/>
  <c r="M54"/>
  <c r="N54"/>
  <c r="N51"/>
  <c r="M51"/>
  <c r="M36"/>
  <c r="N36"/>
  <c r="K18" i="67"/>
  <c r="K16"/>
  <c r="BA25" i="105"/>
  <c r="AT18" i="8"/>
  <c r="M25" i="105"/>
  <c r="AH25" s="1"/>
  <c r="L25" i="224" s="1"/>
  <c r="AG18" i="8"/>
  <c r="M26" i="124" s="1"/>
  <c r="AG13" s="1"/>
  <c r="AJ9" i="196"/>
  <c r="AI9"/>
  <c r="AI27"/>
  <c r="AJ27"/>
  <c r="W3" i="8"/>
  <c r="AD7" i="219"/>
  <c r="C53" i="196"/>
  <c r="S28" i="16"/>
  <c r="AJ5" i="6"/>
  <c r="AJ14" i="211"/>
  <c r="AI14"/>
  <c r="AA15"/>
  <c r="Y8" i="219"/>
  <c r="R4" i="8"/>
  <c r="AE6" i="6"/>
  <c r="AA13" i="219"/>
  <c r="AG24" i="88"/>
  <c r="T9" i="8"/>
  <c r="AG7" i="6"/>
  <c r="AH22" i="196"/>
  <c r="AG22"/>
  <c r="AJ14"/>
  <c r="AI14"/>
  <c r="L8" i="219"/>
  <c r="E4" i="8"/>
  <c r="R6" i="6"/>
  <c r="Y15" i="211"/>
  <c r="AF14"/>
  <c r="AE14"/>
  <c r="AH14"/>
  <c r="AG14"/>
  <c r="Z15"/>
  <c r="BG15"/>
  <c r="BH15"/>
  <c r="BJ9" s="1"/>
  <c r="X7" i="6"/>
  <c r="R13" i="219"/>
  <c r="K9" i="8"/>
  <c r="AE13" i="219"/>
  <c r="X9" i="8"/>
  <c r="AK7" i="6"/>
  <c r="AH25" i="196"/>
  <c r="AG25"/>
  <c r="AJ23"/>
  <c r="AI23"/>
  <c r="AA18" i="8"/>
  <c r="Q4"/>
  <c r="X8" i="219"/>
  <c r="AD6" i="6"/>
  <c r="Y6"/>
  <c r="S8" i="219"/>
  <c r="L4" i="8"/>
  <c r="AJ24" i="196"/>
  <c r="AI24"/>
  <c r="AJ17"/>
  <c r="AI17"/>
  <c r="AI12"/>
  <c r="AJ12"/>
  <c r="AH24" i="88"/>
  <c r="AB13" i="219"/>
  <c r="U9" i="8"/>
  <c r="AH7" i="6"/>
  <c r="O4" i="8"/>
  <c r="V8" i="219"/>
  <c r="AB6" i="6"/>
  <c r="AI21" i="196"/>
  <c r="AJ21"/>
  <c r="BF10" i="211"/>
  <c r="D4" i="8"/>
  <c r="AV10" i="211"/>
  <c r="K8" i="219"/>
  <c r="Q6" i="6"/>
  <c r="AH10" i="196"/>
  <c r="AG10"/>
  <c r="AH16"/>
  <c r="AG16"/>
  <c r="AC15" i="211"/>
  <c r="AM14"/>
  <c r="W8" i="219"/>
  <c r="P4" i="8"/>
  <c r="AC6" i="6"/>
  <c r="AQ18" i="8"/>
  <c r="AI18" s="1"/>
  <c r="AL14" i="211"/>
  <c r="AB15"/>
  <c r="AK14"/>
  <c r="AH28" i="196"/>
  <c r="AG28"/>
  <c r="AJ15"/>
  <c r="AI15"/>
  <c r="H4" i="8"/>
  <c r="U6" i="6"/>
  <c r="O8" i="219"/>
  <c r="AJ18" i="196"/>
  <c r="AI18"/>
  <c r="BE10" i="211"/>
  <c r="AU10"/>
  <c r="C4" i="8"/>
  <c r="P6" i="6"/>
  <c r="J8" i="219"/>
  <c r="W7" i="6"/>
  <c r="Q13" i="219"/>
  <c r="J9" i="8"/>
  <c r="V6" i="6"/>
  <c r="I4" i="8"/>
  <c r="P8" i="219"/>
  <c r="AI26" i="196"/>
  <c r="AJ26"/>
  <c r="AJ11"/>
  <c r="AI11"/>
  <c r="AC8" i="219"/>
  <c r="V4" i="8"/>
  <c r="AI6" i="6"/>
  <c r="AP9" i="8"/>
  <c r="AH9" s="1"/>
  <c r="AH19" i="196"/>
  <c r="AG19"/>
  <c r="S6" i="6"/>
  <c r="M8" i="219"/>
  <c r="F4" i="8"/>
  <c r="AH13" i="196"/>
  <c r="AG13"/>
  <c r="S9" i="8"/>
  <c r="Z13" i="219"/>
  <c r="AF24" i="88"/>
  <c r="AF7" i="6"/>
  <c r="AA6"/>
  <c r="U8" i="219"/>
  <c r="G12" i="124"/>
  <c r="AA11" s="1"/>
  <c r="BE78" s="1"/>
  <c r="G11" i="105"/>
  <c r="AB11" s="1"/>
  <c r="L11" i="107" s="1"/>
  <c r="N4" i="8"/>
  <c r="M9"/>
  <c r="T13" i="219"/>
  <c r="Z7" i="6"/>
  <c r="J19" i="88" s="1"/>
  <c r="AJ20" i="196"/>
  <c r="AI20"/>
  <c r="AJ29"/>
  <c r="AI29"/>
  <c r="BH81" i="124"/>
  <c r="BH26" i="170"/>
  <c r="AW27"/>
  <c r="BI26"/>
  <c r="AU26" i="168"/>
  <c r="I49" i="121" s="1"/>
  <c r="AK27" i="168"/>
  <c r="AT26"/>
  <c r="AS25"/>
  <c r="G48" i="121" s="1"/>
  <c r="H48"/>
  <c r="G2" i="8"/>
  <c r="H12" i="16"/>
  <c r="E23" i="109"/>
  <c r="D23"/>
  <c r="AY27" i="170"/>
  <c r="AZ27"/>
  <c r="AT28"/>
  <c r="AV25" i="168"/>
  <c r="J48" i="121" s="1"/>
  <c r="K48"/>
  <c r="BC26" i="170"/>
  <c r="AU27"/>
  <c r="BB26"/>
  <c r="AJ28" i="168"/>
  <c r="AR27"/>
  <c r="F50" i="121" s="1"/>
  <c r="AQ27" i="168"/>
  <c r="E49" i="121"/>
  <c r="AP26" i="168"/>
  <c r="D49" i="121" s="1"/>
  <c r="G23" i="216"/>
  <c r="C62" i="8"/>
  <c r="X62"/>
  <c r="M128"/>
  <c r="H62"/>
  <c r="E62"/>
  <c r="M71"/>
  <c r="F62"/>
  <c r="M62"/>
  <c r="K128"/>
  <c r="S62"/>
  <c r="T62"/>
  <c r="Z9"/>
  <c r="G62"/>
  <c r="Q62"/>
  <c r="L62"/>
  <c r="R62"/>
  <c r="N62"/>
  <c r="D62"/>
  <c r="I62"/>
  <c r="W62"/>
  <c r="V62"/>
  <c r="J71"/>
  <c r="O62"/>
  <c r="W125"/>
  <c r="Q125"/>
  <c r="U62"/>
  <c r="U125"/>
  <c r="P62"/>
  <c r="R125"/>
  <c r="I125"/>
  <c r="K62"/>
  <c r="J62"/>
  <c r="D125"/>
  <c r="V125"/>
  <c r="L125"/>
  <c r="C125"/>
  <c r="G125"/>
  <c r="K125"/>
  <c r="P125"/>
  <c r="S125"/>
  <c r="O125"/>
  <c r="F125"/>
  <c r="X125"/>
  <c r="T125"/>
  <c r="N125"/>
  <c r="E125"/>
  <c r="H125"/>
  <c r="K24" i="88" l="1"/>
  <c r="N24"/>
  <c r="G24"/>
  <c r="I24" s="1"/>
  <c r="AW28" i="105"/>
  <c r="AQ28" s="1"/>
  <c r="AM26" i="168"/>
  <c r="A49" i="121" s="1"/>
  <c r="AN27" i="168"/>
  <c r="B50" i="121" s="1"/>
  <c r="AO27" i="168"/>
  <c r="C50" i="121" s="1"/>
  <c r="AL27" i="168"/>
  <c r="AW27" s="1"/>
  <c r="M182" i="8"/>
  <c r="E12" i="124"/>
  <c r="Y11" s="1"/>
  <c r="U14" s="1"/>
  <c r="AZ25" i="105"/>
  <c r="AW25" s="1"/>
  <c r="E11"/>
  <c r="Z11" s="1"/>
  <c r="H11" i="107" s="1"/>
  <c r="H16"/>
  <c r="AE19" i="88"/>
  <c r="AX26" i="168"/>
  <c r="L49" i="121" s="1"/>
  <c r="K182" i="8"/>
  <c r="T179"/>
  <c r="Q179"/>
  <c r="V179"/>
  <c r="S179"/>
  <c r="U179"/>
  <c r="L179"/>
  <c r="N179"/>
  <c r="AK25" i="105" s="1"/>
  <c r="N25" i="107" s="1"/>
  <c r="W179" i="8"/>
  <c r="D179"/>
  <c r="X179"/>
  <c r="F179"/>
  <c r="H179"/>
  <c r="G179"/>
  <c r="K179"/>
  <c r="R179"/>
  <c r="P179"/>
  <c r="O179"/>
  <c r="C179"/>
  <c r="E179"/>
  <c r="I179"/>
  <c r="N28" i="107"/>
  <c r="AA9" i="8"/>
  <c r="I24" i="196"/>
  <c r="I23"/>
  <c r="BF26" i="170"/>
  <c r="AV27"/>
  <c r="BE26"/>
  <c r="BA16" i="105"/>
  <c r="AT9" i="8"/>
  <c r="M16" i="105"/>
  <c r="AH16" s="1"/>
  <c r="L16" i="224" s="1"/>
  <c r="AG9" i="8"/>
  <c r="M17" i="124" s="1"/>
  <c r="AG12" s="1"/>
  <c r="BH79" s="1"/>
  <c r="AZ16" i="105"/>
  <c r="Q3" i="8"/>
  <c r="X7" i="219"/>
  <c r="C47" i="196"/>
  <c r="S22" i="16"/>
  <c r="AD5" i="6"/>
  <c r="I3" i="8"/>
  <c r="E25" i="216"/>
  <c r="V5" i="6"/>
  <c r="C39" i="196"/>
  <c r="F25" i="216"/>
  <c r="S14" i="16"/>
  <c r="D25" i="216"/>
  <c r="P7" i="219"/>
  <c r="K19" i="88"/>
  <c r="N19"/>
  <c r="H19"/>
  <c r="G19"/>
  <c r="W7" i="219"/>
  <c r="P3" i="8"/>
  <c r="C46" i="196"/>
  <c r="S21" i="16"/>
  <c r="AC5" i="6"/>
  <c r="C45" i="196"/>
  <c r="V7" i="219"/>
  <c r="O3" i="8"/>
  <c r="S20" i="16"/>
  <c r="AB5" i="6"/>
  <c r="D28" i="216"/>
  <c r="S7" i="219"/>
  <c r="E28" i="216"/>
  <c r="Y5" i="6"/>
  <c r="F28" i="216"/>
  <c r="S17" i="16"/>
  <c r="L3" i="8"/>
  <c r="C42" i="196"/>
  <c r="AI25"/>
  <c r="AJ25"/>
  <c r="AI22"/>
  <c r="AJ22"/>
  <c r="BH80" i="124"/>
  <c r="AJ13" i="196"/>
  <c r="AI13"/>
  <c r="AC7" i="219"/>
  <c r="V3" i="8"/>
  <c r="S27" i="16"/>
  <c r="C52" i="196"/>
  <c r="AI5" i="6"/>
  <c r="AI28" i="196"/>
  <c r="AJ28"/>
  <c r="AJ10"/>
  <c r="AI10"/>
  <c r="R8" i="219"/>
  <c r="K4" i="8"/>
  <c r="X6" i="6"/>
  <c r="D3" i="8"/>
  <c r="E20" i="216"/>
  <c r="Q5" i="6"/>
  <c r="C34" i="196"/>
  <c r="BF9" i="211"/>
  <c r="S9" i="16"/>
  <c r="D20" i="216"/>
  <c r="AV9" i="211"/>
  <c r="K7" i="219"/>
  <c r="F20" i="216"/>
  <c r="C33" i="196"/>
  <c r="D19" i="216"/>
  <c r="F19"/>
  <c r="BE9" i="211"/>
  <c r="E19" i="216"/>
  <c r="J7" i="219"/>
  <c r="AU9" i="211"/>
  <c r="C3" i="8"/>
  <c r="S8" i="16"/>
  <c r="P5" i="6"/>
  <c r="Y7" i="219"/>
  <c r="R3" i="8"/>
  <c r="S23" i="16"/>
  <c r="C48" i="196"/>
  <c r="AE5" i="6"/>
  <c r="W2" i="8"/>
  <c r="H28" i="16"/>
  <c r="AL15" i="211"/>
  <c r="AB16"/>
  <c r="AK15"/>
  <c r="AI16" i="196"/>
  <c r="AJ16"/>
  <c r="AQ9" i="8"/>
  <c r="AI9" s="1"/>
  <c r="AJ19" i="196"/>
  <c r="AI19"/>
  <c r="BG10" i="211"/>
  <c r="BH10"/>
  <c r="BJ13" s="1"/>
  <c r="AM15"/>
  <c r="AC16"/>
  <c r="AP4" i="8"/>
  <c r="AH4" s="1"/>
  <c r="AR9"/>
  <c r="AJ9" s="1"/>
  <c r="T8" i="219"/>
  <c r="Z6" i="6"/>
  <c r="M4" i="8"/>
  <c r="M7" i="219"/>
  <c r="S11" i="16"/>
  <c r="D22" i="216"/>
  <c r="F3" i="8"/>
  <c r="C36" i="196"/>
  <c r="S5" i="6"/>
  <c r="E22" i="216"/>
  <c r="F22"/>
  <c r="Q8" i="219"/>
  <c r="J4" i="8"/>
  <c r="W6" i="6"/>
  <c r="S13" i="16"/>
  <c r="D24" i="216"/>
  <c r="F24"/>
  <c r="U5" i="6"/>
  <c r="H3" i="8"/>
  <c r="O7" i="219"/>
  <c r="E24" i="216"/>
  <c r="C38" i="196"/>
  <c r="F21" i="216"/>
  <c r="R5" i="6"/>
  <c r="S10" i="16"/>
  <c r="E21" i="216"/>
  <c r="L7" i="219"/>
  <c r="C35" i="196"/>
  <c r="D21" i="216"/>
  <c r="E3" i="8"/>
  <c r="AJ15" i="211"/>
  <c r="AI15"/>
  <c r="AA16"/>
  <c r="Z8" i="219"/>
  <c r="S4" i="8"/>
  <c r="AF19" i="88"/>
  <c r="AF6" i="6"/>
  <c r="AA5"/>
  <c r="E30" i="216"/>
  <c r="U7" i="219"/>
  <c r="N3" i="8"/>
  <c r="F30" i="216"/>
  <c r="G10" i="105"/>
  <c r="AB10" s="1"/>
  <c r="L10" i="107" s="1"/>
  <c r="D30" i="216"/>
  <c r="G11" i="124"/>
  <c r="C44" i="196"/>
  <c r="S19" i="16"/>
  <c r="U4" i="8"/>
  <c r="AB8" i="219"/>
  <c r="AH19" i="88"/>
  <c r="AH6" i="6"/>
  <c r="AE8" i="219"/>
  <c r="X4" i="8"/>
  <c r="AK6" i="6"/>
  <c r="AH15" i="211"/>
  <c r="AG15"/>
  <c r="Z16"/>
  <c r="Y16"/>
  <c r="AF15"/>
  <c r="AE15"/>
  <c r="T4" i="8"/>
  <c r="AA8" i="219"/>
  <c r="AG19" i="88"/>
  <c r="AG6" i="6"/>
  <c r="AS9" i="8"/>
  <c r="AK9" s="1"/>
  <c r="F23" i="109"/>
  <c r="AA23" s="1"/>
  <c r="AV26" i="168"/>
  <c r="J49" i="121" s="1"/>
  <c r="K49"/>
  <c r="AI29" i="168"/>
  <c r="AN28"/>
  <c r="AO28"/>
  <c r="C51" i="121" s="1"/>
  <c r="AU28" i="170"/>
  <c r="BC27"/>
  <c r="BB27"/>
  <c r="AJ29" i="168"/>
  <c r="AR28"/>
  <c r="F51" i="121" s="1"/>
  <c r="AQ28" i="168"/>
  <c r="AZ28" i="170"/>
  <c r="AT29"/>
  <c r="AY28"/>
  <c r="J23" i="216"/>
  <c r="AC23" s="1"/>
  <c r="AG23"/>
  <c r="H23"/>
  <c r="AA23" s="1"/>
  <c r="I23"/>
  <c r="AB23" s="1"/>
  <c r="AF23"/>
  <c r="AE23"/>
  <c r="AP27" i="168"/>
  <c r="D50" i="121" s="1"/>
  <c r="E50"/>
  <c r="BH27" i="170"/>
  <c r="BI27"/>
  <c r="AW28"/>
  <c r="AU27" i="168"/>
  <c r="I50" i="121" s="1"/>
  <c r="AK28" i="168"/>
  <c r="AT27"/>
  <c r="AS26"/>
  <c r="G49" i="121" s="1"/>
  <c r="H49"/>
  <c r="J116" i="8"/>
  <c r="E57"/>
  <c r="C57"/>
  <c r="P57"/>
  <c r="E116"/>
  <c r="F116"/>
  <c r="O57"/>
  <c r="J57"/>
  <c r="R116"/>
  <c r="W116"/>
  <c r="G57"/>
  <c r="W57"/>
  <c r="L116"/>
  <c r="D116"/>
  <c r="V57"/>
  <c r="F57"/>
  <c r="T116"/>
  <c r="H116"/>
  <c r="Q57"/>
  <c r="H57"/>
  <c r="K57"/>
  <c r="X116"/>
  <c r="V116"/>
  <c r="X57"/>
  <c r="I116"/>
  <c r="R57"/>
  <c r="M125"/>
  <c r="D57"/>
  <c r="Z4"/>
  <c r="K116"/>
  <c r="N57"/>
  <c r="O116"/>
  <c r="C116"/>
  <c r="U57"/>
  <c r="N116"/>
  <c r="G116"/>
  <c r="I57"/>
  <c r="Q116"/>
  <c r="J125"/>
  <c r="S116"/>
  <c r="T57"/>
  <c r="S57"/>
  <c r="M116"/>
  <c r="L57"/>
  <c r="U116"/>
  <c r="P116"/>
  <c r="M57"/>
  <c r="AJ28" i="105" l="1"/>
  <c r="J28" i="224" s="1"/>
  <c r="F28" s="1"/>
  <c r="AH9" i="88"/>
  <c r="AO9" s="1"/>
  <c r="AR28" i="105"/>
  <c r="BG28"/>
  <c r="AB28" i="107" s="1"/>
  <c r="AS28" i="105"/>
  <c r="BE28"/>
  <c r="Z28" i="107" s="1"/>
  <c r="BF28" i="105"/>
  <c r="AA28" i="107" s="1"/>
  <c r="BH28" i="105"/>
  <c r="AC28" i="107" s="1"/>
  <c r="AM27" i="168"/>
  <c r="A50" i="121" s="1"/>
  <c r="AX27" i="168"/>
  <c r="L50" i="121" s="1"/>
  <c r="AL28" i="168"/>
  <c r="AW28" s="1"/>
  <c r="J179" i="8"/>
  <c r="T13" i="124"/>
  <c r="T11"/>
  <c r="AX25" i="105"/>
  <c r="BG25" s="1"/>
  <c r="AB25" i="107" s="1"/>
  <c r="U12" i="124"/>
  <c r="U11"/>
  <c r="U13"/>
  <c r="AC9" i="88"/>
  <c r="T14" i="124"/>
  <c r="AH14" s="1"/>
  <c r="AK14" s="1"/>
  <c r="T12"/>
  <c r="BD78"/>
  <c r="J18" i="88"/>
  <c r="H18" s="1"/>
  <c r="E10" i="105"/>
  <c r="Z10" s="1"/>
  <c r="U20" s="1"/>
  <c r="E11" i="124"/>
  <c r="H11" i="224"/>
  <c r="AE18" i="88"/>
  <c r="M179" i="8"/>
  <c r="G30" i="216"/>
  <c r="AF30" s="1"/>
  <c r="AA4" i="8"/>
  <c r="G25" i="216"/>
  <c r="H25" s="1"/>
  <c r="AA25" s="1"/>
  <c r="I19" i="88"/>
  <c r="G23" i="109"/>
  <c r="W23" s="1"/>
  <c r="Z23"/>
  <c r="Q170" i="8"/>
  <c r="V170"/>
  <c r="K170"/>
  <c r="L170"/>
  <c r="O170"/>
  <c r="S170"/>
  <c r="N170"/>
  <c r="U170"/>
  <c r="X170"/>
  <c r="E170"/>
  <c r="G170"/>
  <c r="D170"/>
  <c r="J170"/>
  <c r="C170"/>
  <c r="W170"/>
  <c r="R170"/>
  <c r="P170"/>
  <c r="T170"/>
  <c r="H170"/>
  <c r="M170"/>
  <c r="F170"/>
  <c r="I170"/>
  <c r="AA22" i="196"/>
  <c r="AA13"/>
  <c r="AC13" s="1"/>
  <c r="AA20"/>
  <c r="AB20" s="1"/>
  <c r="AA15"/>
  <c r="AB15" s="1"/>
  <c r="AA17"/>
  <c r="AB17" s="1"/>
  <c r="AA25"/>
  <c r="AA21"/>
  <c r="AB21" s="1"/>
  <c r="AA14"/>
  <c r="AB14" s="1"/>
  <c r="AA11"/>
  <c r="AB11" s="1"/>
  <c r="AA29"/>
  <c r="AB29" s="1"/>
  <c r="AA24"/>
  <c r="AB24" s="1"/>
  <c r="AA26"/>
  <c r="AB26" s="1"/>
  <c r="AA9"/>
  <c r="AB9" s="1"/>
  <c r="AA18"/>
  <c r="AB18" s="1"/>
  <c r="AA19"/>
  <c r="AA16"/>
  <c r="AA28"/>
  <c r="AA12"/>
  <c r="AB12" s="1"/>
  <c r="AA23"/>
  <c r="AB23" s="1"/>
  <c r="AA10"/>
  <c r="AA27"/>
  <c r="AB27" s="1"/>
  <c r="BF27" i="170"/>
  <c r="AV28"/>
  <c r="BE27"/>
  <c r="G24" i="216"/>
  <c r="J24" s="1"/>
  <c r="AC24" s="1"/>
  <c r="G19"/>
  <c r="J19" s="1"/>
  <c r="G20"/>
  <c r="AE20" s="1"/>
  <c r="AD9" i="88"/>
  <c r="BA11" i="105"/>
  <c r="AG4" i="8"/>
  <c r="M12" i="124" s="1"/>
  <c r="AG11" s="1"/>
  <c r="BH78" s="1"/>
  <c r="M11" i="105"/>
  <c r="AH11" s="1"/>
  <c r="L11" i="224" s="1"/>
  <c r="AT4" i="8"/>
  <c r="AZ11" i="105"/>
  <c r="M3" i="8"/>
  <c r="AS3" s="1"/>
  <c r="AK3" s="1"/>
  <c r="C43" i="196"/>
  <c r="S18" i="16"/>
  <c r="F29" i="216"/>
  <c r="Z5" i="6"/>
  <c r="T7" i="219"/>
  <c r="E29" i="216"/>
  <c r="D29"/>
  <c r="AH16" i="211"/>
  <c r="AG16"/>
  <c r="Z17"/>
  <c r="Q2" i="8"/>
  <c r="H22" i="16"/>
  <c r="AE16" i="211"/>
  <c r="Y17"/>
  <c r="AF16"/>
  <c r="AR25" i="105"/>
  <c r="AS25"/>
  <c r="P2" i="8"/>
  <c r="H21" i="16"/>
  <c r="U3" i="8"/>
  <c r="AB7" i="219"/>
  <c r="S26" i="16"/>
  <c r="AH18" i="88"/>
  <c r="C51" i="196"/>
  <c r="AH5" i="6"/>
  <c r="AP3" i="8"/>
  <c r="AH3" s="1"/>
  <c r="D22" i="109"/>
  <c r="F2" i="8"/>
  <c r="E22" i="109"/>
  <c r="H11" i="16"/>
  <c r="E28" i="109"/>
  <c r="H17" i="16"/>
  <c r="D28" i="109"/>
  <c r="L2" i="8"/>
  <c r="P17" i="88"/>
  <c r="Q17"/>
  <c r="R17"/>
  <c r="AX16" i="105"/>
  <c r="AW16"/>
  <c r="AF9" i="88"/>
  <c r="G21" i="216"/>
  <c r="AQ25" i="105"/>
  <c r="V2" i="8"/>
  <c r="H27" i="16"/>
  <c r="Z7" i="219"/>
  <c r="S3" i="8"/>
  <c r="AF18" i="88"/>
  <c r="S24" i="16"/>
  <c r="C49" i="196"/>
  <c r="AF5" i="6"/>
  <c r="E2" i="8"/>
  <c r="H10" i="16"/>
  <c r="D21" i="109"/>
  <c r="E21"/>
  <c r="AK16" i="211"/>
  <c r="AB17"/>
  <c r="AL16"/>
  <c r="BG9"/>
  <c r="BH9"/>
  <c r="BJ8" s="1"/>
  <c r="D27" i="216"/>
  <c r="C41" i="196"/>
  <c r="F27" i="216"/>
  <c r="X5" i="6"/>
  <c r="R7" i="219"/>
  <c r="S16" i="16"/>
  <c r="E27" i="216"/>
  <c r="K3" i="8"/>
  <c r="AQ3" s="1"/>
  <c r="AI3" s="1"/>
  <c r="AE7" i="219"/>
  <c r="X3" i="8"/>
  <c r="C54" i="196"/>
  <c r="S29" i="16"/>
  <c r="AK5" i="6"/>
  <c r="H19" i="16"/>
  <c r="N2" i="8"/>
  <c r="G8" i="124"/>
  <c r="D3" s="1"/>
  <c r="E30" i="109"/>
  <c r="D30"/>
  <c r="G7" i="105"/>
  <c r="D3" s="1"/>
  <c r="AJ16" i="211"/>
  <c r="AA17"/>
  <c r="AI16"/>
  <c r="AM16"/>
  <c r="AC17"/>
  <c r="H8" i="16"/>
  <c r="C2" i="8"/>
  <c r="BE8" i="211"/>
  <c r="E19" i="109"/>
  <c r="D19"/>
  <c r="AU8" i="211"/>
  <c r="AS4" i="8"/>
  <c r="AK4" s="1"/>
  <c r="H20" i="16"/>
  <c r="O2" i="8"/>
  <c r="D25" i="109"/>
  <c r="I2" i="8"/>
  <c r="E25" i="109"/>
  <c r="H14" i="16"/>
  <c r="E24" i="109"/>
  <c r="H13" i="16"/>
  <c r="H2" i="8"/>
  <c r="D24" i="109"/>
  <c r="AR4" i="8"/>
  <c r="AJ4" s="1"/>
  <c r="R2"/>
  <c r="H23" i="16"/>
  <c r="AA7" i="219"/>
  <c r="T3" i="8"/>
  <c r="AG18" i="88"/>
  <c r="C50" i="196"/>
  <c r="S25" i="16"/>
  <c r="AG5" i="6"/>
  <c r="Q7" i="219"/>
  <c r="F26" i="216"/>
  <c r="J3" i="8"/>
  <c r="W5" i="6"/>
  <c r="S15" i="16"/>
  <c r="C40" i="196"/>
  <c r="D26" i="216"/>
  <c r="E26"/>
  <c r="H9" i="16"/>
  <c r="AV8" i="211"/>
  <c r="D20" i="109"/>
  <c r="D2" i="8"/>
  <c r="E20" i="109"/>
  <c r="BF8" i="211"/>
  <c r="AQ4" i="8"/>
  <c r="AI4" s="1"/>
  <c r="G22" i="216"/>
  <c r="AE9" i="88"/>
  <c r="G28" i="216"/>
  <c r="H23" i="109"/>
  <c r="X23" s="1"/>
  <c r="AW29" i="170"/>
  <c r="BH28"/>
  <c r="BI28"/>
  <c r="AZ29"/>
  <c r="AT30"/>
  <c r="AY29"/>
  <c r="AU29"/>
  <c r="BC28"/>
  <c r="BB28"/>
  <c r="AK29" i="168"/>
  <c r="AT28"/>
  <c r="AU28"/>
  <c r="I51" i="121" s="1"/>
  <c r="AS27" i="168"/>
  <c r="G50" i="121" s="1"/>
  <c r="H50"/>
  <c r="K50"/>
  <c r="AV27" i="168"/>
  <c r="J50" i="121" s="1"/>
  <c r="AQ29" i="168"/>
  <c r="AJ30"/>
  <c r="AR29"/>
  <c r="F52" i="121" s="1"/>
  <c r="AI30" i="168"/>
  <c r="AN29"/>
  <c r="AO29"/>
  <c r="C52" i="121" s="1"/>
  <c r="AM28" i="168"/>
  <c r="A51" i="121" s="1"/>
  <c r="B51"/>
  <c r="E51"/>
  <c r="AP28" i="168"/>
  <c r="D51" i="121" s="1"/>
  <c r="T28" i="16"/>
  <c r="U56" i="8"/>
  <c r="Z3"/>
  <c r="W56"/>
  <c r="M111"/>
  <c r="U111"/>
  <c r="K111"/>
  <c r="Q111"/>
  <c r="T15" i="16"/>
  <c r="T19"/>
  <c r="N111" i="8"/>
  <c r="P56"/>
  <c r="C56"/>
  <c r="T24" i="16"/>
  <c r="T14"/>
  <c r="I56" i="8"/>
  <c r="R56"/>
  <c r="T20" i="16"/>
  <c r="P111" i="8"/>
  <c r="T13" i="16"/>
  <c r="S56" i="8"/>
  <c r="T12" i="16"/>
  <c r="H56" i="8"/>
  <c r="F111"/>
  <c r="T22" i="16"/>
  <c r="T26"/>
  <c r="V111" i="8"/>
  <c r="W111"/>
  <c r="T56"/>
  <c r="N56"/>
  <c r="F56"/>
  <c r="T11" i="16"/>
  <c r="E56" i="8"/>
  <c r="D111"/>
  <c r="L111"/>
  <c r="E111"/>
  <c r="T29" i="16"/>
  <c r="T27"/>
  <c r="C111" i="8"/>
  <c r="D56"/>
  <c r="X56"/>
  <c r="T16" i="16"/>
  <c r="H111" i="8"/>
  <c r="J111"/>
  <c r="S111"/>
  <c r="T25" i="16"/>
  <c r="T21"/>
  <c r="T9"/>
  <c r="T17"/>
  <c r="V56" i="8"/>
  <c r="T18" i="16"/>
  <c r="L56" i="8"/>
  <c r="T111"/>
  <c r="T10" i="16"/>
  <c r="G56" i="8"/>
  <c r="O111"/>
  <c r="G111"/>
  <c r="Q56"/>
  <c r="X111"/>
  <c r="O56"/>
  <c r="T8" i="16"/>
  <c r="R111" i="8"/>
  <c r="I111"/>
  <c r="T23" i="16"/>
  <c r="U14"/>
  <c r="J56" i="8"/>
  <c r="U13" i="16"/>
  <c r="U25"/>
  <c r="U11"/>
  <c r="U19"/>
  <c r="U16"/>
  <c r="U27"/>
  <c r="U9"/>
  <c r="U17"/>
  <c r="U8"/>
  <c r="U21"/>
  <c r="U28"/>
  <c r="U26"/>
  <c r="U23"/>
  <c r="U29"/>
  <c r="U18"/>
  <c r="U15"/>
  <c r="U20"/>
  <c r="U10"/>
  <c r="U24"/>
  <c r="U12"/>
  <c r="AC19" i="216" l="1"/>
  <c r="AP28" i="105"/>
  <c r="J28" i="107"/>
  <c r="F28" s="1"/>
  <c r="AJ25" i="105"/>
  <c r="J25" i="224" s="1"/>
  <c r="F25" s="1"/>
  <c r="AC8" i="88"/>
  <c r="AX28" i="168"/>
  <c r="L51" i="121" s="1"/>
  <c r="AL29" i="168"/>
  <c r="AL30" s="1"/>
  <c r="W13" i="124"/>
  <c r="BH25" i="105"/>
  <c r="AC25" i="107" s="1"/>
  <c r="W14" i="124"/>
  <c r="BE25" i="105"/>
  <c r="Z25" i="107" s="1"/>
  <c r="W12" i="124"/>
  <c r="BF25" i="105"/>
  <c r="AA25" i="107" s="1"/>
  <c r="U13" i="105"/>
  <c r="W11" i="124"/>
  <c r="U21" i="105"/>
  <c r="U26"/>
  <c r="G18" i="88"/>
  <c r="I18" s="1"/>
  <c r="AL14" i="124"/>
  <c r="AH13"/>
  <c r="AL13" s="1"/>
  <c r="E7" i="105"/>
  <c r="D2" s="1"/>
  <c r="V28"/>
  <c r="AE17" i="88"/>
  <c r="U16" i="105"/>
  <c r="U29"/>
  <c r="V16"/>
  <c r="U10"/>
  <c r="U23"/>
  <c r="U17"/>
  <c r="U25"/>
  <c r="E8" i="124"/>
  <c r="D2" s="1"/>
  <c r="V21" i="105"/>
  <c r="X21" s="1"/>
  <c r="J17" i="88"/>
  <c r="K17" s="1"/>
  <c r="V14" i="105"/>
  <c r="U24"/>
  <c r="V11"/>
  <c r="U22"/>
  <c r="V20"/>
  <c r="X20" s="1"/>
  <c r="V12"/>
  <c r="U11"/>
  <c r="H10" i="224"/>
  <c r="V10" i="105"/>
  <c r="V29"/>
  <c r="V13"/>
  <c r="V27"/>
  <c r="AH8" i="88"/>
  <c r="U18" i="105"/>
  <c r="H10" i="107"/>
  <c r="V25" i="105"/>
  <c r="V23"/>
  <c r="U15"/>
  <c r="V22"/>
  <c r="U28"/>
  <c r="V19"/>
  <c r="U12"/>
  <c r="V24"/>
  <c r="V26"/>
  <c r="V18"/>
  <c r="U27"/>
  <c r="U19"/>
  <c r="V17"/>
  <c r="X17" s="1"/>
  <c r="K18" i="88"/>
  <c r="I9"/>
  <c r="J9" s="1"/>
  <c r="V15" i="105"/>
  <c r="U14"/>
  <c r="AJ16"/>
  <c r="J16" i="224" s="1"/>
  <c r="F16" s="1"/>
  <c r="AF19" i="216"/>
  <c r="AG19"/>
  <c r="F22" i="109"/>
  <c r="G22" s="1"/>
  <c r="W22" s="1"/>
  <c r="AE19" i="216"/>
  <c r="I19"/>
  <c r="I30"/>
  <c r="AB30" s="1"/>
  <c r="J30"/>
  <c r="AC30" s="1"/>
  <c r="AE30"/>
  <c r="H30"/>
  <c r="AA30" s="1"/>
  <c r="I24"/>
  <c r="AB24" s="1"/>
  <c r="AG30"/>
  <c r="AF20"/>
  <c r="F28" i="109"/>
  <c r="Z28" s="1"/>
  <c r="AE25" i="216"/>
  <c r="AG25"/>
  <c r="I25"/>
  <c r="AB25" s="1"/>
  <c r="J25"/>
  <c r="AC25" s="1"/>
  <c r="AF25"/>
  <c r="AF8" i="88"/>
  <c r="AB13" i="196"/>
  <c r="AE13" s="1"/>
  <c r="H24" i="216"/>
  <c r="AA24" s="1"/>
  <c r="AF24"/>
  <c r="H19"/>
  <c r="AG24"/>
  <c r="AE24"/>
  <c r="F20" i="109"/>
  <c r="Z20" s="1"/>
  <c r="L9" i="88"/>
  <c r="F21" i="109"/>
  <c r="AA21" s="1"/>
  <c r="L165" i="8"/>
  <c r="K165"/>
  <c r="F165"/>
  <c r="U165"/>
  <c r="O165"/>
  <c r="V165"/>
  <c r="D165"/>
  <c r="H165"/>
  <c r="N165"/>
  <c r="AK11" i="105" s="1"/>
  <c r="N11" i="107" s="1"/>
  <c r="R165" i="8"/>
  <c r="E165"/>
  <c r="W165"/>
  <c r="I165"/>
  <c r="X165"/>
  <c r="Q165"/>
  <c r="C165"/>
  <c r="P165"/>
  <c r="T165"/>
  <c r="G165"/>
  <c r="M165"/>
  <c r="J165"/>
  <c r="S165"/>
  <c r="AE9" i="196"/>
  <c r="AD9"/>
  <c r="BE28" i="170"/>
  <c r="BF28"/>
  <c r="AV29"/>
  <c r="AC16" i="196"/>
  <c r="AB16"/>
  <c r="AE14"/>
  <c r="AD14"/>
  <c r="AC28"/>
  <c r="AB28"/>
  <c r="AE11"/>
  <c r="AD11"/>
  <c r="AC22"/>
  <c r="AB22"/>
  <c r="H20" i="216"/>
  <c r="AA20" s="1"/>
  <c r="AG20"/>
  <c r="AD8" i="88"/>
  <c r="BF16" i="105"/>
  <c r="AA16" i="107" s="1"/>
  <c r="I20" i="216"/>
  <c r="AB20" s="1"/>
  <c r="AD17" i="196"/>
  <c r="AE17"/>
  <c r="AC25"/>
  <c r="AB25"/>
  <c r="AD21"/>
  <c r="AE21"/>
  <c r="AD12"/>
  <c r="AE12"/>
  <c r="AE29"/>
  <c r="AD29"/>
  <c r="J20" i="216"/>
  <c r="AC20" s="1"/>
  <c r="AE27" i="196"/>
  <c r="AD27"/>
  <c r="AE18"/>
  <c r="AD18"/>
  <c r="AE23"/>
  <c r="AD23"/>
  <c r="AD24"/>
  <c r="AE24"/>
  <c r="AD20"/>
  <c r="AE20"/>
  <c r="AC19"/>
  <c r="AB19"/>
  <c r="AC10"/>
  <c r="AB10"/>
  <c r="AE26"/>
  <c r="AD26"/>
  <c r="AE15"/>
  <c r="AD15"/>
  <c r="AK16" i="105"/>
  <c r="N16" i="107" s="1"/>
  <c r="AH12" i="124"/>
  <c r="H16" i="196"/>
  <c r="H17" s="1"/>
  <c r="X24" i="16"/>
  <c r="C27" i="67" s="1"/>
  <c r="D27" s="1"/>
  <c r="W24" i="16"/>
  <c r="Z24"/>
  <c r="G27" i="67" s="1"/>
  <c r="V24" i="16"/>
  <c r="Y24"/>
  <c r="F27" i="67" s="1"/>
  <c r="AA24" i="16"/>
  <c r="H27" i="67" s="1"/>
  <c r="X28" i="16"/>
  <c r="C31" i="67" s="1"/>
  <c r="D31" s="1"/>
  <c r="Y28" i="16"/>
  <c r="F31" i="67" s="1"/>
  <c r="Z28" i="16"/>
  <c r="G31" i="67" s="1"/>
  <c r="AA28" i="16"/>
  <c r="H31" i="67" s="1"/>
  <c r="W28" i="16"/>
  <c r="V28"/>
  <c r="W23"/>
  <c r="Z23"/>
  <c r="G26" i="67" s="1"/>
  <c r="Y23" i="16"/>
  <c r="F26" i="67" s="1"/>
  <c r="X23" i="16"/>
  <c r="C26" i="67" s="1"/>
  <c r="D26" s="1"/>
  <c r="AA23" i="16"/>
  <c r="H26" i="67" s="1"/>
  <c r="V23" i="16"/>
  <c r="Z27"/>
  <c r="G30" i="67" s="1"/>
  <c r="X27" i="16"/>
  <c r="C30" i="67" s="1"/>
  <c r="D30" s="1"/>
  <c r="AA27" i="16"/>
  <c r="H30" i="67" s="1"/>
  <c r="V27" i="16"/>
  <c r="Y27"/>
  <c r="F30" i="67" s="1"/>
  <c r="W27" i="16"/>
  <c r="AA21"/>
  <c r="H24" i="67" s="1"/>
  <c r="Z21" i="16"/>
  <c r="G24" i="67" s="1"/>
  <c r="Y21" i="16"/>
  <c r="F24" i="67" s="1"/>
  <c r="W21" i="16"/>
  <c r="X21"/>
  <c r="C24" i="67" s="1"/>
  <c r="D24" s="1"/>
  <c r="V21" i="16"/>
  <c r="W26"/>
  <c r="X26"/>
  <c r="C29" i="67" s="1"/>
  <c r="D29" s="1"/>
  <c r="Z26" i="16"/>
  <c r="G29" i="67" s="1"/>
  <c r="V26" i="16"/>
  <c r="AA26"/>
  <c r="H29" i="67" s="1"/>
  <c r="Y26" i="16"/>
  <c r="F29" i="67" s="1"/>
  <c r="Y25" i="16"/>
  <c r="F28" i="67" s="1"/>
  <c r="W25" i="16"/>
  <c r="Z25"/>
  <c r="G28" i="67" s="1"/>
  <c r="AA25" i="16"/>
  <c r="H28" i="67" s="1"/>
  <c r="V25" i="16"/>
  <c r="X25"/>
  <c r="C28" i="67" s="1"/>
  <c r="D28" s="1"/>
  <c r="AA29" i="16"/>
  <c r="H32" i="67" s="1"/>
  <c r="W29" i="16"/>
  <c r="Y29"/>
  <c r="F32" i="67" s="1"/>
  <c r="X29" i="16"/>
  <c r="C32" i="67" s="1"/>
  <c r="D32" s="1"/>
  <c r="V29" i="16"/>
  <c r="Z29"/>
  <c r="G32" i="67" s="1"/>
  <c r="AG3" i="8"/>
  <c r="M11" i="124" s="1"/>
  <c r="AT3" i="8"/>
  <c r="M10" i="105"/>
  <c r="AH10" s="1"/>
  <c r="L10" i="224" s="1"/>
  <c r="BA10" i="105"/>
  <c r="AF17" i="88"/>
  <c r="S2" i="8"/>
  <c r="H24" i="16"/>
  <c r="AX11" i="105"/>
  <c r="AW11"/>
  <c r="AP2" i="8"/>
  <c r="AH2" s="1"/>
  <c r="H22" i="216"/>
  <c r="AA22" s="1"/>
  <c r="AE22"/>
  <c r="I22"/>
  <c r="AB22" s="1"/>
  <c r="AG22"/>
  <c r="J22"/>
  <c r="AC22" s="1"/>
  <c r="AF22"/>
  <c r="H18" i="16"/>
  <c r="M2" i="8"/>
  <c r="AS2" s="1"/>
  <c r="AK2" s="1"/>
  <c r="D29" i="109"/>
  <c r="E29"/>
  <c r="G27" i="216"/>
  <c r="AR3" i="8"/>
  <c r="AJ3" s="1"/>
  <c r="I28" i="216"/>
  <c r="AB28" s="1"/>
  <c r="H28"/>
  <c r="AA28" s="1"/>
  <c r="AG28"/>
  <c r="AF28"/>
  <c r="J28"/>
  <c r="AC28" s="1"/>
  <c r="AE28"/>
  <c r="H15" i="16"/>
  <c r="D26" i="109"/>
  <c r="E26"/>
  <c r="J2" i="8"/>
  <c r="J21" i="216"/>
  <c r="AC21" s="1"/>
  <c r="AG21"/>
  <c r="AE21"/>
  <c r="H21"/>
  <c r="AA21" s="1"/>
  <c r="I21"/>
  <c r="AB21" s="1"/>
  <c r="AF21"/>
  <c r="X17" i="88"/>
  <c r="K35" i="194" s="1"/>
  <c r="Y17" i="88"/>
  <c r="L35" i="194" s="1"/>
  <c r="J35" s="1"/>
  <c r="R18" i="88"/>
  <c r="F30" i="109"/>
  <c r="AC18" i="211"/>
  <c r="AM17"/>
  <c r="W17" i="88"/>
  <c r="H35" i="194" s="1"/>
  <c r="F35" s="1"/>
  <c r="Q18" i="88"/>
  <c r="V17"/>
  <c r="G35" i="194" s="1"/>
  <c r="D27" i="109"/>
  <c r="K2" i="8"/>
  <c r="AQ2" s="1"/>
  <c r="AI2" s="1"/>
  <c r="E27" i="109"/>
  <c r="H16" i="16"/>
  <c r="AR16" i="105"/>
  <c r="BH16"/>
  <c r="AC16" i="107" s="1"/>
  <c r="BG16" i="105"/>
  <c r="AB16" i="107" s="1"/>
  <c r="AS16" i="105"/>
  <c r="AF17" i="211"/>
  <c r="Y18"/>
  <c r="AE17"/>
  <c r="AG17"/>
  <c r="AH17"/>
  <c r="Z18"/>
  <c r="F19" i="109"/>
  <c r="F24"/>
  <c r="P18" i="88"/>
  <c r="T17"/>
  <c r="C35" i="194" s="1"/>
  <c r="U17" i="88"/>
  <c r="D35" i="194" s="1"/>
  <c r="B35" s="1"/>
  <c r="AG17" i="88"/>
  <c r="T2" i="8"/>
  <c r="H25" i="16"/>
  <c r="BG8" i="211"/>
  <c r="BH8"/>
  <c r="AI17"/>
  <c r="AA18"/>
  <c r="AJ17"/>
  <c r="X2" i="8"/>
  <c r="H29" i="16"/>
  <c r="AB18" i="211"/>
  <c r="AK17"/>
  <c r="AL17"/>
  <c r="AH17" i="88"/>
  <c r="H26" i="16"/>
  <c r="U2" i="8"/>
  <c r="AA3"/>
  <c r="G29" i="216"/>
  <c r="G26"/>
  <c r="F25" i="109"/>
  <c r="AE8" i="88"/>
  <c r="BE16" i="105"/>
  <c r="Z16" i="107" s="1"/>
  <c r="AO30" i="168"/>
  <c r="C53" i="121" s="1"/>
  <c r="AN30" i="168"/>
  <c r="AU29"/>
  <c r="I52" i="121" s="1"/>
  <c r="AT29" i="168"/>
  <c r="AK30"/>
  <c r="AM29"/>
  <c r="A52" i="121" s="1"/>
  <c r="B52"/>
  <c r="AR30" i="168"/>
  <c r="F53" i="121" s="1"/>
  <c r="AQ30" i="168"/>
  <c r="AV28"/>
  <c r="J51" i="121" s="1"/>
  <c r="K51"/>
  <c r="BI29" i="170"/>
  <c r="AW30"/>
  <c r="BH29"/>
  <c r="AY30"/>
  <c r="AZ30"/>
  <c r="BC29"/>
  <c r="BB29"/>
  <c r="AU30"/>
  <c r="AP29" i="168"/>
  <c r="D52" i="121" s="1"/>
  <c r="E52"/>
  <c r="AS28" i="168"/>
  <c r="G51" i="121" s="1"/>
  <c r="H51"/>
  <c r="X20" i="16"/>
  <c r="Z20"/>
  <c r="AA20"/>
  <c r="W20"/>
  <c r="I11"/>
  <c r="AA17"/>
  <c r="AA13"/>
  <c r="R55" i="8"/>
  <c r="L55"/>
  <c r="E55"/>
  <c r="G55"/>
  <c r="U22" i="16"/>
  <c r="P55" i="8"/>
  <c r="I21" i="16"/>
  <c r="X11"/>
  <c r="X17"/>
  <c r="X12"/>
  <c r="AA15"/>
  <c r="I55" i="8"/>
  <c r="AA16" i="16"/>
  <c r="V55" i="8"/>
  <c r="Z19" i="16"/>
  <c r="J55" i="8"/>
  <c r="AA10" i="16"/>
  <c r="Z12"/>
  <c r="Z10"/>
  <c r="I19"/>
  <c r="AA11"/>
  <c r="X14"/>
  <c r="I20"/>
  <c r="Z15"/>
  <c r="AA9"/>
  <c r="N55" i="8"/>
  <c r="I13" i="16"/>
  <c r="I9"/>
  <c r="W55" i="8"/>
  <c r="I17" i="16"/>
  <c r="X55" i="8"/>
  <c r="X15" i="16"/>
  <c r="AA19"/>
  <c r="I29"/>
  <c r="AA8"/>
  <c r="I26"/>
  <c r="I14"/>
  <c r="Z17"/>
  <c r="M56" i="8"/>
  <c r="AA12" i="16"/>
  <c r="AA18"/>
  <c r="Z2" i="8"/>
  <c r="Z9" i="16"/>
  <c r="X16"/>
  <c r="I24"/>
  <c r="O55" i="8"/>
  <c r="X9" i="16"/>
  <c r="D55" i="8"/>
  <c r="T55"/>
  <c r="K56"/>
  <c r="Z13" i="16"/>
  <c r="H55" i="8"/>
  <c r="I8" i="16"/>
  <c r="I23"/>
  <c r="C55" i="8"/>
  <c r="F55"/>
  <c r="Z11" i="16"/>
  <c r="I15"/>
  <c r="H110" i="8"/>
  <c r="N110"/>
  <c r="X18" i="16"/>
  <c r="X13"/>
  <c r="Q55" i="8"/>
  <c r="X8" i="16"/>
  <c r="I25"/>
  <c r="AA14"/>
  <c r="Z18"/>
  <c r="X19"/>
  <c r="I28"/>
  <c r="J17"/>
  <c r="O110" i="8"/>
  <c r="P110"/>
  <c r="W12" i="16"/>
  <c r="W16"/>
  <c r="I27"/>
  <c r="S55" i="8"/>
  <c r="Z16" i="16"/>
  <c r="T110" i="8"/>
  <c r="G110"/>
  <c r="Z8" i="16"/>
  <c r="Z14"/>
  <c r="X10"/>
  <c r="I22"/>
  <c r="F110" i="8"/>
  <c r="W10" i="16"/>
  <c r="I10"/>
  <c r="I12"/>
  <c r="U55" i="8"/>
  <c r="W110"/>
  <c r="L110"/>
  <c r="I16" i="16"/>
  <c r="I18"/>
  <c r="W9"/>
  <c r="W15"/>
  <c r="W13"/>
  <c r="W11"/>
  <c r="V110" i="8"/>
  <c r="U110"/>
  <c r="J110"/>
  <c r="S110"/>
  <c r="X110"/>
  <c r="E110"/>
  <c r="R110"/>
  <c r="D110"/>
  <c r="C110"/>
  <c r="I110"/>
  <c r="Q110"/>
  <c r="J12" i="16"/>
  <c r="J9"/>
  <c r="J23"/>
  <c r="J25"/>
  <c r="J26"/>
  <c r="J13"/>
  <c r="J18"/>
  <c r="J20"/>
  <c r="J21"/>
  <c r="J28"/>
  <c r="J8"/>
  <c r="J27"/>
  <c r="J24"/>
  <c r="J29"/>
  <c r="J19"/>
  <c r="J16"/>
  <c r="J10"/>
  <c r="W19"/>
  <c r="W14"/>
  <c r="W8"/>
  <c r="W18"/>
  <c r="J14"/>
  <c r="J11"/>
  <c r="J15"/>
  <c r="J22"/>
  <c r="X26" i="105" l="1"/>
  <c r="Z22" i="16"/>
  <c r="G25" i="67" s="1"/>
  <c r="W22" i="16"/>
  <c r="AA22"/>
  <c r="H25" i="67" s="1"/>
  <c r="X22" i="16"/>
  <c r="C25" i="67" s="1"/>
  <c r="D25" s="1"/>
  <c r="V22" i="16"/>
  <c r="Y22"/>
  <c r="F25" i="67" s="1"/>
  <c r="T19" i="216"/>
  <c r="AA19"/>
  <c r="R19"/>
  <c r="AB19"/>
  <c r="S19"/>
  <c r="H23" i="67"/>
  <c r="G23"/>
  <c r="C23"/>
  <c r="J25" i="107"/>
  <c r="F25" s="1"/>
  <c r="AP25" i="105"/>
  <c r="AW29" i="168"/>
  <c r="K52" i="121" s="1"/>
  <c r="AX29" i="168"/>
  <c r="L52" i="121" s="1"/>
  <c r="AZ10" i="105"/>
  <c r="AX10" s="1"/>
  <c r="AK13" i="124"/>
  <c r="H17" i="88"/>
  <c r="X11" i="105"/>
  <c r="G17" i="88"/>
  <c r="X27" i="105"/>
  <c r="I8" i="88"/>
  <c r="K8" s="1"/>
  <c r="X22" i="105"/>
  <c r="X13"/>
  <c r="X23"/>
  <c r="X10"/>
  <c r="X16"/>
  <c r="X14"/>
  <c r="X19"/>
  <c r="X18"/>
  <c r="X28"/>
  <c r="X15"/>
  <c r="X24"/>
  <c r="X25"/>
  <c r="X12"/>
  <c r="X29"/>
  <c r="E6" i="194"/>
  <c r="K9" i="88"/>
  <c r="H9" s="1"/>
  <c r="D6" i="194" s="1"/>
  <c r="AJ11" i="105"/>
  <c r="J11" i="224" s="1"/>
  <c r="F11" s="1"/>
  <c r="J16" i="107"/>
  <c r="F16" s="1"/>
  <c r="AP16" i="105"/>
  <c r="AA22" i="109"/>
  <c r="AD13" i="196"/>
  <c r="Z22" i="109"/>
  <c r="H22"/>
  <c r="X22" s="1"/>
  <c r="Z21"/>
  <c r="G21"/>
  <c r="W21" s="1"/>
  <c r="AA28"/>
  <c r="H28"/>
  <c r="X28" s="1"/>
  <c r="G28"/>
  <c r="W28" s="1"/>
  <c r="H21"/>
  <c r="X21" s="1"/>
  <c r="H20"/>
  <c r="X20" s="1"/>
  <c r="G20"/>
  <c r="W20" s="1"/>
  <c r="AA20"/>
  <c r="W164" i="8"/>
  <c r="H18" i="67"/>
  <c r="J164" i="8"/>
  <c r="C22" i="67"/>
  <c r="C13"/>
  <c r="H19"/>
  <c r="C20"/>
  <c r="G11"/>
  <c r="G164" i="8"/>
  <c r="G22" i="67"/>
  <c r="C19"/>
  <c r="C12"/>
  <c r="G21"/>
  <c r="C14"/>
  <c r="C15"/>
  <c r="U164" i="8"/>
  <c r="F164"/>
  <c r="Q164"/>
  <c r="H13" i="67"/>
  <c r="G19"/>
  <c r="G12"/>
  <c r="H11"/>
  <c r="H16"/>
  <c r="H14"/>
  <c r="D164" i="8"/>
  <c r="H21" i="67"/>
  <c r="H17"/>
  <c r="E164" i="8"/>
  <c r="V164"/>
  <c r="L164"/>
  <c r="X164"/>
  <c r="C11" i="67"/>
  <c r="G18"/>
  <c r="C164" i="8"/>
  <c r="C21" i="67"/>
  <c r="G14"/>
  <c r="N164" i="8"/>
  <c r="AK10" i="105" s="1"/>
  <c r="N10" i="107" s="1"/>
  <c r="S164" i="8"/>
  <c r="G13" i="67"/>
  <c r="G17"/>
  <c r="H12"/>
  <c r="G16"/>
  <c r="C18"/>
  <c r="P164" i="8"/>
  <c r="H15" i="67"/>
  <c r="H20"/>
  <c r="R164" i="8"/>
  <c r="G15" i="67"/>
  <c r="I164" i="8"/>
  <c r="H164"/>
  <c r="H22" i="67"/>
  <c r="T164" i="8"/>
  <c r="O164"/>
  <c r="C17" i="67"/>
  <c r="G20"/>
  <c r="C16"/>
  <c r="AD19" i="196"/>
  <c r="AE19"/>
  <c r="AD10"/>
  <c r="AE10"/>
  <c r="BE29" i="170"/>
  <c r="AV30"/>
  <c r="BF29"/>
  <c r="AH11" i="124"/>
  <c r="AK11" s="1"/>
  <c r="AL12"/>
  <c r="AK12"/>
  <c r="AQ16" i="105"/>
  <c r="AE25" i="196"/>
  <c r="AD25"/>
  <c r="AE28"/>
  <c r="AD28"/>
  <c r="AE22"/>
  <c r="AD22"/>
  <c r="AD16"/>
  <c r="AE16"/>
  <c r="O28" i="16"/>
  <c r="K28"/>
  <c r="P28"/>
  <c r="N28"/>
  <c r="M28"/>
  <c r="L28"/>
  <c r="M21"/>
  <c r="O21"/>
  <c r="K21"/>
  <c r="N21"/>
  <c r="L21"/>
  <c r="P21"/>
  <c r="K24"/>
  <c r="P24"/>
  <c r="L24"/>
  <c r="M24"/>
  <c r="N24"/>
  <c r="O24"/>
  <c r="K23"/>
  <c r="L23"/>
  <c r="N23"/>
  <c r="M23"/>
  <c r="P23"/>
  <c r="O23"/>
  <c r="P27"/>
  <c r="L27"/>
  <c r="O27"/>
  <c r="N27"/>
  <c r="M27"/>
  <c r="K27"/>
  <c r="K25"/>
  <c r="M25"/>
  <c r="O25"/>
  <c r="P25"/>
  <c r="N25"/>
  <c r="L25"/>
  <c r="N29"/>
  <c r="M29"/>
  <c r="P29"/>
  <c r="K29"/>
  <c r="O29"/>
  <c r="L29"/>
  <c r="M26"/>
  <c r="O26"/>
  <c r="P26"/>
  <c r="K26"/>
  <c r="L26"/>
  <c r="N26"/>
  <c r="N22"/>
  <c r="K22"/>
  <c r="L22"/>
  <c r="M22"/>
  <c r="P22"/>
  <c r="O22"/>
  <c r="AT2" i="8"/>
  <c r="AG2"/>
  <c r="W5" i="211"/>
  <c r="U5"/>
  <c r="H50" i="196"/>
  <c r="H20"/>
  <c r="H21" s="1"/>
  <c r="AG18" i="211"/>
  <c r="Z19"/>
  <c r="AH18"/>
  <c r="Q19" i="88"/>
  <c r="V18"/>
  <c r="G36" i="194" s="1"/>
  <c r="W18" i="88"/>
  <c r="H36" i="194" s="1"/>
  <c r="F36" s="1"/>
  <c r="AM18" i="211"/>
  <c r="AC19"/>
  <c r="AM19" s="1"/>
  <c r="J27" i="216"/>
  <c r="AC27" s="1"/>
  <c r="H27"/>
  <c r="AA27" s="1"/>
  <c r="AG27"/>
  <c r="AF27"/>
  <c r="I27"/>
  <c r="AB27" s="1"/>
  <c r="AE27"/>
  <c r="BG11" i="105"/>
  <c r="AB11" i="107" s="1"/>
  <c r="AR11" i="105"/>
  <c r="AS11"/>
  <c r="BH11"/>
  <c r="AC11" i="107" s="1"/>
  <c r="BJ12" i="211"/>
  <c r="U4"/>
  <c r="Z24" i="109"/>
  <c r="H24"/>
  <c r="X24" s="1"/>
  <c r="G24"/>
  <c r="W24" s="1"/>
  <c r="AA24"/>
  <c r="Z19"/>
  <c r="H19"/>
  <c r="AA19"/>
  <c r="G19"/>
  <c r="AR2" i="8"/>
  <c r="AJ2" s="1"/>
  <c r="AF26" i="216"/>
  <c r="AE26"/>
  <c r="I26"/>
  <c r="AB26" s="1"/>
  <c r="H26"/>
  <c r="J26"/>
  <c r="AC26" s="1"/>
  <c r="AG26"/>
  <c r="H35" i="196"/>
  <c r="H45"/>
  <c r="H42"/>
  <c r="H40"/>
  <c r="L8" i="88"/>
  <c r="H49" i="196"/>
  <c r="BE11" i="105"/>
  <c r="Z11" i="107" s="1"/>
  <c r="H44" i="196"/>
  <c r="H51"/>
  <c r="H34"/>
  <c r="F27" i="109"/>
  <c r="AQ11" i="105"/>
  <c r="H37" i="196"/>
  <c r="H33"/>
  <c r="Y18" i="88"/>
  <c r="L36" i="194" s="1"/>
  <c r="J36" s="1"/>
  <c r="X18" i="88"/>
  <c r="K36" i="194" s="1"/>
  <c r="R19" i="88"/>
  <c r="G30" i="109"/>
  <c r="AA30"/>
  <c r="H30"/>
  <c r="X30" s="1"/>
  <c r="Z30"/>
  <c r="H43" i="196"/>
  <c r="F29" i="109"/>
  <c r="H46" i="196"/>
  <c r="H38"/>
  <c r="AE18" i="211"/>
  <c r="AF18"/>
  <c r="Y19"/>
  <c r="H54" i="196"/>
  <c r="H48"/>
  <c r="H41"/>
  <c r="H53"/>
  <c r="BF11" i="105"/>
  <c r="AA11" i="107" s="1"/>
  <c r="H47" i="196"/>
  <c r="H52"/>
  <c r="AA25" i="109"/>
  <c r="H25"/>
  <c r="X25" s="1"/>
  <c r="Z25"/>
  <c r="G25"/>
  <c r="W25" s="1"/>
  <c r="AI18" i="211"/>
  <c r="AJ18"/>
  <c r="AA19"/>
  <c r="AE29" i="216"/>
  <c r="AF29"/>
  <c r="H29"/>
  <c r="J29"/>
  <c r="AC29" s="1"/>
  <c r="AG29"/>
  <c r="I29"/>
  <c r="AB29" s="1"/>
  <c r="AB19" i="211"/>
  <c r="AL18"/>
  <c r="AK18"/>
  <c r="U18" i="88"/>
  <c r="D36" i="194" s="1"/>
  <c r="B36" s="1"/>
  <c r="T18" i="88"/>
  <c r="C36" i="194" s="1"/>
  <c r="P19" i="88"/>
  <c r="AA2" i="8"/>
  <c r="F26" i="109"/>
  <c r="H39" i="196"/>
  <c r="H36"/>
  <c r="BC30" i="170"/>
  <c r="BB30"/>
  <c r="AW30" i="168"/>
  <c r="AX30"/>
  <c r="L53" i="121" s="1"/>
  <c r="AP30" i="168"/>
  <c r="D53" i="121" s="1"/>
  <c r="E53"/>
  <c r="AM30" i="168"/>
  <c r="A53" i="121" s="1"/>
  <c r="B53"/>
  <c r="AS29" i="168"/>
  <c r="G52" i="121" s="1"/>
  <c r="H52"/>
  <c r="AU30" i="168"/>
  <c r="I53" i="121" s="1"/>
  <c r="AT30" i="168"/>
  <c r="BI30" i="170"/>
  <c r="BH30"/>
  <c r="V20" i="16"/>
  <c r="O20"/>
  <c r="P20"/>
  <c r="M20"/>
  <c r="L20"/>
  <c r="M12"/>
  <c r="M15"/>
  <c r="P18"/>
  <c r="V18"/>
  <c r="V16"/>
  <c r="P19"/>
  <c r="V17"/>
  <c r="K55" i="8"/>
  <c r="V15" i="16"/>
  <c r="V13"/>
  <c r="P8"/>
  <c r="O18"/>
  <c r="W17"/>
  <c r="P10"/>
  <c r="O8"/>
  <c r="M14"/>
  <c r="P14"/>
  <c r="V9"/>
  <c r="O19"/>
  <c r="V12"/>
  <c r="M16"/>
  <c r="V11"/>
  <c r="M13"/>
  <c r="V19"/>
  <c r="O17"/>
  <c r="O14"/>
  <c r="M10"/>
  <c r="O10"/>
  <c r="P15"/>
  <c r="O12"/>
  <c r="M55" i="8"/>
  <c r="M17" i="16"/>
  <c r="P12"/>
  <c r="U109" i="8"/>
  <c r="M8" i="16"/>
  <c r="O11"/>
  <c r="M9"/>
  <c r="M19"/>
  <c r="P17"/>
  <c r="M18"/>
  <c r="M11"/>
  <c r="F109" i="8"/>
  <c r="G109"/>
  <c r="C109"/>
  <c r="P13" i="16"/>
  <c r="P9"/>
  <c r="P16"/>
  <c r="K110" i="8"/>
  <c r="O16" i="16"/>
  <c r="O13"/>
  <c r="J109" i="8"/>
  <c r="W109"/>
  <c r="O109"/>
  <c r="T109"/>
  <c r="M110"/>
  <c r="O15" i="16"/>
  <c r="Q109" i="8"/>
  <c r="P11" i="16"/>
  <c r="V10"/>
  <c r="O9"/>
  <c r="L16"/>
  <c r="X109" i="8"/>
  <c r="V14" i="16"/>
  <c r="V8"/>
  <c r="S109" i="8"/>
  <c r="H109"/>
  <c r="L8" i="16"/>
  <c r="L18"/>
  <c r="L109" i="8"/>
  <c r="I109"/>
  <c r="P109"/>
  <c r="N109"/>
  <c r="R109"/>
  <c r="E109"/>
  <c r="D109"/>
  <c r="V109"/>
  <c r="L13" i="16"/>
  <c r="L17"/>
  <c r="L15"/>
  <c r="L10"/>
  <c r="L9"/>
  <c r="L14"/>
  <c r="L19"/>
  <c r="L11"/>
  <c r="AA1" l="1"/>
  <c r="H10" i="67" s="1"/>
  <c r="P19" i="109"/>
  <c r="Q19"/>
  <c r="AV29" i="168"/>
  <c r="J52" i="121" s="1"/>
  <c r="Y20" i="16"/>
  <c r="F23" i="67" s="1"/>
  <c r="D23"/>
  <c r="AW10" i="105"/>
  <c r="AR10" s="1"/>
  <c r="M164" i="8"/>
  <c r="I17" i="88"/>
  <c r="J11" i="107"/>
  <c r="F11" s="1"/>
  <c r="E5" i="194"/>
  <c r="J8" i="88"/>
  <c r="H8" s="1"/>
  <c r="D5" i="194" s="1"/>
  <c r="AP11" i="105"/>
  <c r="K164" i="8"/>
  <c r="AL11" i="124"/>
  <c r="D11" i="67"/>
  <c r="D14"/>
  <c r="D16"/>
  <c r="D12"/>
  <c r="D17"/>
  <c r="D19"/>
  <c r="D18"/>
  <c r="D22"/>
  <c r="D163" i="8"/>
  <c r="O163"/>
  <c r="Q163"/>
  <c r="V163"/>
  <c r="R163"/>
  <c r="Y11" i="16"/>
  <c r="F14" i="67" s="1"/>
  <c r="Y10" i="16"/>
  <c r="F13" i="67" s="1"/>
  <c r="W163" i="8"/>
  <c r="S163"/>
  <c r="Y12" i="16"/>
  <c r="F15" i="67" s="1"/>
  <c r="G163" i="8"/>
  <c r="E163"/>
  <c r="E5" i="124" s="1"/>
  <c r="L163" i="8"/>
  <c r="L8" i="124" s="1"/>
  <c r="U163" i="8"/>
  <c r="Y17" i="16"/>
  <c r="F20" i="67" s="1"/>
  <c r="H163" i="8"/>
  <c r="Y14" i="16"/>
  <c r="F17" i="67" s="1"/>
  <c r="Y8" i="16"/>
  <c r="F11" i="67" s="1"/>
  <c r="F163" i="8"/>
  <c r="I163"/>
  <c r="Y15" i="16"/>
  <c r="F18" i="67" s="1"/>
  <c r="J163" i="8"/>
  <c r="J7" i="105" s="1"/>
  <c r="N163" i="8"/>
  <c r="E3" i="124" s="1"/>
  <c r="P163" i="8"/>
  <c r="Y9" i="16"/>
  <c r="F12" i="67" s="1"/>
  <c r="Y18" i="16"/>
  <c r="F21" i="67" s="1"/>
  <c r="T163" i="8"/>
  <c r="Y19" i="16"/>
  <c r="F22" i="67" s="1"/>
  <c r="Y16" i="16"/>
  <c r="F19" i="67" s="1"/>
  <c r="C163" i="8"/>
  <c r="Y13" i="16"/>
  <c r="F16" i="67" s="1"/>
  <c r="X163" i="8"/>
  <c r="BF30" i="170"/>
  <c r="BE30"/>
  <c r="D20" i="67"/>
  <c r="D21"/>
  <c r="D15"/>
  <c r="D13"/>
  <c r="AA29" i="216"/>
  <c r="P20" i="88"/>
  <c r="T19"/>
  <c r="C37" i="194" s="1"/>
  <c r="U19" i="88"/>
  <c r="D37" i="194" s="1"/>
  <c r="B37" s="1"/>
  <c r="P47" i="196"/>
  <c r="Q47"/>
  <c r="R47"/>
  <c r="L47"/>
  <c r="O47"/>
  <c r="K47"/>
  <c r="AF19" i="211"/>
  <c r="AE19"/>
  <c r="R43" i="196"/>
  <c r="Q43"/>
  <c r="O43"/>
  <c r="K43"/>
  <c r="P43"/>
  <c r="L43"/>
  <c r="K37"/>
  <c r="P37"/>
  <c r="O37"/>
  <c r="L37"/>
  <c r="Q37"/>
  <c r="R37"/>
  <c r="O49"/>
  <c r="P49"/>
  <c r="K49"/>
  <c r="L49"/>
  <c r="R49"/>
  <c r="Q49"/>
  <c r="AA26" i="216"/>
  <c r="X19" i="109"/>
  <c r="U13" i="211"/>
  <c r="U10"/>
  <c r="U16"/>
  <c r="W16"/>
  <c r="U18"/>
  <c r="W15"/>
  <c r="U15"/>
  <c r="W17"/>
  <c r="W13"/>
  <c r="U12"/>
  <c r="W10"/>
  <c r="W19"/>
  <c r="W18"/>
  <c r="U11"/>
  <c r="W9"/>
  <c r="W11"/>
  <c r="W8"/>
  <c r="U9"/>
  <c r="W12"/>
  <c r="U14"/>
  <c r="U17"/>
  <c r="W14"/>
  <c r="U19"/>
  <c r="U8"/>
  <c r="AJ19"/>
  <c r="AI19"/>
  <c r="O52" i="196"/>
  <c r="P52"/>
  <c r="L52"/>
  <c r="R52"/>
  <c r="K52"/>
  <c r="Q52"/>
  <c r="P33"/>
  <c r="Q33"/>
  <c r="O33"/>
  <c r="H8" a="1"/>
  <c r="H8" s="1"/>
  <c r="K33"/>
  <c r="L33"/>
  <c r="R33"/>
  <c r="Q50"/>
  <c r="K50"/>
  <c r="P50"/>
  <c r="O50"/>
  <c r="R50"/>
  <c r="L50"/>
  <c r="B13" i="216"/>
  <c r="B14"/>
  <c r="W30" i="109"/>
  <c r="H26"/>
  <c r="X26" s="1"/>
  <c r="G26"/>
  <c r="Z26"/>
  <c r="AA26"/>
  <c r="AK19" i="211"/>
  <c r="AL19"/>
  <c r="O51" i="196"/>
  <c r="R51"/>
  <c r="Q51"/>
  <c r="P51"/>
  <c r="K51"/>
  <c r="L51"/>
  <c r="R35"/>
  <c r="K35"/>
  <c r="O35"/>
  <c r="P35"/>
  <c r="Q35"/>
  <c r="L35"/>
  <c r="Q36"/>
  <c r="R36"/>
  <c r="K36"/>
  <c r="L36"/>
  <c r="O36"/>
  <c r="P36"/>
  <c r="O48"/>
  <c r="K48"/>
  <c r="L48"/>
  <c r="P48"/>
  <c r="Q48"/>
  <c r="R48"/>
  <c r="P38"/>
  <c r="K38"/>
  <c r="L38"/>
  <c r="R38"/>
  <c r="Q38"/>
  <c r="O38"/>
  <c r="X19" i="88"/>
  <c r="K37" i="194" s="1"/>
  <c r="Y19" i="88"/>
  <c r="L37" i="194" s="1"/>
  <c r="J37" s="1"/>
  <c r="R20" i="88"/>
  <c r="O34" i="196"/>
  <c r="Q34"/>
  <c r="K34"/>
  <c r="L34"/>
  <c r="R34"/>
  <c r="P34"/>
  <c r="O45"/>
  <c r="Q45"/>
  <c r="P45"/>
  <c r="L45"/>
  <c r="K45"/>
  <c r="R45"/>
  <c r="AH19" i="211"/>
  <c r="AG19"/>
  <c r="G29" i="109"/>
  <c r="Z29"/>
  <c r="AA29"/>
  <c r="H29"/>
  <c r="X29" s="1"/>
  <c r="Q44" i="196"/>
  <c r="L44"/>
  <c r="P44"/>
  <c r="K44"/>
  <c r="R44"/>
  <c r="O44"/>
  <c r="Q39"/>
  <c r="P39"/>
  <c r="L39"/>
  <c r="O39"/>
  <c r="K39"/>
  <c r="R39"/>
  <c r="R54"/>
  <c r="L54"/>
  <c r="Q54"/>
  <c r="P54"/>
  <c r="O54"/>
  <c r="K54"/>
  <c r="L46"/>
  <c r="Q46"/>
  <c r="O46"/>
  <c r="R46"/>
  <c r="K46"/>
  <c r="P46"/>
  <c r="O41"/>
  <c r="P41"/>
  <c r="R41"/>
  <c r="Q41"/>
  <c r="L41"/>
  <c r="K41"/>
  <c r="G27" i="109"/>
  <c r="H27"/>
  <c r="X27" s="1"/>
  <c r="Z27"/>
  <c r="AA27"/>
  <c r="O42" i="196"/>
  <c r="K42"/>
  <c r="P42"/>
  <c r="R42"/>
  <c r="L42"/>
  <c r="Q42"/>
  <c r="W19" i="109"/>
  <c r="H22" i="196"/>
  <c r="H25"/>
  <c r="Q53"/>
  <c r="P53"/>
  <c r="K53"/>
  <c r="L53"/>
  <c r="O53"/>
  <c r="R53"/>
  <c r="L40"/>
  <c r="Q40"/>
  <c r="R40"/>
  <c r="K40"/>
  <c r="P40"/>
  <c r="O40"/>
  <c r="V19" i="88"/>
  <c r="G37" i="194" s="1"/>
  <c r="W19" i="88"/>
  <c r="H37" i="194" s="1"/>
  <c r="F37" s="1"/>
  <c r="Q20" i="88"/>
  <c r="B12" i="216"/>
  <c r="AV30" i="168"/>
  <c r="J53" i="121" s="1"/>
  <c r="K53"/>
  <c r="H53"/>
  <c r="AS30" i="168"/>
  <c r="G53" i="121" s="1"/>
  <c r="K20" i="16"/>
  <c r="M109" i="8"/>
  <c r="K12" i="16"/>
  <c r="K19"/>
  <c r="K109" i="8"/>
  <c r="K17" i="16"/>
  <c r="K15"/>
  <c r="K10"/>
  <c r="K9"/>
  <c r="K16"/>
  <c r="L12"/>
  <c r="K11"/>
  <c r="K13"/>
  <c r="K18"/>
  <c r="K14"/>
  <c r="K8"/>
  <c r="N20" l="1"/>
  <c r="AJ10" i="105"/>
  <c r="J10" i="224" s="1"/>
  <c r="F10" s="1"/>
  <c r="BG10" i="105"/>
  <c r="AB10" i="107" s="1"/>
  <c r="BE10" i="105"/>
  <c r="Z10" i="107" s="1"/>
  <c r="AS10" i="105"/>
  <c r="BF10"/>
  <c r="AA10" i="107" s="1"/>
  <c r="BH10" i="105"/>
  <c r="AC10" i="107" s="1"/>
  <c r="AQ10" i="105"/>
  <c r="K163" i="8"/>
  <c r="L7" i="105"/>
  <c r="M163" i="8"/>
  <c r="E5" i="105"/>
  <c r="E4" i="124"/>
  <c r="F4" s="1"/>
  <c r="G38" i="196"/>
  <c r="E3" i="105"/>
  <c r="L27" i="216"/>
  <c r="M27" s="1"/>
  <c r="H7" i="105"/>
  <c r="E4"/>
  <c r="J8" i="124"/>
  <c r="H8"/>
  <c r="G45" i="196"/>
  <c r="N12" i="16"/>
  <c r="N19"/>
  <c r="N15"/>
  <c r="N14"/>
  <c r="N16"/>
  <c r="N8"/>
  <c r="N18"/>
  <c r="N9"/>
  <c r="N10"/>
  <c r="N13"/>
  <c r="N11"/>
  <c r="N17"/>
  <c r="G43" i="196"/>
  <c r="G41"/>
  <c r="G39"/>
  <c r="G35"/>
  <c r="G33"/>
  <c r="W26" i="109"/>
  <c r="V20" i="88"/>
  <c r="G38" i="194" s="1"/>
  <c r="Q21" i="88"/>
  <c r="W20"/>
  <c r="H38" i="194" s="1"/>
  <c r="F38" s="1"/>
  <c r="H23" i="196"/>
  <c r="H24"/>
  <c r="L30" i="216"/>
  <c r="M30" s="1"/>
  <c r="L22"/>
  <c r="M22" s="1"/>
  <c r="L21"/>
  <c r="M21" s="1"/>
  <c r="L28"/>
  <c r="M28" s="1"/>
  <c r="L19"/>
  <c r="M19" s="1"/>
  <c r="L23"/>
  <c r="M23" s="1"/>
  <c r="L24"/>
  <c r="M24" s="1"/>
  <c r="L20"/>
  <c r="M20" s="1"/>
  <c r="L25"/>
  <c r="M25" s="1"/>
  <c r="W27" i="109"/>
  <c r="G40" i="196"/>
  <c r="G54"/>
  <c r="L26" i="216"/>
  <c r="M26" s="1"/>
  <c r="G47" i="196"/>
  <c r="G42"/>
  <c r="B14" i="109"/>
  <c r="G51" i="196"/>
  <c r="L29" i="216"/>
  <c r="M29" s="1"/>
  <c r="B15"/>
  <c r="C7" i="218"/>
  <c r="B12" i="109"/>
  <c r="B13"/>
  <c r="G44" i="196"/>
  <c r="G49"/>
  <c r="Y20" i="88"/>
  <c r="L38" i="194" s="1"/>
  <c r="J38" s="1"/>
  <c r="R21" i="88"/>
  <c r="X20"/>
  <c r="K38" i="194" s="1"/>
  <c r="P21" i="88"/>
  <c r="U20"/>
  <c r="D38" i="194" s="1"/>
  <c r="B38" s="1"/>
  <c r="T20" i="88"/>
  <c r="C38" i="194" s="1"/>
  <c r="G53" i="196"/>
  <c r="G46"/>
  <c r="G48"/>
  <c r="G36"/>
  <c r="W29" i="109"/>
  <c r="G34" i="196"/>
  <c r="G50"/>
  <c r="G52"/>
  <c r="G37"/>
  <c r="AP10" i="105" l="1"/>
  <c r="J10" i="107"/>
  <c r="F10" s="1"/>
  <c r="F8" i="124"/>
  <c r="E2" i="105"/>
  <c r="F2" s="1"/>
  <c r="E2" i="124"/>
  <c r="F2" s="1"/>
  <c r="F7" i="105"/>
  <c r="F5"/>
  <c r="F5" i="124"/>
  <c r="F4" i="105"/>
  <c r="J26" i="109"/>
  <c r="K26" s="1"/>
  <c r="J29"/>
  <c r="K29" s="1"/>
  <c r="R22" i="88"/>
  <c r="Y21"/>
  <c r="L39" i="194" s="1"/>
  <c r="J39" s="1"/>
  <c r="X21" i="88"/>
  <c r="K39" i="194" s="1"/>
  <c r="J27" i="109"/>
  <c r="K27" s="1"/>
  <c r="O23" i="216"/>
  <c r="O27"/>
  <c r="J23" i="109"/>
  <c r="K23" s="1"/>
  <c r="J22"/>
  <c r="K22" s="1"/>
  <c r="J28"/>
  <c r="K28" s="1"/>
  <c r="J20"/>
  <c r="K20" s="1"/>
  <c r="J24"/>
  <c r="K24" s="1"/>
  <c r="J25"/>
  <c r="K25" s="1"/>
  <c r="J21"/>
  <c r="K21" s="1"/>
  <c r="J19"/>
  <c r="K19" s="1"/>
  <c r="J30"/>
  <c r="K30" s="1"/>
  <c r="V13" i="196"/>
  <c r="V21"/>
  <c r="W21" s="1"/>
  <c r="V11"/>
  <c r="W11" s="1"/>
  <c r="V28"/>
  <c r="V10"/>
  <c r="V19"/>
  <c r="V27"/>
  <c r="W27" s="1"/>
  <c r="V25"/>
  <c r="V24"/>
  <c r="W24" s="1"/>
  <c r="V14"/>
  <c r="W14" s="1"/>
  <c r="V26"/>
  <c r="W26" s="1"/>
  <c r="V23"/>
  <c r="W23" s="1"/>
  <c r="V12"/>
  <c r="W12" s="1"/>
  <c r="V20"/>
  <c r="W20" s="1"/>
  <c r="V15"/>
  <c r="W15" s="1"/>
  <c r="V18"/>
  <c r="W18" s="1"/>
  <c r="V9"/>
  <c r="W9" s="1"/>
  <c r="V16"/>
  <c r="V17"/>
  <c r="W17" s="1"/>
  <c r="V29"/>
  <c r="W29" s="1"/>
  <c r="V22"/>
  <c r="P23" i="216"/>
  <c r="P27"/>
  <c r="Q22" i="88"/>
  <c r="V21"/>
  <c r="G39" i="194" s="1"/>
  <c r="W21" i="88"/>
  <c r="H39" i="194" s="1"/>
  <c r="F39" s="1"/>
  <c r="P22" i="88"/>
  <c r="U21"/>
  <c r="D39" i="194" s="1"/>
  <c r="B39" s="1"/>
  <c r="T21" i="88"/>
  <c r="C39" i="194" s="1"/>
  <c r="C7" i="110"/>
  <c r="B15" i="109"/>
  <c r="F3" i="105" l="1"/>
  <c r="F3" i="124"/>
  <c r="X16" i="196"/>
  <c r="W16"/>
  <c r="Z14"/>
  <c r="Y14"/>
  <c r="Y21"/>
  <c r="Z21"/>
  <c r="X22" i="88"/>
  <c r="K40" i="194" s="1"/>
  <c r="Y22" i="88"/>
  <c r="L40" i="194" s="1"/>
  <c r="J40" s="1"/>
  <c r="R23" i="88"/>
  <c r="U22"/>
  <c r="D40" i="194" s="1"/>
  <c r="B40" s="1"/>
  <c r="P23" i="88"/>
  <c r="T22"/>
  <c r="C40" i="194" s="1"/>
  <c r="Y17" i="196"/>
  <c r="Z17"/>
  <c r="Z26"/>
  <c r="Y26"/>
  <c r="Z11"/>
  <c r="Y11"/>
  <c r="Y29"/>
  <c r="Z29"/>
  <c r="Z23"/>
  <c r="Y23"/>
  <c r="X28"/>
  <c r="W28"/>
  <c r="X22"/>
  <c r="W22"/>
  <c r="X10"/>
  <c r="W10"/>
  <c r="R23" i="216"/>
  <c r="Q23"/>
  <c r="T23" s="1"/>
  <c r="S23"/>
  <c r="X19" i="196"/>
  <c r="W19"/>
  <c r="N27" i="109"/>
  <c r="N23"/>
  <c r="Z27" i="196"/>
  <c r="Y27"/>
  <c r="M23" i="109"/>
  <c r="M27"/>
  <c r="Z12" i="196"/>
  <c r="Y12"/>
  <c r="Y20"/>
  <c r="Z20"/>
  <c r="R27" i="216"/>
  <c r="S27"/>
  <c r="Q27"/>
  <c r="T27" s="1"/>
  <c r="Y15" i="196"/>
  <c r="Z15"/>
  <c r="V22" i="88"/>
  <c r="G40" i="194" s="1"/>
  <c r="Q23" i="88"/>
  <c r="W22"/>
  <c r="H40" i="194" s="1"/>
  <c r="F40" s="1"/>
  <c r="Y18" i="196"/>
  <c r="Z18"/>
  <c r="X25"/>
  <c r="W25"/>
  <c r="Z9"/>
  <c r="Y9"/>
  <c r="Y24"/>
  <c r="Z24"/>
  <c r="X13"/>
  <c r="W13"/>
  <c r="Y10" l="1"/>
  <c r="Z10"/>
  <c r="Y13"/>
  <c r="Z13"/>
  <c r="Y25"/>
  <c r="Z25"/>
  <c r="Y28"/>
  <c r="Z28"/>
  <c r="Y19"/>
  <c r="Z19"/>
  <c r="Y23" i="88"/>
  <c r="L41" i="194" s="1"/>
  <c r="J41" s="1"/>
  <c r="R24" i="88"/>
  <c r="X23"/>
  <c r="K41" i="194" s="1"/>
  <c r="V23" i="88"/>
  <c r="G41" i="194" s="1"/>
  <c r="W23" i="88"/>
  <c r="H41" i="194" s="1"/>
  <c r="F41" s="1"/>
  <c r="Q24" i="88"/>
  <c r="O27" i="109"/>
  <c r="Q27"/>
  <c r="P27"/>
  <c r="Z22" i="196"/>
  <c r="Y22"/>
  <c r="Y16"/>
  <c r="Z16"/>
  <c r="O23" i="109"/>
  <c r="Q23"/>
  <c r="P23"/>
  <c r="U23" i="88"/>
  <c r="D41" i="194" s="1"/>
  <c r="B41" s="1"/>
  <c r="T23" i="88"/>
  <c r="C41" i="194" s="1"/>
  <c r="P24" i="88"/>
  <c r="Y24" l="1"/>
  <c r="L42" i="194" s="1"/>
  <c r="J42" s="1"/>
  <c r="X24" i="88"/>
  <c r="K42" i="194" s="1"/>
  <c r="R25" i="88"/>
  <c r="Q25"/>
  <c r="W24"/>
  <c r="H42" i="194" s="1"/>
  <c r="F42" s="1"/>
  <c r="V24" i="88"/>
  <c r="G42" i="194" s="1"/>
  <c r="P25" i="88"/>
  <c r="T24"/>
  <c r="C42" i="194" s="1"/>
  <c r="U24" i="88"/>
  <c r="D42" i="194" s="1"/>
  <c r="B42" s="1"/>
  <c r="W25" i="88" l="1"/>
  <c r="H43" i="194" s="1"/>
  <c r="F43" s="1"/>
  <c r="V25" i="88"/>
  <c r="G43" i="194" s="1"/>
  <c r="Q26" i="88"/>
  <c r="U25"/>
  <c r="D43" i="194" s="1"/>
  <c r="B43" s="1"/>
  <c r="T25" i="88"/>
  <c r="C43" i="194" s="1"/>
  <c r="P26" i="88"/>
  <c r="Y25"/>
  <c r="L43" i="194" s="1"/>
  <c r="J43" s="1"/>
  <c r="X25" i="88"/>
  <c r="K43" i="194" s="1"/>
  <c r="R26" i="88"/>
  <c r="U26" l="1"/>
  <c r="D44" i="194" s="1"/>
  <c r="B44" s="1"/>
  <c r="T26" i="88"/>
  <c r="C44" i="194" s="1"/>
  <c r="P27" i="88"/>
  <c r="R27"/>
  <c r="Y26"/>
  <c r="L44" i="194" s="1"/>
  <c r="J44" s="1"/>
  <c r="X26" i="88"/>
  <c r="K44" i="194" s="1"/>
  <c r="Q27" i="88"/>
  <c r="W26"/>
  <c r="H44" i="194" s="1"/>
  <c r="F44" s="1"/>
  <c r="V26" i="88"/>
  <c r="G44" i="194" s="1"/>
  <c r="Y27" i="88" l="1"/>
  <c r="L45" i="194" s="1"/>
  <c r="J45" s="1"/>
  <c r="X27" i="88"/>
  <c r="K45" i="194" s="1"/>
  <c r="R28" i="88"/>
  <c r="V27"/>
  <c r="G45" i="194" s="1"/>
  <c r="W27" i="88"/>
  <c r="H45" i="194" s="1"/>
  <c r="F45" s="1"/>
  <c r="Q28" i="88"/>
  <c r="P28"/>
  <c r="T27"/>
  <c r="C45" i="194" s="1"/>
  <c r="U27" i="88"/>
  <c r="D45" i="194" s="1"/>
  <c r="B45" s="1"/>
  <c r="W28" i="88" l="1"/>
  <c r="H46" i="194" s="1"/>
  <c r="F46" s="1"/>
  <c r="V28" i="88"/>
  <c r="G46" i="194" s="1"/>
  <c r="Q29" i="88"/>
  <c r="T28"/>
  <c r="C46" i="194" s="1"/>
  <c r="U28" i="88"/>
  <c r="D46" i="194" s="1"/>
  <c r="B46" s="1"/>
  <c r="P29" i="88"/>
  <c r="R29"/>
  <c r="Y28"/>
  <c r="L46" i="194" s="1"/>
  <c r="J46" s="1"/>
  <c r="X28" i="88"/>
  <c r="K46" i="194" s="1"/>
  <c r="U29" i="88" l="1"/>
  <c r="D47" i="194" s="1"/>
  <c r="B47" s="1"/>
  <c r="T29" i="88"/>
  <c r="C47" i="194" s="1"/>
  <c r="P30" i="88"/>
  <c r="X29"/>
  <c r="K47" i="194" s="1"/>
  <c r="Y29" i="88"/>
  <c r="L47" i="194" s="1"/>
  <c r="J47" s="1"/>
  <c r="R30" i="88"/>
  <c r="V29"/>
  <c r="G47" i="194" s="1"/>
  <c r="Q30" i="88"/>
  <c r="W29"/>
  <c r="H47" i="194" s="1"/>
  <c r="F47" s="1"/>
  <c r="X30" i="88" l="1"/>
  <c r="K48" i="194" s="1"/>
  <c r="Y30" i="88"/>
  <c r="L48" i="194" s="1"/>
  <c r="J48" s="1"/>
  <c r="R31" i="88"/>
  <c r="T30"/>
  <c r="C48" i="194" s="1"/>
  <c r="U30" i="88"/>
  <c r="D48" i="194" s="1"/>
  <c r="B48" s="1"/>
  <c r="P31" i="88"/>
  <c r="W30"/>
  <c r="H48" i="194" s="1"/>
  <c r="F48" s="1"/>
  <c r="Q31" i="88"/>
  <c r="V30"/>
  <c r="G48" i="194" s="1"/>
  <c r="T31" i="88" l="1"/>
  <c r="C49" i="194" s="1"/>
  <c r="P32" i="88"/>
  <c r="U31"/>
  <c r="D49" i="194" s="1"/>
  <c r="B49" s="1"/>
  <c r="W31" i="88"/>
  <c r="H49" i="194" s="1"/>
  <c r="F49" s="1"/>
  <c r="V31" i="88"/>
  <c r="G49" i="194" s="1"/>
  <c r="Q32" i="88"/>
  <c r="Y31"/>
  <c r="L49" i="194" s="1"/>
  <c r="J49" s="1"/>
  <c r="R32" i="88"/>
  <c r="X31"/>
  <c r="K49" i="194" s="1"/>
  <c r="V32" i="88" l="1"/>
  <c r="G50" i="194" s="1"/>
  <c r="W32" i="88"/>
  <c r="H50" i="194" s="1"/>
  <c r="F50" s="1"/>
  <c r="Q33" i="88"/>
  <c r="X32"/>
  <c r="K50" i="194" s="1"/>
  <c r="Y32" i="88"/>
  <c r="L50" i="194" s="1"/>
  <c r="J50" s="1"/>
  <c r="R33" i="88"/>
  <c r="P33"/>
  <c r="U32"/>
  <c r="D50" i="194" s="1"/>
  <c r="B50" s="1"/>
  <c r="T32" i="88"/>
  <c r="C50" i="194" s="1"/>
  <c r="Y33" i="88" l="1"/>
  <c r="L51" i="194" s="1"/>
  <c r="J51" s="1"/>
  <c r="X33" i="88"/>
  <c r="K51" i="194" s="1"/>
  <c r="R34" i="88"/>
  <c r="T33"/>
  <c r="C51" i="194" s="1"/>
  <c r="P34" i="88"/>
  <c r="U33"/>
  <c r="D51" i="194" s="1"/>
  <c r="B51" s="1"/>
  <c r="Q34" i="88"/>
  <c r="W33"/>
  <c r="H51" i="194" s="1"/>
  <c r="F51" s="1"/>
  <c r="V33" i="88"/>
  <c r="G51" i="194" s="1"/>
  <c r="P35" i="88" l="1"/>
  <c r="T34"/>
  <c r="C52" i="194" s="1"/>
  <c r="U34" i="88"/>
  <c r="D52" i="194" s="1"/>
  <c r="B52" s="1"/>
  <c r="V34" i="88"/>
  <c r="G52" i="194" s="1"/>
  <c r="W34" i="88"/>
  <c r="H52" i="194" s="1"/>
  <c r="F52" s="1"/>
  <c r="Q35" i="88"/>
  <c r="Y34"/>
  <c r="L52" i="194" s="1"/>
  <c r="J52" s="1"/>
  <c r="X34" i="88"/>
  <c r="K52" i="194" s="1"/>
  <c r="R35" i="88"/>
  <c r="Q36" l="1"/>
  <c r="W35"/>
  <c r="V35"/>
  <c r="Y35"/>
  <c r="X35"/>
  <c r="R36"/>
  <c r="T35"/>
  <c r="P36"/>
  <c r="U35"/>
  <c r="R37" l="1"/>
  <c r="X36"/>
  <c r="Y36"/>
  <c r="P37"/>
  <c r="T36"/>
  <c r="U36"/>
  <c r="V36"/>
  <c r="Q37"/>
  <c r="W36"/>
  <c r="P38" l="1"/>
  <c r="U37"/>
  <c r="T37"/>
  <c r="W37"/>
  <c r="Q38"/>
  <c r="V37"/>
  <c r="Y37"/>
  <c r="X37"/>
  <c r="R38"/>
  <c r="W38" l="1"/>
  <c r="V38"/>
  <c r="Q39"/>
  <c r="X38"/>
  <c r="R39"/>
  <c r="Y38"/>
  <c r="T38"/>
  <c r="P39"/>
  <c r="U38"/>
  <c r="Y39" l="1"/>
  <c r="X39"/>
  <c r="R40"/>
  <c r="U39"/>
  <c r="T39"/>
  <c r="P40"/>
  <c r="V39"/>
  <c r="Q40"/>
  <c r="W39"/>
  <c r="T40" l="1"/>
  <c r="U40"/>
  <c r="P41"/>
  <c r="Q41"/>
  <c r="V40"/>
  <c r="W40"/>
  <c r="X40"/>
  <c r="R41"/>
  <c r="Y40"/>
  <c r="V41" l="1"/>
  <c r="Q42"/>
  <c r="W41"/>
  <c r="Y41"/>
  <c r="R42"/>
  <c r="X41"/>
  <c r="P42"/>
  <c r="U41"/>
  <c r="T41"/>
  <c r="R43" l="1"/>
  <c r="Y42"/>
  <c r="X42"/>
  <c r="T42"/>
  <c r="P43"/>
  <c r="U42"/>
  <c r="W42"/>
  <c r="V42"/>
  <c r="Q43"/>
  <c r="U43" l="1"/>
  <c r="T43"/>
  <c r="P44"/>
  <c r="V43"/>
  <c r="W43"/>
  <c r="Q44"/>
  <c r="R44"/>
  <c r="Y43"/>
  <c r="X43"/>
  <c r="Q45" l="1"/>
  <c r="W44"/>
  <c r="V44"/>
  <c r="R45"/>
  <c r="X44"/>
  <c r="Y44"/>
  <c r="T44"/>
  <c r="U44"/>
  <c r="P45"/>
  <c r="Y45" l="1"/>
  <c r="R46"/>
  <c r="X45"/>
  <c r="U45"/>
  <c r="P46"/>
  <c r="T45"/>
  <c r="V45"/>
  <c r="W45"/>
  <c r="Q46"/>
  <c r="T46" l="1"/>
  <c r="U46"/>
  <c r="P47"/>
  <c r="V46"/>
  <c r="Q47"/>
  <c r="W46"/>
  <c r="X46"/>
  <c r="Y46"/>
  <c r="R47"/>
  <c r="V47" l="1"/>
  <c r="Q48"/>
  <c r="W47"/>
  <c r="Y47"/>
  <c r="X47"/>
  <c r="R48"/>
  <c r="P48"/>
  <c r="T47"/>
  <c r="U47"/>
  <c r="Y48" l="1"/>
  <c r="R49"/>
  <c r="X48"/>
  <c r="P49"/>
  <c r="T48"/>
  <c r="U48"/>
  <c r="V48"/>
  <c r="Q49"/>
  <c r="W48"/>
  <c r="P50" l="1"/>
  <c r="T49"/>
  <c r="U49"/>
  <c r="V49"/>
  <c r="Q50"/>
  <c r="W49"/>
  <c r="Y49"/>
  <c r="R50"/>
  <c r="X49"/>
  <c r="V50" l="1"/>
  <c r="W50"/>
  <c r="Q51"/>
  <c r="R51"/>
  <c r="X50"/>
  <c r="Y50"/>
  <c r="P51"/>
  <c r="T50"/>
  <c r="U50"/>
  <c r="R52" l="1"/>
  <c r="X51"/>
  <c r="Y51"/>
  <c r="P52"/>
  <c r="T51"/>
  <c r="U51"/>
  <c r="V51"/>
  <c r="W51"/>
  <c r="Q52"/>
  <c r="T52" l="1"/>
  <c r="P53"/>
  <c r="U52"/>
  <c r="W52"/>
  <c r="V52"/>
  <c r="Q53"/>
  <c r="Y52"/>
  <c r="X52"/>
  <c r="R53"/>
  <c r="V53" l="1"/>
  <c r="W53"/>
  <c r="Q54"/>
  <c r="Y53"/>
  <c r="X53"/>
  <c r="R54"/>
  <c r="U53"/>
  <c r="T53"/>
  <c r="P54"/>
  <c r="R55" l="1"/>
  <c r="Y54"/>
  <c r="X54"/>
  <c r="U54"/>
  <c r="T54"/>
  <c r="P55"/>
  <c r="V54"/>
  <c r="W54"/>
  <c r="Q55"/>
  <c r="P56" l="1"/>
  <c r="T55"/>
  <c r="U55"/>
  <c r="Q56"/>
  <c r="V55"/>
  <c r="W55"/>
  <c r="R56"/>
  <c r="X55"/>
  <c r="Y55"/>
  <c r="W56" l="1"/>
  <c r="V56"/>
  <c r="Q57"/>
  <c r="X56"/>
  <c r="Y56"/>
  <c r="R57"/>
  <c r="P57"/>
  <c r="U56"/>
  <c r="T56"/>
  <c r="Y57" l="1"/>
  <c r="X57"/>
  <c r="R58"/>
  <c r="P58"/>
  <c r="T57"/>
  <c r="U57"/>
  <c r="V57"/>
  <c r="W57"/>
  <c r="Q58"/>
  <c r="P59" l="1"/>
  <c r="T58"/>
  <c r="U58"/>
  <c r="W58"/>
  <c r="Q59"/>
  <c r="V58"/>
  <c r="Y58"/>
  <c r="X58"/>
  <c r="R59"/>
  <c r="V59" l="1"/>
  <c r="Q60"/>
  <c r="W59"/>
  <c r="R60"/>
  <c r="X59"/>
  <c r="Y59"/>
  <c r="P60"/>
  <c r="U59"/>
  <c r="T59"/>
  <c r="X60" l="1"/>
  <c r="Y60"/>
  <c r="R61"/>
  <c r="U60"/>
  <c r="P61"/>
  <c r="T60"/>
  <c r="V60"/>
  <c r="Q61"/>
  <c r="W60"/>
  <c r="U61" l="1"/>
  <c r="P62"/>
  <c r="T61"/>
  <c r="Q62"/>
  <c r="W61"/>
  <c r="V61"/>
  <c r="X61"/>
  <c r="R62"/>
  <c r="Y61"/>
  <c r="W62" l="1"/>
  <c r="V62"/>
  <c r="Q63"/>
  <c r="Y62"/>
  <c r="X62"/>
  <c r="R63"/>
  <c r="U62"/>
  <c r="T62"/>
  <c r="P63"/>
  <c r="X63" l="1"/>
  <c r="R64"/>
  <c r="Y63"/>
  <c r="P64"/>
  <c r="U63"/>
  <c r="T63"/>
  <c r="W63"/>
  <c r="Q64"/>
  <c r="V63"/>
  <c r="W64" l="1"/>
  <c r="V64"/>
  <c r="Q65"/>
  <c r="X64"/>
  <c r="Y64"/>
  <c r="R65"/>
  <c r="P65"/>
  <c r="T64"/>
  <c r="U64"/>
  <c r="V65" l="1"/>
  <c r="W65"/>
  <c r="Q66"/>
  <c r="Y65"/>
  <c r="X65"/>
  <c r="R66"/>
  <c r="P66"/>
  <c r="T65"/>
  <c r="U65"/>
  <c r="Y66" l="1"/>
  <c r="X66"/>
  <c r="R67"/>
  <c r="R9" s="1"/>
  <c r="U66"/>
  <c r="P67"/>
  <c r="T66"/>
  <c r="W66"/>
  <c r="Q67"/>
  <c r="V66"/>
  <c r="U67" l="1"/>
  <c r="T67"/>
  <c r="P9"/>
  <c r="W67"/>
  <c r="V67"/>
  <c r="Q9"/>
  <c r="Y67"/>
  <c r="X67"/>
</calcChain>
</file>

<file path=xl/sharedStrings.xml><?xml version="1.0" encoding="utf-8"?>
<sst xmlns="http://schemas.openxmlformats.org/spreadsheetml/2006/main" count="4426" uniqueCount="2765">
  <si>
    <t>Score Display</t>
  </si>
  <si>
    <t>Y</t>
  </si>
  <si>
    <t>X</t>
  </si>
  <si>
    <t>EIU Calculation</t>
  </si>
  <si>
    <t>SHOW_DATA</t>
  </si>
  <si>
    <t>PARENT_CODE</t>
  </si>
  <si>
    <t>DEPTH</t>
  </si>
  <si>
    <t>REF</t>
  </si>
  <si>
    <t>IS_BG</t>
  </si>
  <si>
    <t>HIGH_IS</t>
  </si>
  <si>
    <t>REF_INDI</t>
  </si>
  <si>
    <t>OVERALL SCORE</t>
  </si>
  <si>
    <t>INDICATOR_UNIT</t>
  </si>
  <si>
    <t>MAIN_DP</t>
  </si>
  <si>
    <t>Indicator Ranking</t>
  </si>
  <si>
    <t>Display_Status</t>
  </si>
  <si>
    <t>&lt;none&gt;</t>
  </si>
  <si>
    <t>Groups</t>
  </si>
  <si>
    <t>GROUP_HIGHLIGHT_ID</t>
  </si>
  <si>
    <t>GROUP_FILTER_ID</t>
  </si>
  <si>
    <t>GROUP_HIGHLIGHT_DD</t>
  </si>
  <si>
    <t>Name</t>
  </si>
  <si>
    <t>Weight Profile Names</t>
  </si>
  <si>
    <t>Code</t>
  </si>
  <si>
    <t>Row</t>
  </si>
  <si>
    <t>Level</t>
  </si>
  <si>
    <t>Indicator/Category Name</t>
  </si>
  <si>
    <t>CATEGORIES + INDICATORS (SCORING ONES ONLY)</t>
  </si>
  <si>
    <t>SELECT WEIGHT PROFILE</t>
  </si>
  <si>
    <t>MAIN CATEGORIES</t>
  </si>
  <si>
    <t>Weight %</t>
  </si>
  <si>
    <t>WEIGHT_PROFILE_ID</t>
  </si>
  <si>
    <t>ALL UNFILTERED DATA POINTS</t>
  </si>
  <si>
    <t>DisplayName</t>
  </si>
  <si>
    <t>CATEGORIES</t>
  </si>
  <si>
    <t>MIN</t>
  </si>
  <si>
    <t>MAX</t>
  </si>
  <si>
    <t>RANGE</t>
  </si>
  <si>
    <t>Weight</t>
  </si>
  <si>
    <t>Status</t>
  </si>
  <si>
    <t>IsRegion</t>
  </si>
  <si>
    <t>ActiveStatus</t>
  </si>
  <si>
    <t>Score</t>
  </si>
  <si>
    <t>Score (unrounded)</t>
  </si>
  <si>
    <t>Rank unrounded</t>
  </si>
  <si>
    <t>LU</t>
  </si>
  <si>
    <t>RankRounded</t>
  </si>
  <si>
    <t>INDI_IS_NATIONAL</t>
  </si>
  <si>
    <t>Rank</t>
  </si>
  <si>
    <t>Score / 100</t>
  </si>
  <si>
    <t>TERRITORY_COUNT</t>
  </si>
  <si>
    <t>ID</t>
  </si>
  <si>
    <t>Spare#3</t>
  </si>
  <si>
    <t>Spare#4</t>
  </si>
  <si>
    <t>Spare#7</t>
  </si>
  <si>
    <t>Spare#8</t>
  </si>
  <si>
    <t>City</t>
  </si>
  <si>
    <t>CityID</t>
  </si>
  <si>
    <t>DISTRIBUTION</t>
  </si>
  <si>
    <t>yScatter</t>
  </si>
  <si>
    <t>plus none</t>
  </si>
  <si>
    <t>ignore none</t>
  </si>
  <si>
    <t>NDICATOR_SHORT</t>
  </si>
  <si>
    <t>Unit</t>
  </si>
  <si>
    <t>Data</t>
  </si>
  <si>
    <t>CoreRegionID</t>
  </si>
  <si>
    <t>Rank Equality</t>
  </si>
  <si>
    <t>Average</t>
  </si>
  <si>
    <t>Rank equal</t>
  </si>
  <si>
    <t>Band</t>
  </si>
  <si>
    <t>Highest</t>
  </si>
  <si>
    <t>Lowest</t>
  </si>
  <si>
    <t>Not Applicable</t>
  </si>
  <si>
    <t>Tier No.</t>
  </si>
  <si>
    <t>All tiers</t>
  </si>
  <si>
    <t>All Tiers</t>
  </si>
  <si>
    <t>Highlight outline</t>
  </si>
  <si>
    <t>Shape outline</t>
  </si>
  <si>
    <t>N/A Fill</t>
  </si>
  <si>
    <t>x</t>
  </si>
  <si>
    <t>RegionCode</t>
  </si>
  <si>
    <t>MAPCODE</t>
  </si>
  <si>
    <t>MAP</t>
  </si>
  <si>
    <t>SERIES_LEVEL</t>
  </si>
  <si>
    <t>Fifths</t>
  </si>
  <si>
    <t>Overall Score</t>
  </si>
  <si>
    <t>Rank`</t>
  </si>
  <si>
    <t>units</t>
  </si>
  <si>
    <t>Star</t>
  </si>
  <si>
    <t>Indicator</t>
  </si>
  <si>
    <t>ISO</t>
  </si>
  <si>
    <t>ISO/MAP</t>
  </si>
  <si>
    <t>All</t>
  </si>
  <si>
    <t>Format</t>
  </si>
  <si>
    <t>0.0</t>
  </si>
  <si>
    <t>RANK</t>
  </si>
  <si>
    <t>Total</t>
  </si>
  <si>
    <t>Select indicator range</t>
  </si>
  <si>
    <t>rank</t>
  </si>
  <si>
    <t>Label</t>
  </si>
  <si>
    <t>Target</t>
  </si>
  <si>
    <t>Min Outlier</t>
  </si>
  <si>
    <t>Max Outlier</t>
  </si>
  <si>
    <t>Include?</t>
  </si>
  <si>
    <t>Diff</t>
  </si>
  <si>
    <t>STATUS</t>
  </si>
  <si>
    <t>Highlighted</t>
  </si>
  <si>
    <t>Base (unhighlighted)</t>
  </si>
  <si>
    <t>Labels</t>
  </si>
  <si>
    <t>Anticipated</t>
  </si>
  <si>
    <t>Don't allow blanks or errors</t>
  </si>
  <si>
    <t>Allowable?</t>
  </si>
  <si>
    <t>Raw data</t>
  </si>
  <si>
    <t>ERROR CORREL</t>
  </si>
  <si>
    <t>CORREL</t>
  </si>
  <si>
    <t>INTERCEPT</t>
  </si>
  <si>
    <t>SLOPE</t>
  </si>
  <si>
    <t>Y-LABEL</t>
  </si>
  <si>
    <t>X-LABEL</t>
  </si>
  <si>
    <t>TITLE</t>
  </si>
  <si>
    <t>SHOW_OUTLIERS</t>
  </si>
  <si>
    <t>SHOW_LABELS</t>
  </si>
  <si>
    <t>INDI_Y</t>
  </si>
  <si>
    <t>INDI_X</t>
  </si>
  <si>
    <t>SCATTER</t>
  </si>
  <si>
    <t>INDI_1</t>
  </si>
  <si>
    <t>INDI_2</t>
  </si>
  <si>
    <t>CORRELATION(X,Y)</t>
  </si>
  <si>
    <t>Spare#9</t>
  </si>
  <si>
    <t>Lower Band (scores &lt;=33)</t>
  </si>
  <si>
    <t>CITY_HIGHLIGHT_DD</t>
  </si>
  <si>
    <t>CITY_HIGHLIGHT_ID</t>
  </si>
  <si>
    <t>CITY1_ID</t>
  </si>
  <si>
    <t>CITY2_ID</t>
  </si>
  <si>
    <t>CITY3_ID</t>
  </si>
  <si>
    <t>Normalised scores 0-100, where 100 = most favourable conditions</t>
  </si>
  <si>
    <t>Source</t>
  </si>
  <si>
    <t>Modest Band (scores 34-65)</t>
  </si>
  <si>
    <t>“=” denotes tied score</t>
  </si>
  <si>
    <t>if Changed from Neutral</t>
  </si>
  <si>
    <t>CHANGE_IN_WEIGHT</t>
  </si>
  <si>
    <t>Parentcity</t>
  </si>
  <si>
    <t>City 2</t>
  </si>
  <si>
    <t>City 1</t>
  </si>
  <si>
    <t>City_HIGHLIGHT_ID</t>
  </si>
  <si>
    <t>CityHighlight</t>
  </si>
  <si>
    <t>City_ID</t>
  </si>
  <si>
    <t>City Code</t>
  </si>
  <si>
    <t>City Number</t>
  </si>
  <si>
    <t>City PROFILE</t>
  </si>
  <si>
    <t>City Compare Spider</t>
  </si>
  <si>
    <t>ParentCity</t>
  </si>
  <si>
    <t>CITY_COUNT</t>
  </si>
  <si>
    <t>US_CITY_COMPARE</t>
  </si>
  <si>
    <t>Int_City_Compare_01</t>
  </si>
  <si>
    <t>Int_City_Comp_Indi</t>
  </si>
  <si>
    <t>HIGH=Good</t>
  </si>
  <si>
    <t>Weight_row</t>
  </si>
  <si>
    <t>Weight_nom</t>
  </si>
  <si>
    <t>Weight-%</t>
  </si>
  <si>
    <t xml:space="preserve"> </t>
  </si>
  <si>
    <t>Main Set</t>
  </si>
  <si>
    <t>CITY_NAMES</t>
  </si>
  <si>
    <t>COUNTRY_NAMES</t>
  </si>
  <si>
    <t>DISPLAY_STYLE</t>
  </si>
  <si>
    <t>CNT_MAP_HIGHLIGHT</t>
  </si>
  <si>
    <t>For Spider Chart</t>
  </si>
  <si>
    <t>NUMBER_OF_INDICATORS</t>
  </si>
  <si>
    <t>Index Number</t>
  </si>
  <si>
    <t>IN/OUT</t>
  </si>
  <si>
    <t>IN/OUT Group</t>
  </si>
  <si>
    <t>Argentina</t>
  </si>
  <si>
    <t>India</t>
  </si>
  <si>
    <t>Indonesia</t>
  </si>
  <si>
    <t>Mexico</t>
  </si>
  <si>
    <t>Brazil</t>
  </si>
  <si>
    <t>Australia</t>
  </si>
  <si>
    <t>Israel</t>
  </si>
  <si>
    <t>Zoom</t>
  </si>
  <si>
    <t>Full screen</t>
  </si>
  <si>
    <t>Select a zoom level appropriate for your display.</t>
  </si>
  <si>
    <t>To maximise the viewing area, click for Full-Screen mode.</t>
  </si>
  <si>
    <t>Press Escape to return to normal display mode.</t>
  </si>
  <si>
    <t>ZOOM</t>
  </si>
  <si>
    <t>Region</t>
  </si>
  <si>
    <t>China</t>
  </si>
  <si>
    <t>Score Visualisation</t>
  </si>
  <si>
    <t>Units</t>
  </si>
  <si>
    <t>Indicators</t>
  </si>
  <si>
    <t>Rounding</t>
  </si>
  <si>
    <t>OVERALL</t>
  </si>
  <si>
    <t>YEAR</t>
  </si>
  <si>
    <t>If NORM = 3 Set Min</t>
  </si>
  <si>
    <t>If NORM = 3 Set Max</t>
  </si>
  <si>
    <t>Netherlands</t>
  </si>
  <si>
    <t>Bangladesh</t>
  </si>
  <si>
    <t>Cuba</t>
  </si>
  <si>
    <t>Kenya</t>
  </si>
  <si>
    <t>percentiles</t>
  </si>
  <si>
    <t>equal buckets</t>
  </si>
  <si>
    <t>Rank_Order</t>
  </si>
  <si>
    <t>Country Highlight</t>
  </si>
  <si>
    <t>Country Filter</t>
  </si>
  <si>
    <t>Map Display</t>
  </si>
  <si>
    <t>Buckets</t>
  </si>
  <si>
    <t>B1</t>
  </si>
  <si>
    <t>B1a</t>
  </si>
  <si>
    <t>B2</t>
  </si>
  <si>
    <t>B2a</t>
  </si>
  <si>
    <t>B3</t>
  </si>
  <si>
    <t>B3a</t>
  </si>
  <si>
    <t>B4</t>
  </si>
  <si>
    <t>B4a</t>
  </si>
  <si>
    <t>INDI_ID_MAP</t>
  </si>
  <si>
    <t>DO NOT DELETE</t>
  </si>
  <si>
    <t>SET 0 = Indi, 1 = Sub-indi</t>
  </si>
  <si>
    <t>Higher Band (scores &gt;=66)</t>
  </si>
  <si>
    <t>IND_SUB_INDI</t>
  </si>
  <si>
    <t>Income</t>
  </si>
  <si>
    <t>combined</t>
  </si>
  <si>
    <t>Region Filter</t>
  </si>
  <si>
    <t>NONE</t>
  </si>
  <si>
    <t>RegionFilter</t>
  </si>
  <si>
    <t>RegionHighlight</t>
  </si>
  <si>
    <t>GROUP_FILTER_ID1</t>
  </si>
  <si>
    <t>Group_Filter_2</t>
  </si>
  <si>
    <t>Highlight</t>
  </si>
  <si>
    <t>Income Filter</t>
  </si>
  <si>
    <t>Intersect</t>
  </si>
  <si>
    <t>Unsorted</t>
  </si>
  <si>
    <t>Sorted</t>
  </si>
  <si>
    <t>REGIONS</t>
  </si>
  <si>
    <t>INCOME LEVELS</t>
  </si>
  <si>
    <t>GROUP_HIGHLIGHT_DD_PLUS_NONE</t>
  </si>
  <si>
    <t>REGION COUNT</t>
  </si>
  <si>
    <t>Is In Region n</t>
  </si>
  <si>
    <t xml:space="preserve">Is ion income level </t>
  </si>
  <si>
    <t>Regions</t>
  </si>
  <si>
    <t>Income_Highlight</t>
  </si>
  <si>
    <t>MODE</t>
  </si>
  <si>
    <t>NUMBER_OF_INDICATORS+SUBS</t>
  </si>
  <si>
    <t>Indi_ID</t>
  </si>
  <si>
    <t>%</t>
  </si>
  <si>
    <t>BG_DATA</t>
  </si>
  <si>
    <t>WEIGHT_COMP</t>
  </si>
  <si>
    <t>Weight_Compare</t>
  </si>
  <si>
    <t>Order</t>
  </si>
  <si>
    <t>WEIGHT_ID_2</t>
  </si>
  <si>
    <t>Selected zoom will be applied to all worksheets except this one.</t>
  </si>
  <si>
    <t>Good</t>
  </si>
  <si>
    <t>SOURCE</t>
  </si>
  <si>
    <t>Spare#2</t>
  </si>
  <si>
    <t>INDI_ID</t>
  </si>
  <si>
    <t>Compound description</t>
  </si>
  <si>
    <t>All Country Average</t>
  </si>
  <si>
    <t>Average All</t>
  </si>
  <si>
    <t>Home</t>
  </si>
  <si>
    <t>SheetNames</t>
  </si>
  <si>
    <t>uxb_works</t>
  </si>
  <si>
    <t>tblIndicators</t>
  </si>
  <si>
    <t>tblIndiSets</t>
  </si>
  <si>
    <t>tblCategories</t>
  </si>
  <si>
    <t>tblTerritories</t>
  </si>
  <si>
    <t>iSummary</t>
  </si>
  <si>
    <t>uxb_regions</t>
  </si>
  <si>
    <t>uxb_mapdata</t>
  </si>
  <si>
    <t>iMap_Graph</t>
  </si>
  <si>
    <t>iMap_Rank</t>
  </si>
  <si>
    <t>iScatter</t>
  </si>
  <si>
    <t>Scatter</t>
  </si>
  <si>
    <t>iCountryP</t>
  </si>
  <si>
    <t>Scores</t>
  </si>
  <si>
    <t>iCCompSpider</t>
  </si>
  <si>
    <t>iWeights</t>
  </si>
  <si>
    <t>rScores</t>
  </si>
  <si>
    <t>EIU Weights</t>
  </si>
  <si>
    <t>The weightings profile has been changed from it's EIU default setting.</t>
  </si>
  <si>
    <t>Country 1</t>
  </si>
  <si>
    <t>Country 2</t>
  </si>
  <si>
    <t>Country 3</t>
  </si>
  <si>
    <t>Country 4</t>
  </si>
  <si>
    <t>Country1</t>
  </si>
  <si>
    <t>Country2</t>
  </si>
  <si>
    <t>Country3</t>
  </si>
  <si>
    <t>Country4</t>
  </si>
  <si>
    <t>Max</t>
  </si>
  <si>
    <t>Rank Numbers</t>
  </si>
  <si>
    <t>Min</t>
  </si>
  <si>
    <t>All Regions/Groups</t>
  </si>
  <si>
    <t>Section</t>
  </si>
  <si>
    <t>Page</t>
  </si>
  <si>
    <t>ScrollRow</t>
  </si>
  <si>
    <t>nav_historyID</t>
  </si>
  <si>
    <t>PAGE_HOME</t>
  </si>
  <si>
    <t>SHEET_SET_ON_OPEN</t>
  </si>
  <si>
    <t>SHEET_SET_0</t>
  </si>
  <si>
    <t>SHEET_SET_1</t>
  </si>
  <si>
    <t>SHEET_SET_2</t>
  </si>
  <si>
    <t>SHEET_SET_3</t>
  </si>
  <si>
    <t>SHEET_SET_4</t>
  </si>
  <si>
    <t>SHEET_SET_5</t>
  </si>
  <si>
    <t>SHEET_SET_6</t>
  </si>
  <si>
    <t>SHEET_SET_7</t>
  </si>
  <si>
    <t>SHEET_SET_8</t>
  </si>
  <si>
    <t>SHEET_SET_9</t>
  </si>
  <si>
    <t>SHEET_SET_10</t>
  </si>
  <si>
    <t>Home,</t>
  </si>
  <si>
    <t>INDI_CODE</t>
  </si>
  <si>
    <t>WEIGHT_NOM</t>
  </si>
  <si>
    <t>WEIGHT_PERC</t>
  </si>
  <si>
    <t>Text 1</t>
  </si>
  <si>
    <t>Text 2</t>
  </si>
  <si>
    <t>level</t>
  </si>
  <si>
    <t>Indicator _Toggle</t>
  </si>
  <si>
    <t>1.1.1</t>
  </si>
  <si>
    <t>1.1.2</t>
  </si>
  <si>
    <t>Scored 0-100 where 100 = most capable</t>
  </si>
  <si>
    <t>INDICATOR_UNIT_1</t>
  </si>
  <si>
    <t>INDICATOR_UNIT_2</t>
  </si>
  <si>
    <t>Spare#5</t>
  </si>
  <si>
    <t>Spare#6</t>
  </si>
  <si>
    <t>High-income benchmark</t>
  </si>
  <si>
    <t>Asia-Pacific High Income</t>
  </si>
  <si>
    <t>Asia-Pacific Middle Income</t>
  </si>
  <si>
    <t>USA</t>
  </si>
  <si>
    <t>CATEGORIES + INDICATORS + SUB_INDICATORS</t>
  </si>
  <si>
    <t>BG Header at</t>
  </si>
  <si>
    <t>SCORE_TEXT</t>
  </si>
  <si>
    <t>WEIGHT_TEXT</t>
  </si>
  <si>
    <t>tblNavHist</t>
  </si>
  <si>
    <t>Equal weights</t>
  </si>
  <si>
    <t>Asia Region</t>
  </si>
  <si>
    <t>Buenos Aires</t>
  </si>
  <si>
    <t>Ciudad de Belice</t>
  </si>
  <si>
    <t>Asunción</t>
  </si>
  <si>
    <t>Bogotá</t>
  </si>
  <si>
    <t>Lima</t>
  </si>
  <si>
    <t>Montevideo</t>
  </si>
  <si>
    <t>Quito</t>
  </si>
  <si>
    <t>San José</t>
  </si>
  <si>
    <t>Santa Cruz</t>
  </si>
  <si>
    <t>Santiago de Chile</t>
  </si>
  <si>
    <t>San Pablo</t>
  </si>
  <si>
    <t xml:space="preserve"> Argentina</t>
  </si>
  <si>
    <t xml:space="preserve"> Belice</t>
  </si>
  <si>
    <t xml:space="preserve"> Paraguay</t>
  </si>
  <si>
    <t xml:space="preserve"> Colombia</t>
  </si>
  <si>
    <t xml:space="preserve"> Perú</t>
  </si>
  <si>
    <t xml:space="preserve"> Uruguay</t>
  </si>
  <si>
    <t xml:space="preserve"> Ecuador</t>
  </si>
  <si>
    <t xml:space="preserve"> Costa Rica</t>
  </si>
  <si>
    <t xml:space="preserve"> Bolivia</t>
  </si>
  <si>
    <t xml:space="preserve"> Chile</t>
  </si>
  <si>
    <t xml:space="preserve"> Brasil</t>
  </si>
  <si>
    <t>Normativa</t>
  </si>
  <si>
    <t>Organizativa</t>
  </si>
  <si>
    <t>Normativa sobre gestión de residuos</t>
  </si>
  <si>
    <t>1. ¿ Existe un marco legal nacional para la gestión de residuos orientado al reciclaje con la inclusión de actores informales?</t>
  </si>
  <si>
    <t>2.  ¿Existe un marco legal municipal para la gestión de residuos orientado al reciclaje y la inclusión de actores informales?</t>
  </si>
  <si>
    <t>3. ¿Son las políticas municipales suficientemente estables para garantizar la continuidad en materia de políticas de reciclaje inclusivo?</t>
  </si>
  <si>
    <t>4.  ¿Existe un presupuesto (o mecanismo de financiación) municipal asignado para  el reciclaje inclusivo?</t>
  </si>
  <si>
    <t>Integración del reciclador de base</t>
  </si>
  <si>
    <t>5.  ¿Existe reconocimiento legal de la ocupación de reciclador de base?</t>
  </si>
  <si>
    <t>6. ¿Se reconoce a los recicladores de base como prestadores de servicio en la gestión de residuos?</t>
  </si>
  <si>
    <t>7. ¿Se ha identificado la población de recicladores de base a través de un censo?</t>
  </si>
  <si>
    <t>8. ¿Cuál es el grado de transparencia e inclusión en los procesos de licitación para el reciclaje?</t>
  </si>
  <si>
    <t>9. La normativa/ estrategia municipal de residuos sólidos: ¿fue desarrollada de manera participativa?</t>
  </si>
  <si>
    <t xml:space="preserve">10. ¿Hay programas de formación/capacitación a nivel municipal? </t>
  </si>
  <si>
    <t>11. ¿Existen incentivos, programas y/o acciones concretas para el fortalecimiento de la ocupación del reciclador de base?</t>
  </si>
  <si>
    <t xml:space="preserve">12. ¿Existen incentivos, de reciclaje para los usuarios? </t>
  </si>
  <si>
    <t>Generación de información</t>
  </si>
  <si>
    <t>13.   ¿Hay un sistema municipal de recolección de información de reciclaje inclusivo?</t>
  </si>
  <si>
    <t>14. ¿Hay campañas de comunicación para fomentar el reciclaje inclusivo con difusión en el municipio?</t>
  </si>
  <si>
    <t>Salud pública y el medioambiente</t>
  </si>
  <si>
    <t>15. ¿Existe adecuada regulación y control sobre clasificación y manejo de desechos especiales y/o  peligrosos?</t>
  </si>
  <si>
    <t>Asociatividad</t>
  </si>
  <si>
    <t>16.    ¿Cuán dinámicas son las asociaciones?</t>
  </si>
  <si>
    <t xml:space="preserve">17.  ¿Qué nivel de inclusión  presentan estas asociaciones? </t>
  </si>
  <si>
    <t>18. Las asociaciones: ¿participan en espacios de interlocución o diálogo con pares?</t>
  </si>
  <si>
    <t>19. ¿Existen espacios de diálogo y coordinación entre diferentes actores de la cadena de valor del reciclaje?</t>
  </si>
  <si>
    <t>20. ¿Cuál es el nivel de representación de las mujeres en las asociaciones?</t>
  </si>
  <si>
    <t>Organizaciones comerciales</t>
  </si>
  <si>
    <t xml:space="preserve">21. ¿Existen organizaciones de recicladores con actividad comercial en el municipio (cooperativas y/o microempresas)? </t>
  </si>
  <si>
    <t>22. ¿Cuál es el nivel de participación de las organizaciones de recicladores en la cadena de valor del reciclaje?</t>
  </si>
  <si>
    <t>23. Las organizaciones comerciales de recicladores: ¿Tienen acceso a mecanismos de financiamiento?</t>
  </si>
  <si>
    <t>Condiciones de acceso y almacenamiento de residuos</t>
  </si>
  <si>
    <t>24. ¿Cómo es el acceso del material reciclable?</t>
  </si>
  <si>
    <t>25. ¿Existen esquemas formales de recolección diferenciada de residuos reciclables en el municipio que involucran a recicladores de base?</t>
  </si>
  <si>
    <t>26. ¿Los recicladores tienen acceso a instalaciones para el almacenamiento y la clasificación de materiales?</t>
  </si>
  <si>
    <t>27. ¿Cuál es el nivel de desarrollo técnico alcanzado en la clasificación (o pre-procesamiento) de materiales reciclables por parte de agrupaciones de recicladores?</t>
  </si>
  <si>
    <t>Condiciones para la comercialización de material reciclable</t>
  </si>
  <si>
    <t>28. ¿Cuál es la diferencia de valor del material en los diferentes eslabones de la cadena del reciclaje?</t>
  </si>
  <si>
    <t>29. ¿Cuál es el nivel de desarrollo de la industria transformadora a nivel nacional?</t>
  </si>
  <si>
    <t>Ingreso de los recicladores de base</t>
  </si>
  <si>
    <t>30. ¿Se permite la contratación con agrupaciones de recicladores de base en el sistema de gestión de residuos del municipio?</t>
  </si>
  <si>
    <t>31. ¿Existen mecanismos de pago periódico fijo para los recicladores de base por servicios prestados?</t>
  </si>
  <si>
    <t>32. ¿Existen programas de diversificación de los servicios prestados por recicladores?</t>
  </si>
  <si>
    <t>33. Ingreso promedio de los recicladores con respecto al salario mínimo nacional</t>
  </si>
  <si>
    <t>Condiciones de trabajo de los recicladores de base</t>
  </si>
  <si>
    <t>34. ¿Existe trabajo infantil en la cadena de manejo de residuos?</t>
  </si>
  <si>
    <t>35. ¿Cuál es el nivel de enfoque de género en las condiciones de trabajo?</t>
  </si>
  <si>
    <t>36. ¿Hay planes inclusivos de cierre de vertederos a cielo abierto?</t>
  </si>
  <si>
    <t>37. ¿Los recicladores tienen acceso a herramientas de trabajo adecuadas?</t>
  </si>
  <si>
    <t>1.2.1</t>
  </si>
  <si>
    <t>1.2.2</t>
  </si>
  <si>
    <t>1.2.3</t>
  </si>
  <si>
    <t>1.3.1</t>
  </si>
  <si>
    <t>1.4.1</t>
  </si>
  <si>
    <t>2.1.1</t>
  </si>
  <si>
    <t>2.2.1</t>
  </si>
  <si>
    <t>3.1.1</t>
  </si>
  <si>
    <t>3.1.2</t>
  </si>
  <si>
    <t>3.2.1</t>
  </si>
  <si>
    <t>3.3.1</t>
  </si>
  <si>
    <t>3.4.1</t>
  </si>
  <si>
    <t>3.4.2</t>
  </si>
  <si>
    <t>NORM</t>
  </si>
  <si>
    <t>ORG</t>
  </si>
  <si>
    <t>MERC</t>
  </si>
  <si>
    <t>Question</t>
  </si>
  <si>
    <t>NORM1.1</t>
  </si>
  <si>
    <t>NORM1.1.1</t>
  </si>
  <si>
    <t>NORM1.1.2</t>
  </si>
  <si>
    <t>NORM1.2</t>
  </si>
  <si>
    <t>NORM1.2.1</t>
  </si>
  <si>
    <t>NORM1.2.2</t>
  </si>
  <si>
    <t>NORM1.2.3</t>
  </si>
  <si>
    <t>NORM1.3</t>
  </si>
  <si>
    <t>NORM1.3.1</t>
  </si>
  <si>
    <t>NORM1.4</t>
  </si>
  <si>
    <t>NORM1.4.1</t>
  </si>
  <si>
    <t>ORG2.1</t>
  </si>
  <si>
    <t>ORG2.1.1</t>
  </si>
  <si>
    <t>ORG2.2</t>
  </si>
  <si>
    <t>ORG2.2.1</t>
  </si>
  <si>
    <t>MERC3.1</t>
  </si>
  <si>
    <t>MERC3.1.1</t>
  </si>
  <si>
    <t>MERC3.1.2</t>
  </si>
  <si>
    <t>MERC3.2</t>
  </si>
  <si>
    <t>MERC3.2.1</t>
  </si>
  <si>
    <t>MERC3.3</t>
  </si>
  <si>
    <t>MERC3.3.1</t>
  </si>
  <si>
    <t>MERC3.4</t>
  </si>
  <si>
    <t>MERC3.4.1</t>
  </si>
  <si>
    <t>MERC3.4.2</t>
  </si>
  <si>
    <t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t>
  </si>
  <si>
    <t xml:space="preserve">0= No existe un marco legal municipal, o existe un marco legal de GIRS pero que no contempla ni el reciclaje ni la inclusión
1= Existe un marco legal inclusivo y no se ha implementado
2= Existe un marco legal inclusivo articulado que se ha implementado
</t>
  </si>
  <si>
    <t xml:space="preserve">0 = Baja (1 período de administración) o no existe marco legal inclusivo
1 = Mediana (2 períodos de administración municipal continua)
2 = Alta (Más de 2  períodos de administración municipal continua)
</t>
  </si>
  <si>
    <t xml:space="preserve">0= No existe un presupuesto (o mecanismo de financiación), o existe un presupuesto de GIRS pero no contempla ni el reciclaje ni la inclusión
1= Existe un presupuesto (o mecanismo de financiación) y no se ha implementado
2= Existe un presupuesto (o mecanismo de financiación) que se ha implementado
</t>
  </si>
  <si>
    <t xml:space="preserve">0= No existe reconocimiento legal de la ocupación del reciclador de base. 
1= Existe reconocimiento legal de la ocupación del reciclador de base.  
</t>
  </si>
  <si>
    <t xml:space="preserve">0= No existe reconocimiento de los recicladores de base a nivel municipal.
1= Existe reconocimiento de los recicladores de base, pero no se promueven formas de vinculación al sistema de gestión de residuos. 
2= Se reconocen a recicladores de base como prestadores de servicio en la gestión de residuos.
</t>
  </si>
  <si>
    <t xml:space="preserve">0= No se ha realizado un censo de la población de recicladores.
1= Se ha realizado un censo de la población de recicladores. 
</t>
  </si>
  <si>
    <t xml:space="preserve">0= El proceso no involucró a los recicladores de base
1= Fue un proceso participativo que involucró a recicladores de base
2= Fue un proceso participativo y las propuestas fueron reflejadas en la normativa/estrategia
</t>
  </si>
  <si>
    <t xml:space="preserve">0= No hay programas de formación/capacitación
1= Hay programas de formación para funcionarios municipales o para usuarios (ciudadanos)
2= Hay programas de formación para funcionarios municipales y/o recicladores de base
3= Hay programas de formación para todos los actores de GIRS (incluyendo empresas del sector privado, por ejemplo)
</t>
  </si>
  <si>
    <t xml:space="preserve">0= No existen 
1= Existen incentivos, programas y/o acciones puntuales
2= Existen incentivos, programas y/o acciones sistemáticas y institucionalizadas 
</t>
  </si>
  <si>
    <t xml:space="preserve">0=  Sí a 0 o 1 pregunta
1= Sí a 2 o 3 preguntas
2= Sí a 4 o 5 preguntas
</t>
  </si>
  <si>
    <t xml:space="preserve">0= No
1= Sí, pero esporádicamente 
2= Sí y continuo
</t>
  </si>
  <si>
    <t xml:space="preserve">0= No existe regulación
1= Existe regulación y no se aplica
2= Existe regulación y se aplica
</t>
  </si>
  <si>
    <t xml:space="preserve">0= No existen asociaciones o es muy difícil crearlas
1= Existe al menos una asociación, pero con un proceso difícil de admisión
2= Existe al menos una asociación y admite nuevos miembros
</t>
  </si>
  <si>
    <t xml:space="preserve">0= Baja inclusión (0 o 1 criterio)
1= Mediana inclusión (2 o 3 criterios)
2= Alta inclusión (4 o más criterios)
</t>
  </si>
  <si>
    <t xml:space="preserve">0= No participan 
1= Participan a nivel municipal y/o nacional
2= Participan a nivel municipal, nacional e internacional
</t>
  </si>
  <si>
    <t xml:space="preserve">0= No existen espacios de coordinación
1= Existen espacios a nivel nacional o municipal
2= Existen espacios a nivel municipal y nacional 
</t>
  </si>
  <si>
    <t xml:space="preserve">0= Existe un bajo nivel de representación (ningún criterio)
1= Existe un nivel medio de representación (1-2 criterios)
2= Existe un nivel superior de representación (3 o más criterios)
</t>
  </si>
  <si>
    <t xml:space="preserve">0= No existen  
1= Existen
2= Existen y operan en coordinación o en conjunto entre ellas
</t>
  </si>
  <si>
    <t xml:space="preserve">0= Bajo (ningún criterio) o no existen estas organizaciones
1= Medio (1 o 2 criterios)
2= Alto (3 o 4 criterios)
</t>
  </si>
  <si>
    <t xml:space="preserve">0= No tienen acceso o no existen estas organizaciones
1= Microcrédito 
2= Banca tradicional o pública
3= Programa de apoyo de proveedores
</t>
  </si>
  <si>
    <t xml:space="preserve">0= Prohibición total
1= Informal (vertedero o calle)
2= Recuperación en fuente
3= Contratos con municipalidad para proveer el servicio
</t>
  </si>
  <si>
    <t xml:space="preserve">0= No existe recolección diferenciada
1= Existe recolección diferenciada pero no involucra a recicladores de base
2= Existe recolección diferenciada e involucra a recicladores de base 
</t>
  </si>
  <si>
    <t xml:space="preserve">0= No, o los recicladores no participan en estos procesos
1= Sí
</t>
  </si>
  <si>
    <t xml:space="preserve">0= Bajo, o los recicladores no participan en estos procesos
1= Medio
2= Alto
</t>
  </si>
  <si>
    <t xml:space="preserve">Ratio del valor de compra de una unidad (1 kg) de PET, papel, cartón o aluminio en centros de acopio-clasificación/valor de compra de la misma unidad en un establecimiento de pre-procesamiento*. </t>
  </si>
  <si>
    <t xml:space="preserve">0= No existen plantas industriales de transformación en el país 
1= Existen plantes industriales para 1 o 2 materiales
2= Existen plantas industriales para 3 materiales
3= Existen plantas industriales para todos los materiales 
</t>
  </si>
  <si>
    <t xml:space="preserve">0= No
1= Si, pero no se aplica
2= Si y se evidencia en contratos asignados con organizaciones de recicladores vigentes
</t>
  </si>
  <si>
    <t xml:space="preserve">0= No
1= Si
</t>
  </si>
  <si>
    <t>% entre ingreso promedio / Salario mínimo nacional</t>
  </si>
  <si>
    <t xml:space="preserve">0= Sí
1= Si, pero hay programas para hacer frente a la situación
2= No
</t>
  </si>
  <si>
    <t xml:space="preserve">0 = Bajo (0 criterios)
1 = Mediano (1-2)
2= Alto (3 o más)
</t>
  </si>
  <si>
    <t xml:space="preserve">0= No se cumple ningún criterio.
1= Se cumplen 1 a 3 criterios.
2= Se cumplen 4 o más criterios
</t>
  </si>
  <si>
    <t xml:space="preserve">0=No existen 
1= Existen con baja participación
2= Existen con amplia participación
</t>
  </si>
  <si>
    <t xml:space="preserve">[1] Congreso General De Los Estados Unidos Mexicanos. "Ley General para la prevención y gestión integral de los residuos" publicada el 22 de mayo de 2015. [http://www.normateca.gob.mx/Archivos/66_D_4097_25-05-2015.pdf]
[2] Congreso General De Los Estados Unidos Mexicanos. "Reglamento de la Ley General para la prevención y gestión integral de los residuos" publicada el 31 de octubre de 2014. [http://www.normateca.gob.mx/Archivos/57_D_3970_14-11-2014.pdf]
</t>
  </si>
  <si>
    <t xml:space="preserve">[1] Honorable Asamblea Legislativa del Distrito Federal II Legislatura. Ley de Residuos Sólidos del Distrito Federal, publicada el 18 de noviembre de 2015. [www.aldf.gob.mx/archivo-2cdc95f688b0f9cdc82b670897acdd.pdf]
[2] Jefatura de Gobierno. Reglamento de la Ley de Residuos Sólidos del Distrito Federal, publicado el 07 de octubre de 2008.
[http://cgservicios.df.gob.mx/prontuario/vigente/r184001.pdf]
</t>
  </si>
  <si>
    <t>[1] Secretaria del Medio Ambiente. Programa de gestión integral de los residuos sólidos para el Distrito Federal (2009-2014), publicado el 04 de noviembre de 2009.
[2] Comisión de Derechos Humanos del Distrito Federal. Recomendación 7/2016, publicado en junio de 2016. [http://cdhdfbeta.cdhdf.org.mx/2016/07/recomendacion-72016/]
[3]Secretaria de Medio Ambiente. Plan de Gestión Integral de Residuos Sólidos 2016-2010, publicado en 2016.
[4] Berthier Castillo, Héctor. 2015. "CDMX basura: proyecto de papel". Revista de pensamiento sociológico 16:333-368.</t>
  </si>
  <si>
    <t>[1] Secretaría del medio ambiente del Distrito Federal. Tercer informe de Gobierno, publicado en 2015. [http://data.sedema.cdmx.gob.mx/sedema/images/archivos/noticias/tercer-informe-sedema/tercer-informe-sedema.pdf]  
[2]Secretaria de Medio Ambiente. Plan de Gestión Integral de Residuos Sólidos 2016-2010, publicado en 2016.[http://www.sedema.cdmx.gob.mx/storage/app/media/programas/residuos-solidos/pgirs.pdf]
[3] Ortiz, Ricardo. Subdirector de Análisis y Proyectos Especiales de Semarnat. 26 de Agosto de 2016.
[4] Secretaría de Medio Ambiente y Recursos Naturales. "Lineamientos para el otorgamiento de apoyos de la SEMARNAT para proyectos de residuos sólidos urbanos y de manejo especial", publicado en 2013.
[5] Secreataría de Medio Ambiente y Recursos Naturales. Relación de Beneficiarios del PPU012 (2012), publicado en 2012.</t>
  </si>
  <si>
    <t>[1]  Honorable Asamblea Legislativa del Distrito Federal II Legislatura. Ley de Residuos Sólidos del Distrito Federal, publicada el 18 de noviembre de 2015. [www.aldf.gob.mx/archivo-2cdc95f688b0f9cdc82b670897acdd.pdf]
[2] Secretaria del Medio Ambiente y Recursos Naturales. Proyecto de Modificación de la Norma Oficial Mexicana 083 de 2003, Especificaciones de protección ambiental para la selección del sitio, diseño, construcción, operación, monitoreo, clausura y obras complementarias de un sitio de disposición final de residuos sólidos urbanos y de manejo especial, publicada el 04 de agosto de 2016.
[3] Ortiz, Ricardo. Subdirector de Análisis y Proyectos Especiales de Semarnat. 26 de Agosto de 2016.
[4] Espinoza, Tania. Coordinadora para Latinoamérica del Programa de Leyes de WIEGO y Consejera de la Comisión de Derechos Humanos de la Ciudad de México. 08 de agosto de 2016.
[5] Fernández, Jorge. Director de la Asociación Mexicana de Empresas Ambientales. 16 de Agosto de 2016.
[6] Catálogo Único de Trámites y Servicios. Servicio de limpia. Disponible en [http://www.tramitesyservicios.df.gob.mx/wb/TyS/servicio_de_limpia]</t>
  </si>
  <si>
    <t>[1] Honorable Asamblea Legislativa del Distrito Federal II Legislatura. Ley de Residuos Sólidos del Distrito Federal, publicada el 18 de noviembre de 2015. [www.aldf.gob.mx/archivo-2cdc95f688b0f9cdc82b670897acdd.pdf]
[2] Secretaría del Medio Ambiente. Aviso por el cual se dan a conocer los lineamientos generales y mecanismos aplicables al procedimiento de registro y autorización de los establecimientos mercantiles y de servicios relacionados con la recolección, manejo transporte, tratamiento, reutilización, reciclaje y disposición final de los residuos sólidos de la competencia local., publicado el 8 de julio de 2015. [http://centro.paot.org.mx/centro/normas_a/2015/GODF_08_07_2015.pdf]
[3]  Secretaría del Medio Ambiente. Norma ambiental para el distrito federal NADF-025-AMBT-2013, que establece los criterios y especificaciones técnicas bajo los cuales se deberá realizar la separación, clasificación, recolección selectiva y almacenamiento de los residuos del Distrito Federal.
*Servicio de limpia hace referencia a los servicios prestados por el Gobierno Federal presta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(Definición disponible en http://www.tramitesyservicios.df.gob.mx/wb/TyS/servicio_de_limpia)
**La separación primaria hace referencia a la separación de los residuos orgánicos de los inorgánicos
***La separación secundaria hace referencia a la separación específica de los residuos inorgánicos</t>
  </si>
  <si>
    <t xml:space="preserve">[1] Espinoza, Tania. Coordinadora para Latinoamérica del Programa de Leyes de WIEGO y Consejera de la Comisión de Derechos Humanos de la Ciudad de México. 08 de agosto de 
2016.
[2] Berthier Castillo, Héctor. Coordinador de la Unidad de Estudios Sobre la Juventud de la Universidad Nacional Autónoma de México. 29 de agosto de 2016. 
[3] Secretaría Técnica del Comité Coordinador para la elaboración del Diagnóstico y Programa de Derechos Humanos del Distrito Federal. Programa de derechos humanos del Distrito Federal, Primera Edición. Publicado en agosto de 2009. [http://www.derechoshumanosdf.org.mx/docs/programa.pdf]
</t>
  </si>
  <si>
    <t xml:space="preserve">[1] Honorable Asamblea Legislativa del Distrito Federal II Legislatura. Ley de Residuos Sólidos del Distrito Federal, publicada el 18 de noviembre de 2015. [www.aldf.gob.mx/archivo-2cdc95f688b0f9cdc82b670897acdd.pdf]
[2] Alarcón, Pablo. Director General del Grupo TAAF.  25 de Agosto de 2016.
[3] Fernández, Jorge. Director de la Asociación Mexicana de Empresas Ambientales. 16 de Agosto de 2016.
[4] Diario El Economista. El sindicato impide regular la pepena, publicado el 17 de enero de 2012. [http://eleconomista.com.mx/sociedad/2012/01/17/sindicato-impide-regular-pepena]
[5] Berthier Castillo, Héctor. Coordinador de la Unidad de Estudios Sobre la Juventud de la Universidad Nacional Autónoma de México. 29 de agosto de 2016. 
*Servicio de limpia hace referencia a los servicios prestados por el Gobierno Federal presta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(Definición disponible en http://www.tramitesyservicios.df.gob.mx/wb/TyS/servicio_de_limpia)
</t>
  </si>
  <si>
    <t>[1] Espinoza, Tania. Coordinadora para Latinoamérica del Programa de Leyes de WIEGO y Consejera de la Comisión de Derechos Humanos de la Ciudad de México. 08 de agosto de 2016.
[2] Fernández, Jorge. Director de la Asociación Mexicana de Empresas Ambientales. 16 de Agosto de 2016.
[3] Ortiz, Ricardo. Subdirector de Análisis y Proyectos Especiales de Semarnat. 26 de Agosto de 2016.</t>
  </si>
  <si>
    <t>[1] Alarcón, Pablo. Director General del Grupo TAAF. Agosto 25 de 2016.</t>
  </si>
  <si>
    <t>[1] Semarnat. Programa Nacional para la Prevención Integral de los Residuos (2009-2012), publicado en diciembre de 2008.
[2] Espinoza, Tania. ¿Qué derechos laborales tienen los trabajadores informales del servicio de limpia en la ciudad de México?: el caso de los trabajadores voluntarios y pepenadores. 2013. Revista electrónica Métodhos 05: 85-121. 
[3]Secretaria de Medio Ambiente. Plan de Gestión Integral de Residuos Sólidos 2016-2010, publicado en 2016.
[4]  Ortiz, Ricardo. Subdirector de Análisis y Proyectos Especiales de Semarnat. 26 de Agosto de 2016.</t>
  </si>
  <si>
    <t>[1] Secretaría del medio ambiente del Distrito Federal. EL mercado de trueque, una alternativa de educación ambiental para la valorización de los residuos sólidos en la Ciudad de México (2012). Disponible en http://martha.org.mx/una-politica-con-causa/wp-content/uploads/2013/09/20-Mercado-de-Trueque.pdf
[2] Secretaría del medio ambiente del Distrito Federal.  Resultados del mercado de Trueque 2016. Disponible en http://data.sedema.cdmx.gob.mx/mercadodetrueque/index.php?option=com_content&amp;view=category&amp;id=38&amp;Itemid=30
 [3] Luppi, Pietro. Ciudad de México: El funcionamiento informal del servicio de la recolección y separación de la fracción orgánica.
[4] Fernández, Jorge. Director de la Asociación Mexicana de Empresas Ambientales. 16 de Agosto de 2016.
[5] Castillo, Héctor. Coordinador de la Unidad de Estudios Sobre la Juventud. 29 de agosto de 2016.</t>
  </si>
  <si>
    <t>[1] Secretaría del medio ambiente del Distrito Federal.  Resultados del mercado de Trueque 2016. Disponible en http://data.sedema.cdmx.gob.mx/mercadodetrueque/index.php?option=com_content&amp;view=category&amp;id=38&amp;Itemid=30
[2] Secretaría de Ambiente de la Ciudad de México. "Inventario de Residuos Sólidos", publicado en 2015.
[3] Berthier Castillo, Héctor. Coordinador de la Unidad de Estudios Sobre la Juventud de la Universidad Nacional Autónoma de México. 29 de agosto de 2016.
[4] Fernández, Jorge. Director de la Asociación Mexicana de Empresas Ambientales. 16 de Agosto de 2016.</t>
  </si>
  <si>
    <t xml:space="preserve">[1] Alarcón, Pablo. Director General del Grupo TAAF.  25 de Agosto de 2016.
[2] Berthier Castillo, Héctor. Coordinador de la Unidad de Estudios Sobre la Juventud de la Universidad Nacional Autónoma de México. 29 de agosto de 2016.
[3] Secretaría del medio ambiente del Distrito Federal.  Sin moño y sin bolsita... Por favor, publicado en 2016.
[4] Secretaría del medio ambiente del Distrito Federal. Tercer informe de Gobierno, publicado en 2015.
</t>
  </si>
  <si>
    <t xml:space="preserve">[1]  Ortiz, Ricardo. Subdirector de Análisis y Proyectos Especiales de Semarnat. 26 de Agosto de 2016.
[2] Alarcón, Pablo. Director General del Grupo TAAF.  25 de Agosto de 2016.
[3] Congreso General De Los Estados Unidos Mexicanos. "Ley General para la prevención y gestión integral de los residuos" publicada el 22 de mayo de 2015. [http://www.normateca.gob.mx/Archivos/66_D_4097_25-05-2015.pdf]
[4] Congreso General De Los Estados Unidos Mexicanos. "Reglamento de la Ley General para la prevención y gestión integral de los residuos" publicada el 31 de octubre de 2014. [http://www.normateca.gob.mx/Archivos/57_D_3970_14-11-2014.pdf]
</t>
  </si>
  <si>
    <t>[1] Berthier Castillo, Héctor. Coordinador de la Unidad de Estudios Sobre la Juventud de la Universidad Nacional Autónoma de México. 29 de agosto de 2016.
[2] Cervantes Niño, José Juan &amp; Palacios Hernández, Lylia. 2011. "El trabajo en la pepena informal en México: nuevas realidades, nuevas desigualdades". Estudios Demográficos y Urbanos 27: 95-117.</t>
  </si>
  <si>
    <t>[1] Berthier Castillo, Héctor. Coordinador de la Unidad de Estudios Sobre la Juventud de la Universidad Nacional Autónoma de México. 29 de agosto de 2016.
[2] Espinoza, Tania. Coordinadora para Latinoamérica del Programa de Leyes de WIEGO y Consejera de la Comisión de Derechos Humanos de la Ciudad de México. 08 de agosto de 2016.</t>
  </si>
  <si>
    <t>[1] El Universal. "Guillermina de la Torre dueña del PRI", publicado el 09 de marzo de 2015 [http://www.eluniversalmas.com.mx/columnas/2015/03/111549.php]
[2] A través de Nohra Padilla se supo de la participación de Pablo Téllez en la Congregación de Recicladores en Bogotá el pasado 22 de agosto.</t>
  </si>
  <si>
    <t>[1]  Ortiz, Ricardo. Subdirector de Análisis y Proyectos Especiales de Semarnat. 26 de Agosto de 2016.
[2] Fernández, Jorge. Director de la Asociación Mexicana de Empresas Ambientales. 16 de Agosto de 2016.</t>
  </si>
  <si>
    <t>[1] El Universal. "Guillermina de la Torre dueña del PRI", publicado el 09 de marzo de 2015 [http://www.eluniversalmas.com.mx/columnas/2015/03/111549.php]
[2] Berthier Castillo, Héctor. Coordinador de la Unidad de Estudios Sobre la Juventud de la Universidad Nacional Autónoma de México. 29 de agosto de 2016.</t>
  </si>
  <si>
    <t xml:space="preserve">[1] Berthier Castillo, Héctor. Coordinador de la Unidad de Estudios Sobre la Juventud de la Universidad Nacional Autónoma de México. 29 de agosto de 2016.
</t>
  </si>
  <si>
    <t xml:space="preserve">[1] Fernández, Jorge. Director de la Asociación Mexicana de Empresas Ambientales. 16 de Agosto de 2016.
[2] Berthier Castillo, Héctor. Coordinador de la Unidad de Estudios Sobre la Juventud de la Universidad Nacional Autónoma de México. 29 de agosto de 2016.
</t>
  </si>
  <si>
    <t>[1] Berthier Castillo, Héctor. Coordinador de la Unidad de Estudios Sobre la Juventud de la Universidad Nacional Autónoma de México. 29 de agosto de 2016.</t>
  </si>
  <si>
    <t>[1] Comisión de Derechos Humanos del Distrito Federal. Recomendación 7/2016, publicado en junio de 2016. [http://cdhdfbeta.cdhdf.org.mx/2016/07/recomendacion-72016/]</t>
  </si>
  <si>
    <t>[1] Secretaría de Ambiente de la Ciudad de México. "Inventario de Residuos Sólidos", publicado en 2015.
[2] Luppi, Pietro. Ciudad de México: El funcionamiento informal del servicio de la recolección y separación de la fracción orgánica.</t>
  </si>
  <si>
    <t xml:space="preserve">[1] Comisión de Derechos Humanos del Distrito Federal. Recomendación 7/2016, publicado en junio de 2016. [http://cdhdfbeta.cdhdf.org.mx/2016/07/recomendacion-72016/]
[2] Berthier Castillo, Héctor. Coordinador de la Unidad de Estudios Sobre la Juventud de la Universidad Nacional Autónoma de México. 29 de agosto de 2016.
[3] Espinoza, Tania. ¿Qué derechos laborales tienen los trabajadores informales del servicio de limpia en la ciudad de México?: el caso de los trabajadores voluntarios y pepenadores. 2013. Revista electrónica Métodhos 05: 85-121. 
</t>
  </si>
  <si>
    <t>[1] Berthier Castillo, Héctor. Coordinador de la Unidad de Estudios Sobre la Juventud de la Universidad Nacional Autónoma de México. 29 de agosto de 2016.
[3] Pérez, Wendy. El Imperio de la Basura, publicado en noviembre de 2014. [http://www.petstar.mx/noticias/ver/revista-expansion-petstar]</t>
  </si>
  <si>
    <t>[1] Cámara de Papel . Plan de Manejo de Residuos de Papel y Cartón en México, publicado en marzo de 2012.
[2] Saldaña Romero, Carlos.  Reciclaje de vidrio en México,  una perspectiva de la zona occidente.[http://www3.vitro.com/noticiero/boletin/abr14/nota5.html]
[3] ECOCE. Datos estadísticos. [http://www.ecoce.mx/datos-estadisticos.php]
[4] Cámara Nacional de la Industria del Hierro y del Acero. Directorio de Socios [http://www.canacero.org.mx/Es/acero-en-cifras.html]</t>
  </si>
  <si>
    <t xml:space="preserve">[1] Espinoza, Tania. ¿Qué derechos laborales tienen los trabajadores informales del servicio de limpia en la ciudad de México?: el caso de los trabajadores voluntarios y pepenadores. 2013. Revista electrónica Métodhos 05: 85-121. </t>
  </si>
  <si>
    <t>[1] Espinoza, Tania. Coordinadora para Latinoamérica del Programa de Leyes de WIEGO y Consejera de la Comisión de Derechos Humanos de la Ciudad de México. 08 de agosto de 2016.</t>
  </si>
  <si>
    <t>[1] Berthier Castillo, Héctor. Coordinador de la Unidad de Estudios Sobre la Juventud de la Universidad Nacional Autónoma de México. 29 de agosto de 2016.
[2]Danone. The Pepenadores project in México: empowering waste pickers and improving the recycling circuit [http://downtoearth.danone.com/2013/01/23/the-pepenadores-project-in-mexico-empowering-waste-pickers-and-improving-the-recycling-circuit/].
[3] Pérez, Wendy. El Imperio de la Basura, publicado en noviembre de 2014. [http://www.petstar.mx/noticias/ver/revista-expansion-petstar]</t>
  </si>
  <si>
    <t xml:space="preserve">[1] Berthier Castillo, Héctor. Coordinador de la Unidad de Estudios Sobre la Juventud de la Universidad Nacional Autónoma de México. 29 de agosto de 2016.
[2] Cervantes Niño, José Juan &amp; Palacios Hernández, Lylia. 20011 "El trabajo en la pepena informal en México: nuevas realidades, nuevas desigualdades". Estudios Demográficos y Urbanos 27: 95-117.
</t>
  </si>
  <si>
    <t xml:space="preserve">[1] Comisión de Derechos Humanos del Distrito Federal. Recomendación 7/2016, publicado en junio de 2016. [http://cdhdfbeta.cdhdf.org.mx/2016/07/recomendacion-72016/]
</t>
  </si>
  <si>
    <t>[1] Secretaria del Medio Ambiente y Recursos Naturales. Norma Oficial Mexicana 083 de 2003, Especificaciones de protección ambiental para la selección del sitio, diseño, construcción, operación, monitoreo, clausura y obras complementarias de un sitio de disposición final de residuos sólidos urbanos y de manejo especial, publicada en 2003.
[2] Berthier Castillo, Héctor. Coordinador de la Unidad de Estudios Sobre la Juventud de la Universidad Nacional Autónoma de México. 29 de agosto de 2016.
[3] Diario Excelsisor. "Impiden pepenadores depósito de basura en Bordo Poniente", publicado el 15 de marzo de 2011.
[4] Secretaria del Medio Ambiente y Recursos Naturales. Proyecto de Modificación de la Norma Oficial Mexicana 083 de 2003, Especificaciones de protección ambiental para la selección del sitio, diseño, construcción, operación, monitoreo, clausura y obras complementarias de un sitio de disposición final de residuos sólidos urbanos y de manejo especial, publicada el 04 de agosto de 2016.</t>
  </si>
  <si>
    <t xml:space="preserve">[1] Comisión de Derechos Humanos del Distrito Federal. Recomendación 7/2016, publicado en junio de 2016. [http://cdhdfbeta.cdhdf.org.mx/2016/07/recomendacion-72016/]
[2] Diario Capital. "La Jornada: En pleno Centro y a todas horas empleados de limpia hacen pepena", publicado el 18 de diciembre de 2015.
[3] Espinoza, Tania. Coordinadora para Latinoamérica del Programa de Leyes de WIEGO y Consejera de la Comisión de Derechos Humanos de la Ciudad de México. 08 de agosto de 2016.
[4] [1] Espinoza, Tania. ¿Qué derechos laborales tienen los trabajadores informales del servicio de limpia en la ciudad de México?: el caso de los trabajadores voluntarios y pepenadores. 2013. Revista electrónica Métodhos 05: 85-121. </t>
  </si>
  <si>
    <t>Unit-Short</t>
  </si>
  <si>
    <t>0 - 2</t>
  </si>
  <si>
    <t>0 - 1</t>
  </si>
  <si>
    <t>0  - 2</t>
  </si>
  <si>
    <t>0 - 3</t>
  </si>
  <si>
    <t>Ratio</t>
  </si>
  <si>
    <t>Use the same Capitalisation as written in English</t>
  </si>
  <si>
    <t>SPANISH</t>
  </si>
  <si>
    <t>English</t>
  </si>
  <si>
    <t>Top_Header_1</t>
  </si>
  <si>
    <t>VISULIZATION</t>
  </si>
  <si>
    <t>Top_Header_2</t>
  </si>
  <si>
    <t>INDICATOR EXPLORER</t>
  </si>
  <si>
    <t>Top_Header_3</t>
  </si>
  <si>
    <t>CITY EXPLORER</t>
  </si>
  <si>
    <t>Top_Header_4</t>
  </si>
  <si>
    <t>DATA INPUTS</t>
  </si>
  <si>
    <t>Top_Header_5</t>
  </si>
  <si>
    <t>SUB_MENU_1_1</t>
  </si>
  <si>
    <t>HEAT MAP</t>
  </si>
  <si>
    <t>SUB_MENU_1_2</t>
  </si>
  <si>
    <t>3D BOX CHART</t>
  </si>
  <si>
    <t>SUB_MENU_1_3</t>
  </si>
  <si>
    <t>SUB_MENU_1_4</t>
  </si>
  <si>
    <t>SUB_MENU_2_1</t>
  </si>
  <si>
    <t>SUMMARY</t>
  </si>
  <si>
    <t>SUB_MENU_2_2</t>
  </si>
  <si>
    <t>INDICATOR RANKING</t>
  </si>
  <si>
    <t>SUB_MENU_2_3</t>
  </si>
  <si>
    <t>SCATTER PLOT</t>
  </si>
  <si>
    <t>SUB_MENU_2_4</t>
  </si>
  <si>
    <t>SUB_MENU_2_5</t>
  </si>
  <si>
    <t>SUB_MENU_3_1</t>
  </si>
  <si>
    <t>CITY PROFILE</t>
  </si>
  <si>
    <t>SUB_MENU_3_2</t>
  </si>
  <si>
    <t>CITY COMPARE</t>
  </si>
  <si>
    <t>SUB_MENU_3_3</t>
  </si>
  <si>
    <t>SCORES</t>
  </si>
  <si>
    <t>SUB_MENU_3_4</t>
  </si>
  <si>
    <t>SUB_MENU_3_5</t>
  </si>
  <si>
    <t>SUB_MENU_4_1</t>
  </si>
  <si>
    <t>SUB_MENU_4_2</t>
  </si>
  <si>
    <t>WEIGHTING</t>
  </si>
  <si>
    <t>Lable_01</t>
  </si>
  <si>
    <t>SERIES SELECT</t>
  </si>
  <si>
    <t>Lable_02</t>
  </si>
  <si>
    <t>CITY HIGHLIGHT</t>
  </si>
  <si>
    <t>Lable_03</t>
  </si>
  <si>
    <t>GROUP HIGHLIGHT</t>
  </si>
  <si>
    <t>Lable_04</t>
  </si>
  <si>
    <t>FILTERS</t>
  </si>
  <si>
    <t>Lable_05</t>
  </si>
  <si>
    <t>WEIGHTS</t>
  </si>
  <si>
    <t>Lable_06</t>
  </si>
  <si>
    <t>Lable_07</t>
  </si>
  <si>
    <t>OUTLIERS</t>
  </si>
  <si>
    <t>Lable_08</t>
  </si>
  <si>
    <t>REST ALL</t>
  </si>
  <si>
    <t>Lable_09</t>
  </si>
  <si>
    <t>X - SERIES SELECT</t>
  </si>
  <si>
    <t>Lable_10</t>
  </si>
  <si>
    <t>Y - SERIES SELECT</t>
  </si>
  <si>
    <t>Lable_11</t>
  </si>
  <si>
    <t>Lable_12</t>
  </si>
  <si>
    <t>Lable_13</t>
  </si>
  <si>
    <t>Lable_14</t>
  </si>
  <si>
    <t>Lable_15</t>
  </si>
  <si>
    <t>Lable_16</t>
  </si>
  <si>
    <t>Lable_17</t>
  </si>
  <si>
    <t>Lable_18</t>
  </si>
  <si>
    <t>Lable_19</t>
  </si>
  <si>
    <t>Lable_20</t>
  </si>
  <si>
    <t>Lable_21</t>
  </si>
  <si>
    <t>BOX_1</t>
  </si>
  <si>
    <t>Confidential - Internal Distribution Only</t>
  </si>
  <si>
    <t>BOX_2</t>
  </si>
  <si>
    <t>Macros must be enabled for full functionality</t>
  </si>
  <si>
    <t>BOX_3</t>
  </si>
  <si>
    <t>Prepared for:</t>
  </si>
  <si>
    <t>BOX_4</t>
  </si>
  <si>
    <t>BOX_5</t>
  </si>
  <si>
    <t>Rank out of 12 cities, 1=best; '=' denotes tied rank between two or more cities</t>
  </si>
  <si>
    <t>BOX_6</t>
  </si>
  <si>
    <t xml:space="preserve">In the Inclusive Recycling Benchmark Index scores of 0 and 100 represent the lowest and highest possible score, respectively, as measured by the index criteria. Scores are normalized (0-100, where 100=most favorable environment) </t>
  </si>
  <si>
    <t>BOX_7</t>
  </si>
  <si>
    <t>BOX_8</t>
  </si>
  <si>
    <t>* Weighted sum of category scores by city compared with the highest, lowest and average scores for all the cities under review.</t>
  </si>
  <si>
    <t>Click on map or select from the city highlight drop down box</t>
  </si>
  <si>
    <t>BOX_9</t>
  </si>
  <si>
    <t>BOX_10</t>
  </si>
  <si>
    <t>BOX_11</t>
  </si>
  <si>
    <t>BOX_12</t>
  </si>
  <si>
    <t>BOX_13</t>
  </si>
  <si>
    <t>BOX_14</t>
  </si>
  <si>
    <t>BOX_15</t>
  </si>
  <si>
    <t>BOX_16</t>
  </si>
  <si>
    <t>BOX_17</t>
  </si>
  <si>
    <t>BOX_18</t>
  </si>
  <si>
    <t>BOX_19</t>
  </si>
  <si>
    <t>BOX_20</t>
  </si>
  <si>
    <t>BOX_21</t>
  </si>
  <si>
    <t>BOX_22</t>
  </si>
  <si>
    <t>Lable_22</t>
  </si>
  <si>
    <t>Lable_23</t>
  </si>
  <si>
    <t>Lable_24</t>
  </si>
  <si>
    <t>Lable_25</t>
  </si>
  <si>
    <t>Lable_26</t>
  </si>
  <si>
    <t>Lable_27</t>
  </si>
  <si>
    <t>Lable_28</t>
  </si>
  <si>
    <t>Lable_29</t>
  </si>
  <si>
    <t>Lable_30</t>
  </si>
  <si>
    <t>Lable_31</t>
  </si>
  <si>
    <t>Lable_32</t>
  </si>
  <si>
    <t>Lable_33</t>
  </si>
  <si>
    <t>Lable_34</t>
  </si>
  <si>
    <t>Lable_35</t>
  </si>
  <si>
    <t>Lable_36</t>
  </si>
  <si>
    <t>Lable_37</t>
  </si>
  <si>
    <t>Lable_38</t>
  </si>
  <si>
    <t>Scores 0-25</t>
  </si>
  <si>
    <t>Scores 26-50</t>
  </si>
  <si>
    <t>Scores 51-75</t>
  </si>
  <si>
    <t>Scores 76-100</t>
  </si>
  <si>
    <t>Back to top</t>
  </si>
  <si>
    <t>The scatter chart shows data for two series simultaneously (one series plotted on X and Y axis). Correlation(X,Y) shows the linear correlation coefficient of the two series, where -1=perfect negative correlation, 0=no correlation and 1=perfect positive correlation.  This is calculated using a correlation equation (see left for the equation).</t>
  </si>
  <si>
    <t>BOX_23</t>
  </si>
  <si>
    <t>BOX_24</t>
  </si>
  <si>
    <t>BOX_25</t>
  </si>
  <si>
    <t>BOX_26</t>
  </si>
  <si>
    <t>BOX_27</t>
  </si>
  <si>
    <t>BOX_28</t>
  </si>
  <si>
    <t>BOX_29</t>
  </si>
  <si>
    <t>BOX_30</t>
  </si>
  <si>
    <t>BOX_31</t>
  </si>
  <si>
    <t>BOX_32</t>
  </si>
  <si>
    <t>BOX_33</t>
  </si>
  <si>
    <t>BOX_34</t>
  </si>
  <si>
    <t>BOX_35</t>
  </si>
  <si>
    <t>BOX_36</t>
  </si>
  <si>
    <t>BOX_37</t>
  </si>
  <si>
    <t>BOX_38</t>
  </si>
  <si>
    <t>BOX_39</t>
  </si>
  <si>
    <t>BOX_40</t>
  </si>
  <si>
    <t>BOX_41</t>
  </si>
  <si>
    <t>BOX_42</t>
  </si>
  <si>
    <t>BOX_43</t>
  </si>
  <si>
    <t>SELECT CITY</t>
  </si>
  <si>
    <t>Moderate Band (scores &gt;=66)</t>
  </si>
  <si>
    <t>Toggle between category and indicator results that are displayed in the 3 buckets below</t>
  </si>
  <si>
    <t xml:space="preserve">SELECT GROUP FOR AVERAGES </t>
  </si>
  <si>
    <t>Lable_39</t>
  </si>
  <si>
    <t>Lable_40</t>
  </si>
  <si>
    <t>Lable_41</t>
  </si>
  <si>
    <t>Lable_42</t>
  </si>
  <si>
    <t>Lable_43</t>
  </si>
  <si>
    <t>NORM_ID (1=sumproduct, 3=min max set by data values, 3=min max set by user here)</t>
  </si>
  <si>
    <t/>
  </si>
  <si>
    <t>tick mark</t>
  </si>
  <si>
    <t>_tmx_y</t>
  </si>
  <si>
    <t>_tmx_z</t>
  </si>
  <si>
    <t>_tmy_x</t>
  </si>
  <si>
    <t>_tmy_z</t>
  </si>
  <si>
    <t>data points</t>
  </si>
  <si>
    <t xml:space="preserve"> &lt;- array formula!</t>
  </si>
  <si>
    <t>cage</t>
  </si>
  <si>
    <t>screen</t>
  </si>
  <si>
    <t>vect</t>
  </si>
  <si>
    <t>_tmz_y</t>
  </si>
  <si>
    <t>_tmz_x</t>
  </si>
  <si>
    <t>vectxc</t>
  </si>
  <si>
    <t>tmx x</t>
  </si>
  <si>
    <t>tick label x</t>
  </si>
  <si>
    <t>xsx</t>
  </si>
  <si>
    <t>ysx</t>
  </si>
  <si>
    <t>vectyc</t>
  </si>
  <si>
    <t>tmy y</t>
  </si>
  <si>
    <t>tick label y</t>
  </si>
  <si>
    <t>xsy</t>
  </si>
  <si>
    <t>ysy</t>
  </si>
  <si>
    <t>vectzc</t>
  </si>
  <si>
    <t xml:space="preserve">tmz z </t>
  </si>
  <si>
    <t>tick label z</t>
  </si>
  <si>
    <t>xsz</t>
  </si>
  <si>
    <t>ysz</t>
  </si>
  <si>
    <t>y</t>
  </si>
  <si>
    <t>z</t>
  </si>
  <si>
    <t>xs_cage</t>
  </si>
  <si>
    <t>ys_cage</t>
  </si>
  <si>
    <t>rotate x</t>
  </si>
  <si>
    <t>rotation matrix</t>
  </si>
  <si>
    <t>rotate y</t>
  </si>
  <si>
    <t>sin a</t>
  </si>
  <si>
    <t>rotate z</t>
  </si>
  <si>
    <t>cos a</t>
  </si>
  <si>
    <t>angles</t>
  </si>
  <si>
    <t>rot 1</t>
  </si>
  <si>
    <t>planes</t>
  </si>
  <si>
    <t>rot 2</t>
  </si>
  <si>
    <t>data normalisation</t>
  </si>
  <si>
    <t>cut plane YZ</t>
  </si>
  <si>
    <t>min</t>
  </si>
  <si>
    <t>cut plane XZ</t>
  </si>
  <si>
    <t>range</t>
  </si>
  <si>
    <t>cut plane XY</t>
  </si>
  <si>
    <t>to-scale-ratios</t>
  </si>
  <si>
    <t>tick marks</t>
  </si>
  <si>
    <t>zoom</t>
  </si>
  <si>
    <t>fract</t>
  </si>
  <si>
    <t>shift x</t>
  </si>
  <si>
    <t>ts tick mark step width</t>
  </si>
  <si>
    <t>shift y</t>
  </si>
  <si>
    <t>ft location first tick mark</t>
  </si>
  <si>
    <t>cut plane frame</t>
  </si>
  <si>
    <t>cut plane x frame</t>
  </si>
  <si>
    <t>cut plane y frame</t>
  </si>
  <si>
    <t>cut plane z frame</t>
  </si>
  <si>
    <t>tx number of tick marks</t>
  </si>
  <si>
    <t>plane 1</t>
  </si>
  <si>
    <t>plane 2</t>
  </si>
  <si>
    <t>ftn normalised location first tick mark</t>
  </si>
  <si>
    <t>tsn normalised tick mark step width</t>
  </si>
  <si>
    <t>cut planes</t>
  </si>
  <si>
    <t>cp normalised position</t>
  </si>
  <si>
    <t>norm</t>
  </si>
  <si>
    <t>cut plane x</t>
  </si>
  <si>
    <t>cut plane y</t>
  </si>
  <si>
    <t>cut plane z</t>
  </si>
  <si>
    <t>labels</t>
  </si>
  <si>
    <t>x-value</t>
  </si>
  <si>
    <t>y-value</t>
  </si>
  <si>
    <t>z-value</t>
  </si>
  <si>
    <t>4th dimension</t>
  </si>
  <si>
    <t>z drop lines</t>
  </si>
  <si>
    <t>x norm</t>
  </si>
  <si>
    <t>y norm</t>
  </si>
  <si>
    <t>z norm</t>
  </si>
  <si>
    <t>xs</t>
  </si>
  <si>
    <t>ys</t>
  </si>
  <si>
    <t>_xs_cpx</t>
  </si>
  <si>
    <t>_ys_cpx</t>
  </si>
  <si>
    <t>_xs_cpy</t>
  </si>
  <si>
    <t>_ys_cpy</t>
  </si>
  <si>
    <t>_xs_cpz</t>
  </si>
  <si>
    <t>_ys_cpz</t>
  </si>
  <si>
    <t>SELECT CITY 1</t>
  </si>
  <si>
    <t>SELECT CITY 2</t>
  </si>
  <si>
    <t>SELECT CITY 3</t>
  </si>
  <si>
    <t>SELECT CITY 4</t>
  </si>
  <si>
    <t>Lable_44</t>
  </si>
  <si>
    <t>Lable_45</t>
  </si>
  <si>
    <t>Lable_46</t>
  </si>
  <si>
    <t>Lable_47</t>
  </si>
  <si>
    <t>Lable_48</t>
  </si>
  <si>
    <t>3D_PLOT</t>
  </si>
  <si>
    <t>Indi-X</t>
  </si>
  <si>
    <t>Indi-Y</t>
  </si>
  <si>
    <t>Indi-Z</t>
  </si>
  <si>
    <t>X - SERIES</t>
  </si>
  <si>
    <t>Y - SERIES</t>
  </si>
  <si>
    <t>Z - SERIES</t>
  </si>
  <si>
    <t>Title</t>
  </si>
  <si>
    <t>Rotate around X - axis</t>
  </si>
  <si>
    <t>Rotate around Y - axis</t>
  </si>
  <si>
    <t>Rotate around Z - axis</t>
  </si>
  <si>
    <t>Justifications</t>
  </si>
  <si>
    <t>Las políticas municipales no son estables para garantizar la continuidad en materia de reciclaje inclusivo, ya que no se plantean en dichos planes o se plantean y no se ejecutan. 
Lo anterior se evidencia en la ejecución de los programas para el mejoramiento del manejo de los residuos sólidos que se establecen en los Planes de Gestión Integral de Residuos Sólidos:  el PGIRS del Distrito Federal en el periodo 2009-2014  [1] estableció  como meta  "Adecuar las plantas de selección, implementando medidas de seguridad e higiene" , lo cual a la fecha no se ha implementado. Al contrario, la Comisión de Derechos Humanos del Distrito Federal presentó una denuncia en 2016 por las precarias condiciones en las que los recicladores informales laboran en dichos sitios debido a la carencia de instalaciones seguras y de servicios básicos, además lo acusa por omisiones en el mantenimiento a la infraestructura para el almacenamiento, recolección, acopio, tratamiento y distribución de residuos sólidos urbanos (literal VII.3 de la Recomendación) y por no cumplir a cabalidad la normativa relacionada con el trabajo digno (literal VII.4 de la Recomendación)  [2]. 
Adicionalmente se observa que el PGIRS de la vigencia 2016-2020 no contempla dentro de sus líneas estratégicas de recolección selectiva y aprovechamiento mejorar las condiciones de trabajo y remuneración de los recicladores informales que ahora laboran como trabajadores "voluntarios" como tampoco algún programa de reciclaje inclusivo. [3]
Por otra parte, existen relaciones de poder entre los actores que participan en el manejo de los residuos sólidos, que obstaculizan el diseño de estrategias para un mejor manejo de los mismos y la inclusión de los recicladores. Lo anterior, debido a que existen grupos de poder que obtienen ganancias considerables por la compra y venta de los materiales reciclables gracias a la mano de obra barata de los recicladores informales [4].</t>
  </si>
  <si>
    <t xml:space="preserve">En los últimos años no se han llevado a cabo censos para identificar la situación socio económica de los recicladores informales [1]. El último censo realizado específicamente para la población de recicladores se llevó a cabo aproximadamente en 1994 [2].
Esta evaluación es una de las líneas de acción establecidas en el Programa de Derechos Humanos del Distrito Federal el cual indica que la Subsecretaría de Programas Delegacionales y Reordenamiento de la Vía Pública, la Dirección de Estudios y Estadísticas del Trabajo y las Delegaciones del Distrito Federal deben llevar a cabo un censo con información desagregada por sexo y edad, profesión u ocupación, para conocer con precisión cuántas personas laboran en la vía pública (numeral 1102); así mismo estas instituciones deben realizar un censo de los trabajadores del sector informal (numeral 1115)  [3], sin embargo, esta la linea de acción no se llevó a cabo.
</t>
  </si>
  <si>
    <t>En el Distrito Federal no existen procesos inclusivos para la licitación de las actividades de reciclaje. La Ley precisa la prohibición de la prestación por parte de un tercero no autorizado "bajo cualquier figura, agrupación, organización, razón social o a título individual" y establece requisitos mínimos en los sistemas de recolección para que se lleven a cabo estas actividades, las cuales no evidencian algún proceso transitorio para la formalización de los recicladores[1].
Por otra parte, pese a que existen instrumentos para hacer transparentes los procesos de licitación, como los portales electrónicos públicos [2] en la Ciudad de México el servicio de limpia* es prestado por los sindicatos de trabajadores, quienes tienen el control del servicio con los vehículos y equipos de propiedad del Distrito Federal [3] y usan sus influencias y poder para establecer limitaciones de modo que alguien distinto a los mismos no pueda prestar el servicio  [4]. En la ciudad se ha tratado de implementar esquemas distintos de recolección con el ánimo de mitigar las relaciones de poder que han establecido los conductores de los vehículos del servicio, sin embargo éstas actividades no han tenido éxito debido a que existe una dependencia de los usuarios por entregar los residuos a los vehículos recolectores [5].</t>
  </si>
  <si>
    <t>Existen programas de capacitación en línea ofrecidos por el Gobierno Federal para las áreas de las municipalidades encargadas del manejo de residuos sólidos. Estas capacitaciones se enfocan en aspectos técnicos del servicio como sistemas de recolección o disposición final [1] .</t>
  </si>
  <si>
    <t xml:space="preserve">Actualmente, pese a que en el Programa Nacional para la Prevención y Gestión Integral de Residuos (2009-2012) se reconoce que el sector informal es un actor principal en el sistema de reciclaje y que en algunos casos asume responsabilidades de las autoridades municipales  [1],  en la Ciudad de México los recicladores informales  son vinculados al servicio de limpia como "voluntarios" y realizan labores de recolección en las viviendas, barrido de las vías y separación de residuos en plantas de separación y clasificación sin remuneración, sin asignación de herramientas de trabajo y sin elementos de protección personal y, en el caso de la recolección, en condiciones de trabajo que ponen en riesgo la integridad física de los trabajadores [2]. 
Adicionalmente el último PGIRS planteado para la vigencia 2016-2020 no plantea  acciones afirmativas a favor de la población de recicladores[3].
A la fecha, ninguna de las Instituciones Gubernamentales ha tomado liderazgo para ejecutar acciones en favor de la población recicladora, aunque es un tema muy recurrente en los municipios, lo anterior se debe a la complejidad del tema y a la ausencia de un responsable directo debido a que en este tema deben influir varias instituciones como la Secretaría de Ambiente, la Secretaría de Desarrollo Social y la Secretaría de Salud [4]. </t>
  </si>
  <si>
    <t xml:space="preserve">Sí existen incentivos para que los ciudadanos lleven a cabo la separación en la fuente. La Secretaría de Medio Ambiente del Distrito Federal cuenta con un programa denominado "Mercado de Trueque" que tiene por objetivo fomentar la separación en la fuente de los materiales reciclables a través del intercambio de residuos reciclables, papel y cartón, pet, vidrio, tetra pack, aluminio y residuos electrónicos, por productos agrícolas cultivados en el Distrito Federal [1].  El programa ha ido mejorando la recolección de residuos reciclables, cuando inició en el año 2012 y entre los meses de marzo y diciembre del mismo año  se recolectaron 20,3 toneladas de residuos, mientras que en el año 2016 entre enero y agosto se ha conseguido recolectar 71 toneladas [2].
Sin embargo, vale la pena señalar que, para algunos autores, estos programas tienen un impacto muy leve  una vez se compara la cantidad de residuos generados vs los recolectados y  la cantidad de personas que participan en estos programas [3] [4] [5]. 
</t>
  </si>
  <si>
    <t xml:space="preserve">Se evidencia que el municipio evalúa la efectividad de los programas de reciclaje. La Secretaría del Medio Ambiente del Distrito Federal emite informes en los cuales evidencia la trazabilidad de los proyectos, especialmente en los que respectan a separación en la fuente establece cuánto se logró recolectar separado y cuántas personas participan [1].
El municipio cuenta con recolección de información de las cantidades de materiales reciclables que se recuperan en las plantas de selección y los recopila en el Inventario de Residuos Sólidos, elaborado por la Secretaria de Ambiente del Distrito Federal [2].
Sin embargo el municipio no  tiene un sitio web dedicado a la gestión integral de residuos sólidos con integración de los recicladores informales, no recopila datos sobre la gestión integral de residuos sólidos con un componente de los recicladores informales [2] y tampoco cuenta con información sobre la integración de los recicladores en el ámbito nacional [3].
</t>
  </si>
  <si>
    <t>No existen campañas de comunicación en el Distrito Federal para promover el reciclaje inclusivo [1]. La opinión sobre los recicladores de base la han llevado a cabo los propios usuarios a partir del día a día de la operación del servicio, sobre los recicladores "voluntarios" que recogen los residuos en el camión hay una relación de respeto y tolerancia, por lo cual algunas personas incluso entregan propina; mientras que los recicladores en las plantas de selección y separación son desconocidos para los habitantes [2].
Sin embargo, sí existen programas de formación enfocados a los usuarios del servicio, en los cuales se promueve la reducción de residuos y la separación en la fuente. Actualmente la Secretaría del Medio Ambiente de la Ciudad de México cuenta con los siguientes programas de formación a los usuarios: (i) "Sin moño y sin bolsita, por favor", con el cual se promueve el desuso de empaques y la separación de los residuos orgánicos de los inorgánicos [3]; (ii) "Ponte pilas con tu ciudad" con el cual se pretende recolectar los residuos de pilas que se dirigen al relleno sanitario y; (iii) "Reciclatron" mediante el cual se recolectan residuos de aparatos eléctricos y electrónicos. [4]</t>
  </si>
  <si>
    <t xml:space="preserve">Existe regulación para el manejo de residuos peligrosos y especiales [1] [2], la cual se aplica y se verifica su cumplimiento mediante autorizaciones y planes de manejo a sus generadores[1].  Estos residuos tienen un manejo diferente a los residuos ordinarios y no se permite que lleguen a los rellenos sanitarios. La regulación de este tipo de residuos puede verificarse en la Ley General Para La Prevención Y Gestión Integral De Los Residuos Sólidos [3] y su respectivo Reglamento [4]. Estas normas son de nivel nacional ya que el cumplimiento y vigilancia son responsabilidad del Estado a través de las Entidades Federativas [1] [2].
Sin embargo, si bien  existe regulación, el control se aplica principalmente a los grandes generadores de este tipo de residuos y no sobre los residuos generados en las viviendas [1], es decir que los residuos producidos por las mismas terminan mezclados en los recipientes que los usuarios entregan al servicio ordinario y que los recicladores informales reciben para separar . Para éstos últimos existen programas para la recolección, específicamente de residuos de aparatos electrónicos y eléctricos (RAEE) y pilas. [3] 
</t>
  </si>
  <si>
    <t>No existen agrupaciones de recicladores conformadas como asociaciones formales o cooperativas [1]. Existen grupos informales de recicladores, de los cuales se identificaron principalmente 3: El frente Único de Recicladores informales liderado por Pablo Téllez, la Unión de Recicladores informales del Distrito Federal Rafael Gutiérrez liderado por Guillermina de la Torre y  Asociación de Selectores de los Desechos Sólidos de la Metrópoli liderado por Luis Rojas.
Estos grupos de recicladores se constituyen principalmente con fines políticos con el fin de lograr votos para un partido político u otro [1] [2], en realidad existen porque hay un líder que cuenta con el dominio de una planta o un terreno y él decide quién trabaja, cuánto gana o a quién se vende [1]. En la asociación liderada por Pablo Téllez puede ser algo distinto ya que el reciclador informal puede vender el material a quiénes desee, pero la asociación liderada por Guillermina de la Torre paga un salario mínimo (sin seguridad social o los aportes de Ley) y con exigencia de cantidades mínimas de material [1]</t>
  </si>
  <si>
    <t>Los grupos informales de recicladores presentan un bajo nivel de inclusión: no cuentan con estatutos internos, no reportan estados contables, eventualmente tienen reuniones pero no son regulares ni abiertas y no tienen algún programa con enfoque de género [1] [2].
En los grupos de recicladores hay un origen de manipulación del líder hacía los recicladores de base y se establece una relación personal entre los mismos [1].</t>
  </si>
  <si>
    <t>Los líderes de las agrupaciones de recicladores participan en espacios de interlocución a nivel municipal, nacional e internacional. Los líderes a nivel nacional participan y dan opiniones en medios de comunicación y en partidos políticos [1]. Así mismo, se evidencia que líderes como Pablo Téllez del Frente Único de Recicladores informales participa en eventos internacionales relativos a las problemáticas de los recicladores [2].</t>
  </si>
  <si>
    <t>No existen espacios coordinados. Desde las entidades gubernamentales no se han propiciado espacios para la coordinación de los actores, principalmente porque ninguna de las instancias ha liderado el tema debido a que se trata de un tema multisectorial (Desarrollo Social, Salud y Ambiente) [1] . En contraste, existen diferencias entre los distintos actores de la cadena e incluso las empresas prestadoras de los servicios de manejo de residuos sólidos [2].</t>
  </si>
  <si>
    <t>Existe un nivel medio de representación de las mujeres. Guillermina de la Torre es la líder del Unión de Recicladores informales del Distrito Federal Rafael Gutiérrez Moreno [1], sin embargo en los grupos de recicladores no hay metas de involucramiento de mujeres  [2] y, dada la inexistencia de los estatutos, no hay lineamientos para la promoción de la participación de las mujeres. Por último, se desconoce la proporción entre hombres y mujeres en las organizaciones de recicladores.</t>
  </si>
  <si>
    <t>No existen organizaciones de recicladores informales de carácter comercial (cooperativas y microempresas). Los grupos de recicladores no se encuentran conformados como cooperativas o microempresas.  Las relaciones comerciales  se realizan entre los líderes de los grupos  y los intermediarios o directamente con las industrias [1].</t>
  </si>
  <si>
    <t>Hay un nivel de participación bajo de los recicladores en la cadena de valor del reciclaje. Las organizaciones no participan en un esquema formal de servicio de recolección, transporte o acopio.  Si bien algunos de los materiales son vendidos  por parte de los  líderes directamente a la industria, teniendo en cuenta que los beneficios que obtienen los líderes no se trasladan a los recicladores de base, no se considera que el criterio respecto de los mecanismos para la negociación de precios con la industria transformadora directamente se cumpla. [1,2]</t>
  </si>
  <si>
    <t>En el momento la ciudad de México no  cuenta con organizaciones comerciales de recicladores de base [1].</t>
  </si>
  <si>
    <t>Los recicladores obtienen los materiales en las vías públicas o en las plantas de selección, las cuales consisten en bodegas donde se realiza la clasificación de materiales.  Si bien los recicladores cuentan con la autorización de parte del Distrito para laborar como voluntarios, no se trata de un contrato con la municipalidad. Sumado a lo anterior las condiciones de trabajo atentan contra la integridad de los recicladores informales, no hay remuneración por la labor, ni se entregan elementos de protección personal y equipo de trabajo [1].</t>
  </si>
  <si>
    <t>Existe recolección diferenciada en 6.497 unidades habitacionales y establecimientos [1]. Esta recolección incluye a los trabajadores "voluntarios", es decir que no hay un esquema formal de vinculación a los recicladores de base.  Por otra parte, algunos autores aseguran que esta recolección diferenciada no es exitosa debido a que la coordinación del programa no concibió una reestructuración del esquema regular de recolección de residuos y se pretendió únicamente que con campañas informativas a los usuarios y el establecimiento de "incentivos" a los recolectores voluntarios y no voluntarios de entregar los residuos separados se lograría conseguir los residuos separados [2]</t>
  </si>
  <si>
    <t>Los recicladores de base cuentan con espacios para llevar a cabo el almacenamiento y separación del material recolectado.
La instalación depende de dónde se lleva a cabo la recuperación: antes de pasar a la estación de transferencia la recuperación se realiza sobre los camiones recolectores y en la vía pública, después de la estación de transferencia los residuos se separan en plantas de selección que son espacios techados dotados, en algunos casos, con bandas transportadoras o mesas, allí  los vehículos recolectores llevan los residuos mezclados y los recicladores los separan [1] [2] [3].</t>
  </si>
  <si>
    <t>El nivel técnico de clasificación es bajo. Los recicladores informales cuentan con espacios denominados plantas de selección, las cuales consisten en bodegas donde se realiza la clasificación del material.  Sin embargo los procesos en este lugar son precarios, ya que se llevan a cabo de manera manual sin condiciones sanitarias, ni elementos de protección personal. [1]</t>
  </si>
  <si>
    <t>En el caso de los recicladores informales que trabajan en las plantas de separación, se observa que un líder del grupo de recicladores puede recibir 8 veces lo que le paga a un reciclador informal [1]. 
En cada eslabón, en el caso del PET una persona que lo vende en un centro de acopio puede recibir 0,22 USD por kilo, mientras que el centro de acopio lo vende en 0,28 USD por kilo. [2]</t>
  </si>
  <si>
    <t xml:space="preserve">En el país existen plantas industriales para el papel, cartón, vidrio, plástico y metales. En el reciclado de papel y cartón se  encuentran más de 15 industrias que pueden recuperar el papel, de hecho el país debe realizar importaciones de papel para incorporar en sus procesos [1] ; en el reciclaje del vidrio se encuentra la industria Vitro que cuenta con ocho centros de reciclaje en Aguascalientes, Baja California Sur, Baja California Norte, Colima, Jalisco, Nayarit, Sonora, Sinaloa y Zacatecas [2]; en el caso del plástico existen 15 industrias recicladoras de PET que durante el 2015 reciclaron el 60% del material que se recicla (el restante se exporta) [3]; por último para los metales en el país existen más de 51 empresas que realizan actividades de siderurgia , en cuya producción incorporan un 37% del total producido [4]. </t>
  </si>
  <si>
    <t>No se permite la contratación con agrupaciones de recicladores. Lo anterior, teniendo en cuenta que las actividades de limpia son llevadas a cabo de la siguiente forma: la recolección es llevada a cabo por la Secretaría de Obras Públicas del Distrito Federal en las vías primarias y por  delegaciones en vías secundarias y áreas comunes, el barrido por parte de la Dirección General de Servicios Urbanos y algunas delegaciones y, las plantas de selección y tratamiento son administradas por la Secretaría de Obras Públicas del Distrito Federal y la Dirección General de Servicios Urbanos. En estas dichas instituciones han subordinado a los recicladores informales como trabajadores "voluntarios". [1]</t>
  </si>
  <si>
    <t>Los recicladores no tienen un salario fijo por las actividades realizadas, su principal fuente de ingreso son las propinas otorgadas por quienes les entregan los materiales y por  la venta  del material recuperado [1].</t>
  </si>
  <si>
    <t>No existen programas formales de diversificación de los servicios prestados por los recicladores. A los recicladores se les ha asociado al servicio de limpieza como voluntarios en actividades de recolección, barrido y separación de residuos; sin embargo estas actividades las realizan bajo esquemas informales, sin remuneración, sin equipos o herramientas [1].</t>
  </si>
  <si>
    <t xml:space="preserve">No hay claridad entre cuánto puede ganar un reciclador informal. Usualmente los recicladores indican que ganan al menos un salario mínimo, pero puede ser menos [1]. Otras fuentes aseguran que pueden ser incluso 11 dólares al mes [2] e incluso 40 dólares al día [3]. </t>
  </si>
  <si>
    <t>Existe el trabajo infantil en la cadena de reciclaje. Sin embargo, el trabajo infantil en el reciclaje informal ha disminuido considerablemente en los últimos 40 años gracias a que el gobierno ha realizado programas extensivos para evitarlo [1]. Además de las regulaciones que ya se han establecido, se requiere mayor vigilancia para eliminarlo totalmente [1] [2].</t>
  </si>
  <si>
    <t>El nivel de enfoque de género en las condiciones de trabajo es nulo. Las instalaciones carecen de baños, por tanto no existe diferenciación de estas instalaciones para hombres y mujeres [1]; no se evidenciaron: medidas para evitar el acoso sexual, programas de capacitación en relación con el tema de género, medidas de protección para mujeres embarazadas o en lactancia ni programas de guarderías [1].</t>
  </si>
  <si>
    <t>Actualmente en la Ciudad de México no existen vertederos a cielo abierto ya que los mismos son prohibidos por la Norma Mexicana Oficial 083 de 2003 emitida por SEMARNAT [1]. Sin embargo, a nivel nacional esta norma no provee alternativas para los recicladores que se encuentren laborando en dichos lugares [1] [2]. En noviembre de 2012 el vertedero Bordo Poniente de la Ciudad de México fue cerrado de manera arbitraría sin contar con la opinión de los recicladores informales, los cuales optaron por desplazarse a otros vertederos fuera de la ciudad [3]. 
Sumado a lo anterior, la modificación de la Norma 083 prevé la prohibición del trabajo de los recicladores informales en el frente de trabajo en el relleno sanitario y no otorga alternativas para los mismos [4].</t>
  </si>
  <si>
    <t>Los recicladores informales no tienen acceso a herramientas de trabajo adecuada, ya que aquellos que son vinculados como voluntarios*. En el servicio de limpia realizan las actividades sin equipos, sin capacitación y en bajas condiciones de higiene y seguridad[1]. En la etapa de recolección los recicladores llevan a cabo la separación sobre los vehículos de recolección y en la vía pública [2]; en el caso de las plantas de separación, se observa por ejemplo que en el caso de la ubicada en Cuahtémoc las condiciones son precarias, las plantas no cuentan con instalaciones eléctricas ni sanitarias [1] y; en el caso de los voluntarios que realizan el barrido no se les proporciona carro para depositar los residuos, uniforme o elementos de protección personal, los elementos usados son proporcionados por ellos mismos [1], cuando desean adquirir el vehículo y herramientas de barrido deben pagar por estos implementos cerca de 250 pesos [3] .
* Personas vinculadas de manera informal a la prestación del servicio de limpia, cuya retribución son las propinas otorgadas por los habitantes y la venta del material reciclable que recuperan en los desechos. Estas personas no son reconocidas como empleados del Distrito, no cuentan con contrato laboral, remuneración o seguridad social, tampoco se les otorga herramientas de trabajo [4]</t>
  </si>
  <si>
    <t xml:space="preserve">El marco nacional  de manejo de residuos sólidos no contempla la inclusión de actores informales. Este marco se encuentra contenido en Ley General Para La Prevención Y Gestión Integral De Los Residuos Sólidos (reformada 08 veces, siendo la última el 22/05/2015). Si bien esta norma tiene dentro de sus objetivos de Ley  fomentar la valorización de residuos y el desarrollo de subproductos (numeral VII del artículo 1)  y asigna responsabilidades a las municipalidades y entidades federativas el establecimiento de programas para mejorar el desempeño ambiental de las cadenas productivas que intervienen en las actividades de reciclaje, en ninguno de los apartados se hace mención de la participación o el fomento de la misma de recicladores informales [1]. 
Por otra parte, en relación con la participación la norma considera en el artículo 10 (literal I) y el Capítulo III la intervención de actores de distintos sectores sociales, sin embargo la participación de los actores informales no es explícita [1].
El reglamento a esta Ley [2], como es de esperarse, tampoco incluye o  menciona en alguna de sus secciones las actividades llevadas a cabo por los recicladores informales.
</t>
  </si>
  <si>
    <t xml:space="preserve">El marco de la gestión de residuos en el Distrito Federal  corresponde a la Ley de Residuos Sólidos del Distrito Federal (reformada por última vez en noviembre de 2015) [1], en esta norma se puede observar, que contrario  a dar un trato incluyente a la población informal se prohíbe la actividad de reciclar informalmente, definido esto en el literal V del artículo 25 de la Ley.
En concordancia con lo anterior  el Reglamento de esta Ley [2]  establece sanciones de carácter amonestativo y pecuniario por llevar a cabo esta actividad en el  literal II del artículo 101.
Aún así, la norma indica que la Secretaría de Medio Ambiente del Distrito Federal, la Secretaría de Obras y Servicios y las Delegaciones deben adoptar medidas para el tratamiento separado de los residuos y en general que se reduzca la cantidad de residuos sólidos que se disponen en los rellenos sanitarios (artículo 11) [1]
</t>
  </si>
  <si>
    <t>Existe presupuesto para la Gestión Integral de Residuos Sólidos (GIRS) que contempla programas para incentivar el reciclaje, pero no contempla el reciclaje inclusivo. El presupuesto para GIRS no está disponible públicamente.
Los programas ejecutados por la Secretaría de Medio Ambiente del Distrito Federal se han enfocado en: (i) educación ambiental a través de los programas "Mercado de Trueque", "Reciclatron", "Ponte pilas con tu ciudad" y la elaboración de una guía para la reducción de empaques; (ii) el fomento al manejo adecuado de los residuos por parte de los generadores de residuos especiales a través de la aprobación de los  "Planes de Manejo de Residuos Especiales";  (iii) la compilación de información y desarrollo de estrategias con el Inventario de Residuos Sólidos y la actualización del Plan de Gestión Integral de Residuos Sólidos y; (iv) el mejoramiento de la recolección a través de esquemas de recolección contenerizada [1]. De igual forma, dentro de los programas con presupuesto en el marco del Plan de la Gestión Integral de Residuos Sólidos no contemplan acciones afirmativas hacia la población recicladora [2]. 
Desde la Secretaría del Medio Ambiente y Recursos Naturales del país, se otorgan dineros a las municipalidades para la implementación de plantas de selección de residuos, las cuales se espera que sean operadas por recicladores informales, sin embargo normalmente estos programas no son exitosos [3]. Por otra parte, los lineamientos de estos proyectos no contemplan incentivos para que las municipalidades incluyan a la población recicladora, es decir que estas plantas podrían ser operadas por algún actor privado [4].  En el Distrito Federal específicamente, se observa únicamente la asignación de un  rubro de 1,6 millones de pesos que se destinaron a la compra de contenedores durante el año 2012 [5].</t>
  </si>
  <si>
    <t>No existe un reconocimiento legal de la ocupación de reciclador base a nivel nacional.  A nivel municipal, la actividad se encuentra prohibida, bajo Ley de Residuos Sólidos del Distrito Federal de 2003, en el literal V del artículo 25 de la Ley [1].  De otra parte, el proyecto de modificación de la Norma Oficial Mexicana 083 de 2003 referente a los requerimientos de los sitios de disposición final, plantea la prohibición de la selección de residuos en los sitios de disposición final [2], ya que es una actividad que pone en riesgo la integridad de las personas que la realizan y dificulta la operación del relleno sanitario [3].
Sin embargo, los recicladores se han asociado al servicio de limpia* como trabajadores "voluntarios". No obstante, las condiciones de trabajo bajo esta figura no cumplen con las obligaciones mínimas que debe tener un empleador con sus trabajadores, teniendo en cuenta que no se les entrega uniforme, no reciben pago de salario y el sitio de trabajo los hace altamente vulnerables a sufrir lesiones físicas y adquirir enfermedades [4].
Por último, existen iniciativas por parte de empresas privadas para incluir a la población recicladora en proyectos encaminados a la recolección selectiva y la separación de residuos, debido a que en la legislación laboral no se encuentra establecido el trabajo del reciclador, y se ven limitados a llevar a cabo este tipo de proyectos [5]
*Servicio de limpia hace referencia a los servicios prestados por el Gobierno Federal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[6]</t>
  </si>
  <si>
    <t>No existe reconocimiento de los recicladores de base a nivel municipal. Lo anterior, teniendo en cuenta que en la Ley de Residuos Sólidos del Distrito Federal no se encuentra explícitamente la participación de los recicladores informales en las actividades del servicio de limpia* (definidas en el artículo 36). De acuerdo con la norma, estas actividades sólo pueden ser prestadas por las organizaciones autorizadas por la Secretaría, y  precisa la prohibición de que estas  actividades sean prestadas por un tercero "bajo cualquier figura, agrupación, organización, razón social o a título individual" [1]. 
Adicionalmente, para la recolección de residuos, la norma establece exigencias sobre los vehículos a ser usados (artículo 39) y exige Licencia Ambiental Única del Distrito Federal y un plan de manejo (artículo 42). Dicha autorización se materializa en el Aviso  emitido por la Secretaría de Ambiente del 8 de julio de 2015 en el cual se definen las obligaciones para llevar a cabo cualquier actividad del manejo de residuos sólidos [2].
Existen además criterios y especificaciones técnicas para llevar a cabo las actividades relacionadas con la separación, clasificación recolección selectiva y almacenamiento de los residuos [3] por parte de la Secretaría. Dentro de estas especificaciones, se establece que la separación primaria** de los residuos por parte del generador en la fuente es obligatoria y debe realizarse de acuerdo con las especificaciones del artículo 6. La separación secundaria***, en cambio, puede ser llevada a cabo por la fuente generadora o en plantas de selección. Es decir que, excepto en el caso en que los recicladores informales lleven a cabo las actividades en una planta de separación, su actividad no se encuentra dentro de los criterios establecidos por la Secretaría.
Con respecto a la labor en sí, no se reconoce a los recicladores como prestadores del servicio, toda vez que se les asocia como un servicio voluntario, lo cual los continúa involucrando en un esquema de informalidad toda vez que no existen pagos, ni cubrimiento en seguridad social, prevención de riesgos laborales, entre otros y su remuneración está sujeta a las propinas que dan las viviendas y lo que pueden extraer de los residuos [4].</t>
  </si>
  <si>
    <t xml:space="preserve">La normativa o estrategia no ha involucrado a los recicladores de base. Los Programas de Gestión de Residuos Sólidos son elaborados principalmente por la Secretaría del Medio Ambiente del Distrito Federal, con el apoyo de la Secretaría de Obras Públicas y la Dirección General de Servicios Urbanos, pero no existe un proceso participativo en el que puedan participar u opinar los recicladores de base [1].
Para la emisión de otra normativa, como la modificación a la Norma Mexicana Oficial 083 en relación con los rellenos sanitarios, se realizan consultas a los empresarios que prestan servicios de recolección, transporte y disposición final de residuos, así como a representantes de delegaciones [2] [3]. Aunque se exprese la prohibición de extraer residuos en los sitios de disposición final,  no se considera que los recicladores informales tengan injerencia sobre este tipo de normas, ya que las mismas están orientadas a definir criterios técnicos sobre la construcción y operación de sitios de disposición final, lo cual es distinto a sus actividades [3] </t>
  </si>
  <si>
    <t>Justification</t>
  </si>
  <si>
    <t>Lable_49</t>
  </si>
  <si>
    <t>Possible Scores</t>
  </si>
  <si>
    <t>Definition/Question</t>
  </si>
  <si>
    <t>SELECCIONE SERIE</t>
  </si>
  <si>
    <t>Inclusive Recycling: Interactive Excel Model</t>
  </si>
  <si>
    <t>EXPLORAR INDICADORES</t>
  </si>
  <si>
    <t>EXPLORAR CIUDADES</t>
  </si>
  <si>
    <t>DATOS</t>
  </si>
  <si>
    <t>MAPA</t>
  </si>
  <si>
    <t>RESUMEN</t>
  </si>
  <si>
    <t>RANKING DE INDICADORES</t>
  </si>
  <si>
    <t>PERFIL DE CIUDAD</t>
  </si>
  <si>
    <t>COMPARAR CIUDADES</t>
  </si>
  <si>
    <t>PUNTAJE</t>
  </si>
  <si>
    <t>PONDERACIONES</t>
  </si>
  <si>
    <t>DESTACADO DE LAS CIUDADES</t>
  </si>
  <si>
    <t>DESTACADO DE LOS GRUPOS</t>
  </si>
  <si>
    <t>RESTO</t>
  </si>
  <si>
    <t>SELECCIONE CIUDAD</t>
  </si>
  <si>
    <t xml:space="preserve">SELECCIONE SERIE X </t>
  </si>
  <si>
    <t>ETIQUETAS</t>
  </si>
  <si>
    <t>LABELS</t>
  </si>
  <si>
    <t>Ranking</t>
  </si>
  <si>
    <t>Ciudad</t>
  </si>
  <si>
    <t>Puntaje / 100</t>
  </si>
  <si>
    <t>Visualizar puntaje</t>
  </si>
  <si>
    <t>Fuente</t>
  </si>
  <si>
    <t>Unidad</t>
  </si>
  <si>
    <t>Puntajes posibles</t>
  </si>
  <si>
    <t>SELECCIONE CIUDAD 1</t>
  </si>
  <si>
    <t>SELECCIONE CIUDAD 2</t>
  </si>
  <si>
    <t>SELECCIONE CIUDAD 3</t>
  </si>
  <si>
    <t>SELECCIONE CIUDAD 4</t>
  </si>
  <si>
    <t>SELCCIONE GRUPO PARA PROMEDIOS</t>
  </si>
  <si>
    <t>Seleccione rango del indicador</t>
  </si>
  <si>
    <t>Indicadores</t>
  </si>
  <si>
    <t>Unidades</t>
  </si>
  <si>
    <t>Todas las regiones/Grupos</t>
  </si>
  <si>
    <t>Alto ingreso</t>
  </si>
  <si>
    <t>Medio ingreso</t>
  </si>
  <si>
    <t>Medio-bajo ingreso</t>
  </si>
  <si>
    <t>Bajo ingreso</t>
  </si>
  <si>
    <t>Preparado para:</t>
  </si>
  <si>
    <t>Puntaje normalizado 0-100, donde 100 = mejor</t>
  </si>
  <si>
    <t>Pantalla completa</t>
  </si>
  <si>
    <t>Promedio</t>
  </si>
  <si>
    <t>Puntaje 0-25</t>
  </si>
  <si>
    <t>Puntaje 26-50</t>
  </si>
  <si>
    <t>Puntaje 51-75</t>
  </si>
  <si>
    <t>Puntaje 76-100</t>
  </si>
  <si>
    <t>Volver arriba</t>
  </si>
  <si>
    <t>Banda alta (puntaje &gt;=66)</t>
  </si>
  <si>
    <t>Banda intermedia (puntaje &gt;=66)</t>
  </si>
  <si>
    <t>Banda baja (puntaje &lt;=33)</t>
  </si>
  <si>
    <t>Serie X</t>
  </si>
  <si>
    <t>Serie Y</t>
  </si>
  <si>
    <t>Serie Z</t>
  </si>
  <si>
    <t>Reciclaje Inclusivo: Modelo Interactivo de Excel</t>
  </si>
  <si>
    <t>&lt;ninguno&gt;</t>
  </si>
  <si>
    <t>Ponderación de EIU</t>
  </si>
  <si>
    <t>Ponderación equitativa</t>
  </si>
  <si>
    <t>Definición/Pregunta</t>
  </si>
  <si>
    <t>Ponderación</t>
  </si>
  <si>
    <t>Metrics with higher numbers will be weighted more heavily, while setting a number to zero will completely remove the influence of a category, indicator or subindicator.</t>
  </si>
  <si>
    <t>Extra#2</t>
  </si>
  <si>
    <t>Extra#3</t>
  </si>
  <si>
    <t>Extra#4</t>
  </si>
  <si>
    <t>Extra#5</t>
  </si>
  <si>
    <t>Extra#6</t>
  </si>
  <si>
    <t>Extra#7</t>
  </si>
  <si>
    <t>Extra#8</t>
  </si>
  <si>
    <t>Extra#9</t>
  </si>
  <si>
    <t>Cambie la ponderación editando los números abajo. Mayores números significan mayor importancia; poniendo "0" elimina la influencia de esa categoría, indicador o subindicador.</t>
  </si>
  <si>
    <t>* Suma ponderada de puntaje por categoría en comparación con el puntaje mas alto, mas bajo y el promedio de las ciudades evaluadas.</t>
  </si>
  <si>
    <t>Seleccione un nivel de graduación para su monitor.</t>
  </si>
  <si>
    <t>Para maximizar la visualización, seleccione "Pantalla completa".</t>
  </si>
  <si>
    <t>Oprima "Escape" para volver al la visualización normal.</t>
  </si>
  <si>
    <t>Seleccione del mapa o seleccione de lo destacado por ciudad</t>
  </si>
  <si>
    <t>El perfil de ponderación ha sido cambiado del default de EIU</t>
  </si>
  <si>
    <t>Categoría e indicador están visualizados en 3 áreas:</t>
  </si>
  <si>
    <t>“=”  denomina empate en el puntaje</t>
  </si>
  <si>
    <r>
      <t>La gr</t>
    </r>
    <r>
      <rPr>
        <sz val="11"/>
        <rFont val="Calibri"/>
        <family val="2"/>
      </rPr>
      <t>á</t>
    </r>
    <r>
      <rPr>
        <sz val="11"/>
        <rFont val="Calibri"/>
        <family val="2"/>
        <scheme val="minor"/>
      </rPr>
      <t>fica muestra los datos para dos series simultáneamente (en el eje x e y). Correlación (x,y) muestra la correlación lineal de dos series donde -1=correlación perfecta negativa, 0= no hay correlación y 1= correlación perfecta positiva.</t>
    </r>
  </si>
  <si>
    <r>
      <t>GR</t>
    </r>
    <r>
      <rPr>
        <sz val="11"/>
        <color theme="1"/>
        <rFont val="Calibri"/>
        <family val="2"/>
      </rPr>
      <t>Á</t>
    </r>
    <r>
      <rPr>
        <sz val="11"/>
        <color theme="1"/>
        <rFont val="Calibri"/>
        <family val="2"/>
        <scheme val="minor"/>
      </rPr>
      <t>FICO 3D</t>
    </r>
  </si>
  <si>
    <r>
      <t>GR</t>
    </r>
    <r>
      <rPr>
        <sz val="11"/>
        <color theme="1"/>
        <rFont val="Calibri"/>
        <family val="2"/>
      </rPr>
      <t>Á</t>
    </r>
    <r>
      <rPr>
        <sz val="11"/>
        <color theme="1"/>
        <rFont val="Calibri"/>
        <family val="2"/>
        <scheme val="minor"/>
      </rPr>
      <t>FICAS</t>
    </r>
  </si>
  <si>
    <r>
      <t>PONDERACI</t>
    </r>
    <r>
      <rPr>
        <sz val="11"/>
        <color theme="1"/>
        <rFont val="Calibri"/>
        <family val="2"/>
      </rPr>
      <t>Ó</t>
    </r>
    <r>
      <rPr>
        <sz val="11"/>
        <color theme="1"/>
        <rFont val="Calibri"/>
        <family val="2"/>
        <scheme val="minor"/>
      </rPr>
      <t>N</t>
    </r>
  </si>
  <si>
    <t>DISTRIBUCIÓN</t>
  </si>
  <si>
    <r>
      <t>SELECCIONE PERFIL DE PONDERACI</t>
    </r>
    <r>
      <rPr>
        <sz val="11"/>
        <color theme="1"/>
        <rFont val="Calibri"/>
        <family val="2"/>
      </rPr>
      <t>Ó</t>
    </r>
    <r>
      <rPr>
        <sz val="11"/>
        <color theme="1"/>
        <rFont val="Calibri"/>
        <family val="2"/>
        <scheme val="minor"/>
      </rPr>
      <t>N</t>
    </r>
  </si>
  <si>
    <t>Active Macros para plena funcionalidad</t>
  </si>
  <si>
    <t>Confidencial - Solo para distribución interna</t>
  </si>
  <si>
    <t>Definicion de la ciudad</t>
  </si>
  <si>
    <t>Definicion</t>
  </si>
  <si>
    <t>A4</t>
  </si>
  <si>
    <t>Asunción se encuentra ubicada a la margen izquierda del rio Paraguay, frente a la confluencia del mismo con el rio Pilcomayo. La ciudad, conformada por 6 distritos y 68 barrios, limita al noroeste con la ciudad de Mariano Roque Alonso, al este con las ciudades de Luque y Fernando de la Mora y al sur con las ciudades de Lambaré y Villa Elisa. Asunción es un municipio autónomo, no adscrita a ningún departamento.</t>
  </si>
  <si>
    <t>La ciudad de Bogotá Distrito Capital, es la capital de Colombia, se encuentra ubicada en el centro del país sobre la cordillera oriental y cuenta con una población aproximada de 6,7 millones. Comprende 20 localidades: Usaquén, Chapinero, Santa Fe, San Cristóbal, Usme, Tunjuelito, Bosa, Kennedy, Fontibón, Engativá, Suba, Barrios Unidos, Teusaquillo, Los Mártires, Antonio Nariño, Puente Aranda, La Candelaria, Rafael Uribe , Ciudad Bolívar y Sumapaz.</t>
  </si>
  <si>
    <t>La Ciudad Autónoma de Buenos Aires es la Capital Federal de la República Argentina (sede del Gobierno Federal), tiene un régimen de gobierno autónomo desde el año 1996. Se divide político administrativamente en 15 comunas (48 barrios). 
La ciudad tiene una superficie apenas superior a los 200 km2, cuenta con aproximadamente 3 millones de habitantes, pero es el centro de la Área Metropolitana de Buenos Aires, con la consiguiente migración diaria de personas desde los municipios de la provincia de Buenos Aires.</t>
  </si>
  <si>
    <t>La Ciudad de Belice es la ciudad más grande de la nación centroamericana de Belice. La Ciudad de Belice tiene 70.800 habitantes. Se encuentra en la desembocadura del rio Belice  en la costa del Caribe. la Ciudad de Belice se extiende mas allá de la Milla 8 en la Autopista del Oeste y Milla 13 o 14 en el norte, en el puente Haulover. La ciudad propiamente dicha se suele dividir en dos áreas: Northside, delimitada por el Haulover Creek y termina en el este en el área de Fort George, y Southside, que se extiende hasta las afueras de la ciudad y la zona del puerto y que incluye el centro.  La Ciudad de Belice está  administrada por el "Belize City Council" (autoridad municipal con elección directa) y es la capital del Distrito de Belice.</t>
  </si>
  <si>
    <t>La municipalidad metropolitana de Lima está situada en la costa central peruana, sobre el Océano Pacífico. Tiene una extensión de 2,664km2, compuesta por sus 43 distritos, distribuidos en 4 zonas: Lima Norte, Lima Centro, Lima Sur y Lima Este. Según el censo del 2007, cuenta con una población de 7.605.742</t>
  </si>
  <si>
    <t>La Ciudad de México comprende 16 delegaciones políticas (que a partir de 2018 se transformarán en "Demarcaciones Territoriales" cuyo gobierno estará a cargo de "Alcaldías"):</t>
  </si>
  <si>
    <t>La ciudad de Montevideo está organizada en 8 municipios que funcionan como órgano de gobierno local y como la jurisdicción territorial donde se establecen los gobiernos locales. Así Montevideo está conformada por los municipios A, B, C, Ch, D, E, F y G. Montevideo cuenta con 1.247.000  habitantes en 2011.</t>
  </si>
  <si>
    <t>La ciudad de Quito está compuesta por 32 parroquias urbanas y 33 parroquias rurales y suburbanas. Cada parroquia está compuesta por barrios. El Distrito Metropolitano de Quito está dividido en 8 administraciones zonales que permiten descentralizar algunos servicios del Municipio.</t>
  </si>
  <si>
    <t>El Cantón de San José tiene una superficie de 44.62 km2 y una población de 30.9672 habitantes. Está compuesta por 11 distritos urbanos. Junto a otros 30 cantones constituyen el Gran Área Metropolitana (GAM).</t>
  </si>
  <si>
    <t xml:space="preserve">San Pablo es la capital del Estado de San Pablo, el estado más importante del país desde el punto de vista de producción y economía, y se encuentra ubicado en el sureste del país, cerca al atlántico sur.
Según el censo de 2012, cuenta con una población de 11.252.473 habitantes, que representan el 5.9% de la población del país, siendo una de las ciudades más pobladas del mundo. La ciudad se divide en 31 sub-alcaldías agrupadas en 9 regiones. </t>
  </si>
  <si>
    <t>La ciudad de Santa Cruz comprende 12 distritos urbanos (en los que está basada toda la información) y 4 rurales, que son:</t>
  </si>
  <si>
    <t>La Comuna de Santiago, según Censo de 2012, tiene 311.414 habitantes y una superficie de 22.4 km con una densidad poblacional de 119 habitantes por hectárea. Es el municipio capital de la Provincia de Santiago, que además está formada por otros 31 municipios. La Provincia de Santiago es una de las 6 provincias que componen la Región Metropolitana.</t>
  </si>
  <si>
    <t>A5</t>
  </si>
  <si>
    <t>El alcalde gobierna junto a 21 concejales que forman el Concejo Metropolitano. En las sesiones de Concejo, se aprueban las ordenanzas, resoluciones y acuerdo del  Distrito Metropolitano de Quito.</t>
  </si>
  <si>
    <t xml:space="preserve"> Piraí; Norte interno; Estación Argentina; El Pai; Norte; Carretera a Cotoca; Villa 1º de Mayo; Plan 3.000; Palmasola; El Bajío;</t>
  </si>
  <si>
    <t>A6</t>
  </si>
  <si>
    <t>Álvaro Obregón , Azcapotzalco, Benito Juárez, Coyoacán , Cuajimalpa de Morelos, Cuauhtémoc, Gustavo A. Madero,  Iztacalco, Iztapalapa, La Magdalena Contreras, Miguel Hidalgo, Milpa Alta, Tláhuac, Tlalpan, Venustiano Carranza y Xochimilco</t>
  </si>
  <si>
    <t>La población del Distrito Metropolitano de Quito en el último censo del 2010 era de 2.239.191 habitantes</t>
  </si>
  <si>
    <t>Central; Nuevo Palmar; Viru Viru; El Dorado; Guapilo; Palmar del Oratorio.</t>
  </si>
  <si>
    <t>A7</t>
  </si>
  <si>
    <t>A8</t>
  </si>
  <si>
    <t>FUENTES:</t>
  </si>
  <si>
    <t>La ciudad cuenta con 1.454.000 habitante según el censo oficial de 2012</t>
  </si>
  <si>
    <t>A9</t>
  </si>
  <si>
    <t xml:space="preserve">Municipalidad de Asunción. 2016. Plan Regulador, Dirección General de Desarrollo Urbano [http://sig.mca.gov.py/] </t>
  </si>
  <si>
    <t>Portal Bogotá: http://www.bogota.gov.co/ciudad/ubicación</t>
  </si>
  <si>
    <t>http://www.buenosaires.gob.ar/gobiernodelaciudad</t>
  </si>
  <si>
    <t>BELIZE CITY COUNCIL ACT-CHAPTER 85 (http://www.belizelaw.org/web/lawadmin/index2.html)</t>
  </si>
  <si>
    <t>Municipalidad Metropolitana de Lima. 2014 PIGARS de la provincia de Lima 2015 - 2025.</t>
  </si>
  <si>
    <t>http://www.cdmx.gob.mx/ciudad/</t>
  </si>
  <si>
    <t>https://www.impo.com.uy/bases/leyes/18567-2009</t>
  </si>
  <si>
    <t>http://www.quito.gob.ec</t>
  </si>
  <si>
    <t>Página web del Municipio de San José: www.msj.go.cr</t>
  </si>
  <si>
    <t>Prefeitura de Sao Paulo - Secretaria de Servicios Públicos. http://www.prefeitura.sp.gov.br/cidade/secretarias/upload/servicos/arquivos/PGIRS-2014.pdf</t>
  </si>
  <si>
    <t>http://www.intendenciametropolitana.gov.cl/informacion_geografica_2.html</t>
  </si>
  <si>
    <t>A10</t>
  </si>
  <si>
    <t>Programa de las Naciones Unidas para el Medio Ambiente, Secretaría del Ambiente y Municipalidad de Asunción (Paraguay).2008. "Perspectivas del Medio Ambiente Urbano. GEO Asunción". Programa de las Naciones Unidas para el Medio Ambiente</t>
  </si>
  <si>
    <t>DANE: https://www.dane.gov.co/index.php/estadisticas-por-tema/demografia-y-poblacion/proyecciones-de-poblacion</t>
  </si>
  <si>
    <t>http://servicios.infoleg.gob.ar/infolegInternet/anexos/0-4999/804/norma.htm</t>
  </si>
  <si>
    <t>BELIZE CITY COUNCIL, About Belize City http://www.belizecitycouncil.org/about-belize-city</t>
  </si>
  <si>
    <t>http://censos.inei.gob.pe/censos2007/documentos/Resultado_CPV2007.pdf</t>
  </si>
  <si>
    <t>http://www.diputados.gob.mx/LeyesBiblio/pdf/10_270614.pdf</t>
  </si>
  <si>
    <t>http://intendencias.gub.uy/</t>
  </si>
  <si>
    <t>Contraloría General de la República, División de Fiscalización Operativa y Evaluativa. "Auditoría Operativa Recolección de Residuos Ordinarios". 2016</t>
  </si>
  <si>
    <t>http://www.observatoriosantiago.cl/estadisticas-comunales/</t>
  </si>
  <si>
    <t>A11</t>
  </si>
  <si>
    <t>http://www.ordenjuridico.gob.mx/constitucionEdo.php</t>
  </si>
  <si>
    <t>http://www.montevideo.gub.uy/sites/default/files/informe_censos_2011_mdeo_y_area_metro.pdf</t>
  </si>
  <si>
    <t>http://www.concejomunicipalscz.gob.bo/portal/index.php/participa/mapas-importantes/mapas-de-los-distritos</t>
  </si>
  <si>
    <t>A12</t>
  </si>
  <si>
    <t>http://www.gob.mx/presidencia/articulos/promulgacion-de-la-reforma-politica-de-la-ciudad-de-mexico-19350</t>
  </si>
  <si>
    <t>http://www.ine.gob.bo/indice/atlasmunicipal.aspx</t>
  </si>
  <si>
    <t>A13</t>
  </si>
  <si>
    <t>A14</t>
  </si>
  <si>
    <t>A15</t>
  </si>
  <si>
    <t>A16</t>
  </si>
  <si>
    <t>Preguntas</t>
  </si>
  <si>
    <t>IndicadoresPerfilesCiuda</t>
  </si>
  <si>
    <t>Texto</t>
  </si>
  <si>
    <t>Pregunta - Question</t>
  </si>
  <si>
    <t>E2</t>
  </si>
  <si>
    <t>E3</t>
  </si>
  <si>
    <t>E4</t>
  </si>
  <si>
    <t>E5</t>
  </si>
  <si>
    <t>E6</t>
  </si>
  <si>
    <t>E7</t>
  </si>
  <si>
    <t>E8</t>
  </si>
  <si>
    <t>E9</t>
  </si>
  <si>
    <t>E10</t>
  </si>
  <si>
    <t>E11</t>
  </si>
  <si>
    <t>E12</t>
  </si>
  <si>
    <t>E13</t>
  </si>
  <si>
    <t>E14</t>
  </si>
  <si>
    <t>E15</t>
  </si>
  <si>
    <t>E16</t>
  </si>
  <si>
    <t>E17</t>
  </si>
  <si>
    <t>E18</t>
  </si>
  <si>
    <t>E19</t>
  </si>
  <si>
    <t>E20</t>
  </si>
  <si>
    <t>E21</t>
  </si>
  <si>
    <t>E22</t>
  </si>
  <si>
    <t>E23</t>
  </si>
  <si>
    <t>E24</t>
  </si>
  <si>
    <t>E25</t>
  </si>
  <si>
    <t>E26</t>
  </si>
  <si>
    <t>E27</t>
  </si>
  <si>
    <t>E28</t>
  </si>
  <si>
    <t>E29</t>
  </si>
  <si>
    <t>N/A</t>
  </si>
  <si>
    <t>E30</t>
  </si>
  <si>
    <t>E31</t>
  </si>
  <si>
    <t>E32</t>
  </si>
  <si>
    <t>E33</t>
  </si>
  <si>
    <t>E34</t>
  </si>
  <si>
    <t>E35</t>
  </si>
  <si>
    <t>E36</t>
  </si>
  <si>
    <t>E37</t>
  </si>
  <si>
    <t>E38</t>
  </si>
  <si>
    <t>F2</t>
  </si>
  <si>
    <t xml:space="preserve">Existe un marco legal nacional sobre Gestión Integral de Residuos Domiciliarios, pero si bien la norma está orientada al reciclaje ya que prevé en su Art. 4° como objetivo "...Promover la valorización de los residuos domiciliarios, a través de la implementación de métodos y procesos adecuados..."  [1], la misma no incluye formalmente como actores a los recuperadores urbanos.  
La ley nacional es de 2004, es una norma de presupuestos mínimos [2], establece los presupuestos mínimos de protección ambiental para la gestión integral de residuos domiciliarios.  
En necesario destacar que existe a nivel institucional nacional una Estrategia Nacional de Gestión Integral de Residuos Sólidos Urbanos  [3], la misma planteaba como desafío la ausencia de un marco normativo específico sobre los "recuperadores informales" y como una acción principal dentro de las líneas de actuación "...Elaborar y proponer un marco normativo específico que contemple a los trabajadores informales de los RSU y les brinde los incentivos necesarios y la protección adecuada para el desarrollo de sus tareas dentro de las más esenciales normas de higiene y seguridad..." pero no se avanzó concretamente al respecto.
</t>
  </si>
  <si>
    <t>El marco legal nacional sobre gestión de residuos no incluye explícitamente orientaciones o medidas sobre reciclaje inclusivo [1,2]. Sin embargo, el Returnable Container Act  (Ley Nacional No 12 del 30-12-2009) [5] representa un importante motor e incentivo para los recicladores de base, porque obliga los productores, importadores y distribuidores de bebidas carbonatadas, de cerveza y de licores a garantizar la compra a un precio fijo de sus botellas de vidrio y de plástico y de sus latas [5]. Además, la autoridad nacional sobre residuos sólidos (Belize Solid Waste Management Authority - BSWAMA) [3] asegura estar evaluando la implementación de un "Social Inclusion Plan" (Plan de Inclusión Social); las 4 fases del Social Inclusion Plan serían: I) Análisis y censo del sector de los recicladores de base; II) Identificación medidas normativas y legislativas hacia la inclusión de los recicladores de base; III) Desarrollo de un Plan de Inclusión Social de los recicladores de base; IV) Implementación concreta del plan a partir de proyectos piloto [4].</t>
  </si>
  <si>
    <t xml:space="preserve">Al momento no se cuenta con un marco legal para la Gestión de Residuos que contemple procesos de reciclaje con inclusión, sin embargo, se cuenta con una normativa de Gestión Integral de Residuos Sólidos en aplicación, y una normativa de Código Orgánico Ambiental en construcción.   Por una parte, el Acuerdo Ministerial (AM) 061 es la reforma al Texto Unificado de Legislación Secundaria  donde se menciona a los gestores ambientales e incluye una definición de sus actividades y responsabilidades (Art.3). Además detalla las competencias de la Autoridad Ambiental  (Art.52) y de los Gobiernos Autónomos Descentralizados (Art. 57) en cuanto a la jerarquización de los residuos y la correcta inclusión de los gestores ambientales en las etapas de la gestión integral de residuos sólidos a nivel nacional. Sin embargo, no menciona ni reconoce a los recicladores de base como gestores ambientales [1].   
Por otro lado, existe un proyecto de Código Orgánico Ambiental que se encuentra en proceso de discusión en la Asamblea Nacional desde el año 2015; en donde, se menciona a los Gestores de Residuos No Peligrosos como uno de los actores responsables de la Gestión Integral de Residuos Sólidos a nivel nacional y al final de esta lista se especifica lo siguiente: “Los actores mencionados en el presente artículo deberán incluir a los recicladores de base dentro de la gestión integral de residuos sólidos no peligrosos” (Art.208). Este texto hace hincapié en que los municipios deberán tener enfoques de inclusión social y económica de sectores vulnerables que se dedican a estas actividades  (Art.208, Literal 3). Así mismo, incluye por primera vez en un documento legislativo nacional, la definición de Reciclador de Base (Glosario de Términos, pag.82) “Llamado también recuperador primario, es un trabajador que realiza el oficio de recolectar, seleccionar, recuperar, transformar, comercializar y reutilizar los residuos sólidos. Cumple la labor de reciclar en el primer eslabón de la cadena de comercialización y recuperación del material. El reciclador de base, vive de este oficio, generando sus ingresos según venda el material que recupera recorriendo calles en busca del material que la comunidad desecha o recolectándolo en vertederos de distintas ciudades” [2].
</t>
  </si>
  <si>
    <t>La Ley No. 8839 para la Gestión Integral de Residuos (2010) tiene por objeto: “regular la gestión integral de residuos y el uso eficiente de los recursos, mediante la planificación y ejecución de acciones regulatorias, operativas, financieras, administrativas, educativas, ambientales y saludables de monitoreo y evaluación” (Artículo 1). La autoridad responsable de formular e implementar esta política es el Ministerio de Salud (Artículo 10). Respecto del reciclaje de residuos, el Artículo 2 de la ley establece 3 sub-objetivos relacionados:
• Promover el desarrollo de mercados de materiales y productos valorizables, reciclados, reciclables o biodegradables, de forma que generen nuevos empleos y emprendimientos, aumente la competitividad y se aprovechen los recursos para agregar valor a la producción.
• Fomentar el desarrollo de infraestructura pública y privada para la recolección selectiva, transporte, acopio, almacenamiento, valorización, tratamiento y disposición final de residuos. 
• Promover la separación en la fuente y la clasificación de los residuos por parte del sector privado, de las instituciones públicas y en los hogares.
El Artículo 4 establece una jerarquía de prioridades para la gestión de residuos. Después de las dos primeras prioridades—asociados a minimización—se menciona las siguientes:
c) “Reutilizar los residuos generados ya sea en la misma cadena de producción o en otros procesos”;
d) “Valorizar los residuos por medio del reciclaje, el con-procesamiento, el rensamblaje u otro procedimiento técnico que permita la recuperación del material y su aprovechamiento energético”.
El Artículo 32 señala que todas las personas que se dediquen a la gestión de residuos, deben registrarse ante el Ministerio de Salud y cumplir con los requisitos de su administración. (1)
El Reglamento General a la Ley para la Gestión Integral de Residuos N° 37567 establece normas adicionales, poniendo énfasis en la responsabilidad extendida de los productores de residuos, el incentivo a la reducción de la generación de residuos, la educación y la responsabilidad ciudadana. 
La única mención que el Reglamento N° 37567 hace de los recicladores de base es en el Capítulo VIII, en el que establece un Fondo para la Gestión Integral de Residuos. Dentro de sus objetivos (letra c) plantea el financiamiento de iniciativas orientadas al “fortalecimiento y formalización de las actividades de recuperación de residuos a cargo de microempresas, recuperadores formales e informales, centros educativos y grupos comunales, promoviendo los encadenamientos en la gestión integral de residuos”. (2)
El Plan Nacional para la Gestión Integral de Residuos 2016-2021 (2016) tiene por objetivo  “Fortalecer la coordinación y la articulación de acciones estratégicas entre instituciones, sectores y ciudadanía para la Gestión Integral de Residuos, a fin de a mejorar la calidad de vida de la población y su ambiente”.   Si bien no menciona a los recicladores de base ni el reciclaje inclusivo, plantea como principio orientador la “responsabilidad compartida” de todos los actores, tanto públicos como privados. También menciona como principio orientador la cohesión social, es decir, que el tratamiento de residuos se realice en condiciones igualitarias, justas y solidarias, permitiendo mejores ingresos económicos a aquellas personas que han estado en situación de desventaja. (3)
La Estrategia Nacional de Separación, Recolección y Valorización de Residuos- ENSRV 2016-2021 (2016), tiene como objetivo "Desarrollar un modelo inclusivo para la correcta gestión de los residuos sólidos en el país que permita el fortalecimiento de las capacidades entre el sector público, sector privado y sociedad civil". El Componente 3 de la estrategia está orientado al fortalecimiento del sector de recicladores de base y tiene como objetivo “Crear un modelo de base solidaria y de participación, con el fin de incluir a los recicladores dentro de la cadena formal de valor, reconociendo su importancia como prestadores de un servicio necesario para el país y merecedores de una remuneración, (…)”. Aunque esta es una política pública recién formulada, abre posibilidades que pueden beneficiar al sector en el futuro. (4) (5)</t>
  </si>
  <si>
    <t xml:space="preserve">La ley 755 de gestión integral de residuos que se aprobó el 28 de octubre de 2015 incluye en su articulado (concretamente el Artículo 18 (Recuperador o Reciclador) el reconocimiento a la actividad de las personas que se dedican a la recolección y separación de residuos reciclables. Al mismo tiempo indica que se articularán los diferentes niveles estatales para que, en coordinación, trabajen para capacitar y formalizar a las personas que realizan estas actividades buscando una mejora de sus condiciones de trabajo, salud e ingresos económicos. Se reconoce en la ley la figura del reciclador, aunque no se le da en ningún momento un enfoque de género.[1] [3]
En un documento del Ministerio de Medio Ambiente y Agua del 2011 se reconocía la figura del recolector en el punto 1.7.3 como "Actor de apoyo" de los sistemas de gestión de residuos. [2]
[4]*Cabe indicar el reglamento que despliega la ley de residuos que se aprobó durante la primera semana de octubre de 2016, se espera que se firme entre el día 12 y el 14 de octubre de 2016 y que se publique al día siguiente. Este reglamento dispone de un capítulo (el 2) con el título de "Inclusión social para el reciclaje", en el que se exponen diferentes estrategias para el apoyo a la formalización de los recicladores de base. Se indica que las mismas serán llevadas a cabo por el Ministerio cabeza de sector y las Entidades Territoriales Autónomas (figura administrativa especial de Bolivia, que identifica a los municipios y a varios entes administrativos especiales de autonomía indígena)
</t>
  </si>
  <si>
    <t>El primer instrumento público que orienta la gestión de residuos como tal en Chile, es la Política Integral de Residuos Sólidos (PGIRS), aprobada por el Consejo Directivo de la Comisión Nacional del Medio Ambiente (CONAMA) en Enero de 2005 (1).Entre los principios de esta política, se establece una “estrategia jerarquizada” de acciones en la gestión de los residuos, que establece el siguiente orden de prioridad: evitar, minimizar, tratar y disponer. Dentro este marco, la minimización se conforma de tres procesos: reducir, reusar y reciclar (Fundamento 3). La undécima Línea de Acción de la PGIRS -“Implementar una estrategia de minimización”- identifica como base de la minimización la separación en fuente, y exige la implementación de una estrategia de reciclaje de residuos sólidos domiciliarios para estimular “proyectos de reciclaje atractivos desde el punto de vista técnico y económico, tanto de municipalidades, como de recolectores independientes y organizaciones sin fines de lucro” (Línea de Acción 11).
El año 2016 ha sido aprobada la Ley 20.920 Marco de Gestión de Residuos, Responsabilidad Extendida del Productor y Fomento al Reciclaje (2). En esta Ley, conocida como 'Ley REP' se reconoce a los recicladores de base como "Persona natural que, mediante el uso de la técnica artesanal y semi industrial, se dedica en forma directa y habitual a la recolección selectiva de residuos domiciliarios o asimilables y a la gestión de instalaciones de recepción y almacenamiento de tales residuos, incluyendo su clasificación y pretratamiento. Sin perjuicio de lo anterior, se considerarán también como recicladores de base las personas jurídicas que estén compuestas exclusivamente por personas naturales registradas como recicladores de base" (Artículo 3). La Ley REP considera la inclusión como un conjunto de herramientas de capacitación, financiación y formalización orientadas a la integración de los recicladores en la gestión de residuos y el marco de la responsabilidad extendida del productor (Artículo 2c). Específicamente en lo relativo a inclusión de recicladores, la ley considera que:
• Sean consultados para establecer instrumentos de prevención de la generación y la valorización de residuos, así como metas de recolección y valorización. (Artículos 4 y 14).
• Las autoridades exceptúen la licitación abierta cuando se trate de la contratación de recicladores (Artículo 24).
• Los recicladores podrán colaborar en la implementación de programas de educación ambiental sobre valorización de residuos (Artículo 29).
• Las municipalidades podrán celebrar convenios con los recicladores (Artículo 30).
• El Ministerio del Medio Ambiente contará con un fondo para financiar iniciativas municipales o de asociaciones. Uno de los criterios de evaluación y selección de iniciativas será la inclusión de recicladores (Artículo 31).  
• Para operar, los recicladores deben estar certificados en el Sistema Nacional de Certificación de Competencias Laborales, y registrados en el Registro de Emisiones y Transferencia de Contaminantes. Durante los primeros cinco años de vigencia de la ley, podrán registrarse sin dicha certificación (Artículos 32 y 37; Disposiciones Transitorias: Artículo primero) (3)
En el contexto de esta nueva Ley, que impulsa cadenas de recuperación de residuos, surge una oportunidad de inclusión de los recicladores de base, para lo cual se busca generar condiciones para formalizar y regular su actividad para que participen de la gestión de los residuos como gestores reconocidos. Si bien, desde el punto de vista de las políticas públicas, se reconoce el aporte de los recicladores en el actual sistema de gestión de residuos, también se reconoce que su desarrollo como sector ha sido en una lógica de informalidad y exclusión. En este sentido, el año 2016 ha sido firmada también la Política de Inclusión de Recicladores 2016-2020 (4), cuyo objetivo es "impulsar la inclusión social, económica y ambiental de los recicladores/as de base en la gestión ambientalmente adecuada de residuos". Esta política considera tres ejes: ambiental, que busca cuantificar y  aumentar la contribución la contribución de los recicladores a la gestión sustentable de los residuos;  económico, que busca potenciar sus capacidades empresariales; y social, que busca la caracterización y reconocimiento social del aporte de los recicladores de base al reciclaje.                                                                                                                                                                                                      
En esta política de inclusión de reciladores se señala, “La gestión sustentable de residuos, hace necesario un esfuerzo especial a favor de la inclusión, tanto económica, ambiental y social de este sector. Implica un enorme desafío país, debido al carácter informal del sector y las inequidades en el mercado de los residuos. Además, si bien la ley establece la inclusión, exige a su vez estándares de formalización y certificación de competencias del sector, lo que se debe alcanzar en plazos acotados de tiempo (5 años)”.(4)</t>
  </si>
  <si>
    <t>F3</t>
  </si>
  <si>
    <t xml:space="preserve">En Agosto de 2014, la Junta Municipal de Asunción dio aprobación a la Ordenanza Municipal 408/14 "GESTIÓN INTEGRAL DE LOS RESIDUOS SÓLIDOS URBANOS Y LA PROMOCIÓN DE LA CULTURA DE BASURA CERO." Este ordenanza reconoce al reciclador, también conocido como carritero (por el carro que usan para recolectar material reciclable) o ganchero (por el gancho que utilizan) como actor en la gestión integral de los residuos sólidos urbanos, y define como prioridad la inclusión de estos actores en el proceso de recolección, transporte y recuperación de los residuos reciclables con la asistencia técnica y financiera del municipio. Así mismo, la ordenanza contempla el establecimiento de centros de acopio y la reglamentación de la actividad de los recicladores en los mismos. 
La ordenanza también habla de la conformación del “Fondo del Reciclador” para el apoyo al reciclador y programas de reciclaje así como de la obligatoriedad de la separación en origen de los residuos y el establecimiento del servicio de recolección selectiva. [1,2]
A pesar de la aprobación de la ordenanza en las secciones correspondientes a reciclaje inclusivo aun no ha sido implementada. [2,3]
</t>
  </si>
  <si>
    <t xml:space="preserve">Existe un marco legal local que se ha implementado, la Ley N° 992 / 02 de la ciudad [1] en su Art. 2° dice "...El Poder Ejecutivo incorpora a los recuperadores de residuos reciclables a la recolección diferenciada en el servicio de higiene urbana vigente...". La norma es del año 2002 y reconoce el trabajo de los recuperadores (cartoneros) como tal, aunque no tiene un enfoque de género. El logro de esta norma fue en primer lugar que, en su Art. 7°, se derogan el Art. 6° de la Ordenanza N° 33.581 [2] donde básicamente se consideraba ilegal la tarea de recolección de residuos que no sea realizada por las empresas contratadas y el Art. 22° de la Ordenanza N° 39.874 [3] donde se preveía la multa y/o arresto de las personas que realizaran tareas de selección de residuos en vía pública. 
En el año 2005 la ciudad sanciona la Ley de Gestión Integral de Residuos Sólidos Urbanos [4], conocida como "basura cero", que incorpora el principio de reducción progresiva de la disposición final de los residuos sólidos urbanos. En su Art. 10° a) "...Garantizar los objetivos del artículo 4° de la Ley Nacional N° 25.916 (B.O. N° 30.497 del 7/9/04) "Gestión de Residuos Domiciliarios" y el artículo 3° de la Ley N° 992 (B.O.C.B.A. N° 1619 del 29/1/03) "Programa de Recuperadores Urbanos"..." refrenda la Ley N° 992.
En la práctica, si bien las tareas del recolector informal dejan de ser ilegales desde la sanción de la norma en el año 2002, formalmente la incorporación a la recolección formal de los recuperadores (asociados en cooperativas) se reconoce a través de la Res. N° 978 /12 del Ministerio de Ambiente y Espacio Público de la ciudad [5] luego de la aprobación del pliego para el Concurso Público para la Contratación del
"Servicio de Recolección de Residuos Sólidos Urbanos-Fracción Secos" [6] a partir del Decreto N° 636 /10 [7].
</t>
  </si>
  <si>
    <t>El marco legal municipal sobre gestión de residuos no incluye orientaciones o medidas sobre reciclaje inclusivo [1,2].</t>
  </si>
  <si>
    <t xml:space="preserve">En Lima se encuentra la Ordenanza 1854 de 2014 cuyo objeto es establecer el marco normativo que promueve, impulsa y regula la cadena del reciclaje de residuos sólidos[1]. Esta norma se elaboró en concordancia con los requisitos de la Ley 27314, sin embargo se está trabajando en modificarla [2]. Tanto la norma, como la modificación se trabaja en mesas de trabajo con el Ministerio de ambiente, para que se tengan en cuenta las directrices de orden nacional al respecto de la inclusión de los recicladores [2]. Esta normativa,  ha dado espacio para que los recicladores se formalicen en organizaciones, sin embargo aún debe mejorar en aspectos relacionados con los centros de acopio [5].
Con respecto a la modificación de la Ordenanza, algunos sectores de los recicladores consideran que es un retroceso ya que no genera fortalezas para que los recicladores se formalicen y tampoco establece vigilancia para que se cumplan los requerimientos [6].
Por otra parte, el municipio cuenta con el Plan de Gestión Integral de Residuos Sólidos (PGIRS) de vigencia 2015-2025, expedido mediante Ordenanza 1803 de 2014. En el tercer lineamiento de política del PGIRS se establece la promoción del desarrollo de sistemas integrales que incluyan recolección selectiva con vehículos motorizados y la recuperación de residuos con la inclusión y formalización de 10 mil recicladores a quienes se les pueda garantizar un salario mínimo [3].
</t>
  </si>
  <si>
    <t>Existe un marco legal inclusivo a nivel municipal en Quito que se ha implementado. En 2010,  la ciudad de Quito expidió la Ordenanza Metropolitana Nº 332 que por primera vez menciona e incluye a los recicladores de base en la Gestión Integral de Residuos Sólidos. Esta ordenanza especifica lo siguiente:  Menciona entre sus principios, la "Inclusión Social y Equidad", en donde el Municipio se compromete a generar acciones que permitan la vinculación asociativa de los grupos vulnerables a la gestión integral de residuos sólidos sobretodo en el proceso de reciclaje (Art.5 numeral 8). Elimina la competencia entre los operadores del servicio de recolección ordinario (que son empleados municipales) y recicladores de base, al prohibirles a los primeros realizar actividades de reciclaje (Art.15 numeral 3). Define y reconoce a los gestores ambientales de menor escala, en dónde el municipio reconoce la actividad de los recicladores en recolección selectiva, segregación, reciclaje y comercialización de materiales (Sección III, Art.89) . Promueve la asociatividad de los recicladores, con el fin de brindar un mejor servicio a la ciudadanía  (Art.91). Compromete al Municipio a vigilar que “los derechos de estabilidad, seguridad social, salario justo, libertad de asociación y las condiciones mínima de seguridad industrial e higiene en el trabajo” y a crear condiciones para que los gestores ambientales de menor escala realicen sus actividades en un ambiente sano y con implementos para evitar contagio de enfermedades o riesgos laborales (Art.92). Define como obligaciones del Municipio (Art.93), el prestar las facilidades necesarias y capacitación para que los gestores ambientales de menor escala puedan brindar un servicio a la ciudadanía de calidad. Estas facilidades se refieren sobretodo a la implementación de Centros de Educación y Gestión Ambiental, estratégicamente situados donde se capacitará a los gestores ambientales de menor escala y a la ciudadanía en general (Art.94 y Art.95). [1]                                                                                                                                                                                                                                                                
Asimismo, el Plan Maestro de Gestión Integral de Residuos Sólidos del Distrito Metropolitano de Quito , incluye a los gestores ambientales de menor escala en las siguientes dimensiones: Dentro de las políticas, principios y objetivos de este plan, se menciona el fomento de la inclusión social y económica de los grupos más vulnerables de la cadena de valor de la gestión de residuos (Cap. III) Incluye la meta de incorporar al 50% de gestores ambientales de menor escala a los procesos de gestión de residuos sólidos hasta  el año 2025 (Objetivo Nº4). [2]</t>
  </si>
  <si>
    <t>La Ley No 8839 para la Gestión Integral de Residuos (2010) define que "Las municipalidades serán responsables de la gestión integral de los residuos en su cantón”. Entre sus responsabilidades generales, las relativas a reciclaje son: 
a) Establecer y aplicar el plan municipal para la gestión integral de residuos en concordancia con la Política y el Plan Nacional.
b) Dictar los reglamentos en el cantón para la clasificación, recolección selectiva y disposición final de residuos, los cuales deberán responder a los objetivos de esta Ley y su Reglamento. 
d) Garantizar que en su territorio se provea del servicio de recolección de residuos en forma selectiva, accesible, periódica y eficiente para todos los habitantes, así como de centros de recuperación de materiales, con especial énfasis en los de pequeña y mediana escala para la posterior valorización.
f) Prevenir y eliminar los vertederos en el cantón y el acopio no autorizado de residuos. 
g) Impulsar sistemas alternativos para la recolección selectiva de residuos valorizables como contenedores o receptores, entre otros.
h) Promover la capacitación y realizar campañas educativas de sensibilización de los habitantes del cantón respectivo para fomentar la cultura de recolección separada, de limpieza de los espacios públicos y de gestión integral de residuos.
i) Establecer convenios con microempresas, cooperativas, organizaciones de mujeres y otras organizaciones y/o empresas locales, para que participen en el proceso de gestión de los residuos, especialmente en las comunidades que se ubican lejos de la cabecera del cantón.(6)
El Plan Municipal para la Gestión Integral de Residuos Sólidos de la Municipalidad de San José (PMGIRS), publicado el 2011, busca poner al Cantón de San José como “líder activo en la gestión integral de residuos sólidos, promoviendo una mejor calidad de vida que nos posicione como una ciudad limpia, armoniosa y saludable” a través de la “participación activa de los actores del cantón”. 
En su Línea Estratégica II, el Plan busca “Fortalecer a través de la participación ciudadana, la implementación del PMGIRS”, desarrollando programas de participación comunitaria activa y alianzas público privadas para el manejo de la gestión de residuos sólidos.
En su Línea Estratégica III, busca implementar el manejo integral de los residuos con la participación de actores sociales, a través de redes colaborativas para la recolección selectiva de residuos sólidos, con ONGs y privados.
El PMGIRS no menciona explícitamente a los recicladores de base o el sector informal desde una perspectiva de inclusión, aunque sí plantea en la Línea Estratégica V, la formalización de centros de recuperación existentes en el cantón (7). Recién se está incorporando la noción de inclusión de recicladores de base en los funcionarios  responsables de llevar adelante el reciclaje en el municipio, con el apoyo del Ministerio de Salud. Probablemente el año 2017 se empiecen a incorporar las primeras acciones de caracterización del reciclaje informal en el cantón.</t>
  </si>
  <si>
    <t>F4</t>
  </si>
  <si>
    <t>La Ordenanza Municipal 408/14 "GESTIÓN INTEGRAL DE LOS RESIDUOS SÓLIDOS URBANOS Y LA PROMOCIÓN DE LA CULTURA DE BASURA CERO" es la ordenanza que actualmente se encuentra en régimen y que regula las políticas de reciclaje inclusivo. La misma fue aprobada en el 2014 bajo la administración del entonces intendente Arnaldo Samaniego. La misma sigue en vigencia y la nueva administración, bajo el mandato de Mario Ferreiro quien asumió en Diciembre de 2015, tiene planificado continuar con la misma mejorando ciertos aspectos de su ejecución e implementación. [1,2]</t>
  </si>
  <si>
    <t>Hasta el momento, se ha observado que las políticas cambian con cada jefe de gobierno, es decir que no existe continuidad entre los programas establecidos en una administración una vez cambia [1]. No obstante lo anterior, teniendo en cuenta que la nueva metodología para la elaboración de los Planes de Gestión Integral de Residuos Sólidos (Resolución 754 de 2014) exige que los programas tengan horizonte de 12 años se espera que mejore la estabilidad de los programas y proyectos establecidos durante un programa de gobierno [2], lo cual a su vez depende de que los programas presentados contengan medidas suficientes para garantizar la inclusión de los recicladores en el largo plazo, hasta el momento son pocos los programas que se han remitido al Ministerio de Vivienda, Ciudad y Territorio que cumplen con medidas para garantizar continuidad [3]. 
Por otra parte, existen lineamientos que vienen de la Corte Constitucional que han permitido que medidas como el pago a los recicladores a través de la tarifa del servicio público de aseo permanezcan en el tiempo independientemente del periodo gobierno [4].</t>
  </si>
  <si>
    <t xml:space="preserve">Las políticas de la ciudad son estables para garantizar la continuidad en materia de reciclaje inclusivo. Las normas (N° 992/02 y N° 1854/05) fueron sancionadas en gobiernos anteriores y de diferente signo político, pero el gobierno continuó en esta línea con algunos altibajos, ya sea por preexistencia de las normas y/o debido a la demanda social para que las mismas se apliquen [1]. 
Si bien el gobierno de la ciudad tiene una de las mejores políticas públicas en relación al resto del país, las mismas no son bien difundidas. Respecto de la estabilidad de las políticas públicas, existe un piso del cual no se puede retroceder, que es el incentivo directo a cada cartonero, el acceso a la obra social (plan de salud), por ejemplo, pero la política es errática y no permite tener un horizonte claro. A nivel institucional existe una Dirección General de Reciclado, pero uno de los síntomas de lo errático de la política es que los directores de reciclado duren poco tiempo en la función [2].
Actualmente se esta discutiendo las condiciones del nuevo pliego de recolección de residuos secos a implementarse en 2017, donde las cooperativas de recuperadores están solicitando que se respeten los derechos adquiridos, se revisen las modalidades de contratación/financiación y se contemplen todas las condiciones de trabajo definidas en el pliego actual que no se han logrado implementar todavía [3].
</t>
  </si>
  <si>
    <t>No existen políticas municipales a favor del reciclaje inclusivo [1].</t>
  </si>
  <si>
    <t>Las políticas en materia de reciclaje no tienen continuidad, ya que cada 4 años hay cambio de gobierno, a su vez de personal, por lo cual los funcionarios comienzan a trabajar desde el principio [1] [2]. Por ejemplo, la anterior alcaldesa tenía mucho interés en que se llevara a cabo la separación en la fuente y que las organizaciones de recicladores tuvieran más acceso a material, para lo cual desarrolló varios programas. En cambio para el nuevo gobierno este es un tema secundario y se han recortado las acciones en el tema, incluso los volúmenes de material recolectado han disminuido [3].
Por lo anterior, la modificación de la ordenanza busca que haya mayor rigurosidad en el establecimiento de políticas y como efecto se logre que las mismas tengan mayor estabilidad en el tiempo [4]</t>
  </si>
  <si>
    <t xml:space="preserve">Las políticas municipales no son estables para garantizar la continuidad en materia de reciclaje inclusivo, ya que no se plantean en dichos planes o se plantean y no se ejecutan. 
Lo anterior se evidencia en la ejecución de los programas para el mejoramiento del manejo de los residuos sólidos que se establecen en los Planes de Gestión Integral de Residuos Sólidos:  el PGIRS del Distrito Federal en el periodo 2009-2014  [1] estableció  como meta  "Adecuar las plantas de selección, implementando medidas de seguridad e higiene" , lo cual a la fecha no se ha implementado. Al contrario, la Comisión de Derechos Humanos del Distrito Federal presentó una denuncia en 2016 por las precarias condiciones en las que los recicladores informales laboran en dichos sitios debido a la carencia de instalaciones seguras y de servicios básicos, además lo acusa por omisiones en el mantenimiento a la infraestructura para el almacenamiento, recolección, acopio, tratamiento y distribución de residuos sólidos urbanos (literal VII.3 de la Recomendación) y por no cumplir a cabalidad la normativa relacionada con el trabajo digno (literal VII.4 de la Recomendación)  [2]. 
Adicionalmente se observa que el PGIRS de la vigencia 2016-2020 no contempla dentro de sus líneas estratégicas de recolección selectiva y aprovechamiento mejorar las condiciones de trabajo y remuneración de los recicladores informales que ahora laboran como trabajadores "voluntarios" como tampoco algún programa de reciclaje inclusivo. [3]
</t>
  </si>
  <si>
    <t>La Constitución Nacional de 1996 instituyó el nivel local de gobierno, éste se visualizó con la aprobación de la Ley 18.567 de Descentralización y Participación Ciudadana en 2009. A partir de entonces se crearon los 89 municipios de Uruguay que entraron en funcionamiento en julio de 2010 después de las primeras elecciones municipales del país. Así, hay que considerar que los municipios son muy "jóvenes" en Uruguay y que por tanto aún hay que desarrollar plenamente las competencias y los presupuestos en temas tan complejos como son la gestión de los residuos urbanos. Aún hay que desarrollar políticas  de reciclaje inclusivo. [1] [2]
En algunos casos, ya se llevan tres periodos de gobierno, aunque hay que decir que en este último periodo no se ha promovido el desarrollo de la recolección selectiva. Estos residuos, procedentes de la recolección selectiva, se destinan a las plantas de selección de la ley de envases. En estas plantas se prioriza la contratación de recicladores informales. [3]</t>
  </si>
  <si>
    <t xml:space="preserve">La Ordenanzas Metropolitanas son emitidas por aprobación del Concejo Metropolitano de Quito que es el único facultado para expedir Ordenanzas Metropolitanas por lo que se mantiene una estabilidad continua ya que cualquier cambio debe seguir el respectivo proceso [1]. Se cuenta con una Ordenanza municipal con 5 años de vigencia, involucrando a dos administraciones de gobierno local [2] .                                                                                                                                                                                                              
Las entidades municipales han desarrollado programas y proyectos desde el año 2011 para el cumplimiento de la normativa municipal, como proyectos de recolección diferenciada con recicladores de base, implementación de centros de educación y gestión ambiental, indicadores de gestión, entre otros [3]. Cumpliendo lo establecido en Resolución No.C062 del Concejo Metropolitano de Quito, de fecha 24 de enero de 2012; la Secretaría de Ambiente desarrolló el Plan Ambiental Distrital que entre otros contiene al  “Plan Maestro de la Gestión Integral de Residuos” (PMGIR) lo que ejemplifica que la política de gestión integral de residuos se ha reforzado para mantenerla en el tiempo. Dicho plan está concebido con un espectro de 10 años (2016-2025) [1][4].         
Organizaciones formales de recicladores de base realizan un trabajo coordinado con el Municipio y sus empresas de residuos desde el año 2011 [5].
</t>
  </si>
  <si>
    <t xml:space="preserve">Las políticas públicas nacionales para la gestión de residuos sólidos se han venido desarrollando y actualizando los últimos años de manera coherente con una visión de sustentabilidad que incluye la valorización y la inclusión de actores diversos.  
Específicamente en lo relativo a inclusión de recicladores, la Estrategia Nacional de Separación, Recolección y Valorización de Residuos- ENSRV 2016-2021 (2016), que se desprende La Ley No 8839 para la Gestión Integral de Residuos (2010) y del Plan Nacional para la Gestión Integral de Residuos 2016-2021 (2016), busca desarrollar un modelo inclusivo para la gestión de los residuos sólidos, con la participación de los recicladores de base en la cadena de valor del reciclaje. (8)
En este sentido el marco de política pública nacional para la gestión de los residuos, genera un contexto favorable a las políticas municipales para el reciclaje con inclusión de recicladores de base, aunque éstas –en el caso del Municipio de San José- aún no reconocen ni incorporan a los recicladores de base como actores del sistema formal de recuperación de residuos del cantón. </t>
  </si>
  <si>
    <t>No existen ordenanzas municipales o contratos suscritos con recicladores de base para desarrollar el reciclaje a nivel comunal. Sí han existido convenios puntuales que el municipio ha suscrito con el Movimiento de Recicladores de Chile, específicamente para la implementación de sistemas de reciclaje en eventos masivos (9). En este sentido no existe un marco legal municipal, probablemente debido a que las acciones de reciclaje inclusivo en el municipio son todavía incipientes. El programa de reciclaje puerta a puerta es todavía un programa piloto y se van probando modelos diferentes que orientarán futuras decisiones sobre servicios municipales de gestión de reciclables. En la medida que los modelos con inclusión de recicladores funcionen, irán escalando en cobertura y estableciéndose como servicios municipales estables.    
Hasta el 2013, el sistema de reciclaje comunal se basaba principalmente en contenedores municipales y privados -estos últimos asociados a campañas de beneficencia- que eran puestos en espacios públicos o comunitarios facilitados por el municipio: los contendedores privados recibían un tipo de material y los municipales, 3 tipos de materiales distintos (10). También se implementaron iniciativas de reciclaje en eventos masivos, algunos de ellos con inclusión de recicladores. Desde el año 2013, en el marco de la gestión de la actual gobierno municipal, se ha llevado adelante un proceso de consulta pública cuyos resultados dan los lineamientos al Plan de Desarrollo Comunal 2014-2020 (11) y a partir de ahí a la Política Ambiental Municipal (12) que, entre sus ejes de trabajo considera impulsar una "gestión integral de residuos orgánicos, inorgánicos y voluminosos". En este marco hay una  serie de programas de reciclaje, compostaje y reutilización de residuos, algunos de los cuales consideran la inclusión de un pequeño grupo de recicladores que operan en colaboración con el municipio, desde el año 2013, como Programa de Reciclaje Inclusivo Municipal (13).  Este programa opera de manera incipiente, bajo la supervisión de la Subdirección de Medio Ambiente, con una baja participación de recicladores, pero con apoyo importante del municipio y planes de expansión e institucionalización. Cuenta también con el apoyo del proyecto "Reciclaje Inclusivo Comunal" ejecutado por Fundación Casa de La Paz y el Movimiento de Recicladores de Chile (MNRCH) que acompaña técnicamente y con equipamiento al programa (14). La continuidad de estos programas dependerá de la evaluación y proyección de esta línea de trabajo, por parte del próximo gobierno municipal (2017-2021) (15).</t>
  </si>
  <si>
    <t>F5</t>
  </si>
  <si>
    <t xml:space="preserve">En el curso de esta investigación no se encontró evidencia que la Municipalidad de Asunción tenga un presupuesto orientado al reciclado inclusivo. La mayor parte del presupuesto orientado al manejo de residuos solidos de la municipalidad se concentra en gastos de personal y mantenimiento de la flota vehicular. [1,2] Tampoco existe un departamento dentro del municipio dedicado al reciclaje inclusivo o personal con responsabilidades en el tema.
El presupuesto municipal anual para el 2016 fue de Gs.1.027.421.864.854 (aproximadamente US$184.812.518,6618). Según reportes de la prensa el 49% del presupuesto anual va al pago de salarios y solo 21% a obras. [3,4]  El mismo no esta desglosado por áreas,  lo que hace muy difícil estimar cuanto es destinado a PGIRS. </t>
  </si>
  <si>
    <t xml:space="preserve">Existe una Dirección General de Políticas de Reciclado [1] que forma parte del Ministerio de Ambiente y Espacio Público de la ciudad, la misma es el órgano de aplicación de la Ley N° 992 / 02 [2]. 
El presupuesto previsto para el año 2016 del Gobierno de la Ciudad Autónoma de Buenos Aires [2] es de $ 112.773.876.740.- (u$ 7518 millones), el presupuesto asignado a la Dirección General de Reciclado asciende a $ 755.344.540.- (aprox. u$ 50 millones). Cabe aclarar que no esta desagregado cual es el presupuesto asignado a las cooperativas que realizan las tareas de recolección de la fracción de residuos secos. Por otro lado, el presupuesto asignado a la prestación del Servicio Público de Higiene Urbana que incluye al servicio de recolección y el servicio de barrido y limpieza de calles, incluido el transporte del material resultante a las distintas Estaciones de Transferencia y/o Centro de disposición final (fracción de residuos húmedos) es de $7.974.440.257.- (aprox. u$ 532 millones) [1]. De los datos se deduce que aproximadamente un 0,66% del presupuesto total del gobierno se designa a la fracción de residuos secos entre otros gastos administrativos y un 7,07% se designa a la recolección de la fracción de residuos húmedos  (cabe aclarar que no esta contemplada la disposición final de los mismos).
Los recuperadores que trabajan en las cooperativas que están contratadas por la ciudad, reciben subsidios mensuales diferenciados, quienes realizan tareas en calle (cuidan las campanas verdes) reciben $6.400.- (aprox. u$ 426,-), quienes realizan tareas dentro de la cooperativa reciben $3.200.- (u$ 212), Cooperativa El Álamo y $4.300 (u$ 286) Cooperativa Trabajo y Dignidad. La cooperativa recibe financiamiento para camiones con chofer y vales de combustible para la logística, vestimenta y elementos de seguridad para sus asociados, aunque insuficiente [4,5].
Existen dos tipos de incentivos (mensuales) otorgados por el Gobierno de la Ciudad de Buenos Aires (a partir de octubre recibieron un aumento del 20%), uno de aproximadamente $4.000.- (aprox. u$ 266.-) que lo reciben los trabajadores que están asociados a una cooperativa pero que venden los materiales recolectados diariamente de manera autónoma ya sea en la Ciudad de Buenos Aires o en municipios del área metropolitana y otro incentivo de aproximadamente $7.700-. (aprox. u$ 513,-) que lo reciben los recuperadores que realizan la recolección de los residuos secos de los contenedores verdes, que acopian y comercializan sus materiales de manera asociada directamente a empresas recicladoras (en función de su productividad diaria) [6]. 
En gran medida, todo el sistema de inclusión de la ciudad se apoya en la existencia de estos incentivos, individuales, bancarizados y ligados al presentismo y no a la productividad. Puede no ser suficiente, pero al no poder compararse con algo similar, el sistema es muy avanzado, puede y debería expandirse y se podría pensar en su universalidad en los casos de las personas que realizan tareas de recolección y que cumplan con ciertos requisitos, pero es muy positivo [7].
</t>
  </si>
  <si>
    <t>No existe un presupuesto o mecanismo de financiación municipal asignado para  el reciclaje inclusivo [1, 2]. El presupuesto general de la ciudad se publica online en la pagina del Belice City Council.[3]</t>
  </si>
  <si>
    <t>Existe un presupuesto asignado para el programa de segregación en general. Este programa contempla el presupuesto para la inclusión de recicladores y es aproximadamente 2 millones de soles al año (aproximadamente US$ 578,000) [1]. Este presupuesto se ha utilizado para vacunar los recicladores, comprar uniformes y para el mejoramiento de las condiciones técnicas de las organizaciones [1].
Se observa que existe ejecución de presupuesto, toda vez que se llevan a cabo programas para motivar la separación en la fuente [2] y de formalización de recicladores [3].</t>
  </si>
  <si>
    <t xml:space="preserve">Existe presupuesto para la Gestión Integral de Residuos Sólidos (GIRS) que contempla programas para incentivar el reciclaje, pero no contempla el reciclaje inclusivo. El presupuesto para GIRS no está disponible públicamente.
Los programas ejecutados por la Secretaría de Medio Ambiente del Distrito Federal se han enfocado en: (i) educación ambiental a través de los programas "Mercado de Trueque", "Reciclatron", "Ponte pilas con tu ciudad" y la elaboración de una guía para la reducción de empaques; (ii) el fomento al manejo adecuado de los residuos por parte de los generadores de residuos especiales a través de la aprobación de los  "Planes de Manejo de Residuos Especiales";  (iii) la compilación de información y desarrollo de estrategias con el Inventario de Residuos Sólidos y la actualización del Plan de Gestión Integral de Residuos Sólidos y; (iv) el mejoramiento de la recolección a través de esquemas de recolección contenerizada [1]. De igual forma, dentro de los programas con presupuesto en el marco del Plan de la Gestión Integral de Residuos Sólidos no contemplan acciones afirmativas hacia la población recicladora [2]. 
Desde la Secretaría del Medio Ambiente y Recursos Naturales del país, se otorgan dineros a las municipalidades para la implementación de plantas de selección de residuos, sin embargo normalmente estos programas no son exitosos [3]. Por otra parte, los lineamientos de estos proyectos no contemplan incentivos para que las municipalidades incluyan a la población recicladora, es decir que estas plantas podrían ser operadas por algún actor privado [4].  Cabe señalar que el Gobierno de la CDMX invierte en maquinarias y equipamientos que son utilizados por la población de los recicladores informales; estas inversiones son relacionadas, por ejemplo, a las plantas de selección manejadas por los pepenadores y a los tambos y uniformes utilizados por los barrenderos voluntarios [5]. En relación a los pepenadores, un representante de gobierno explicó que: "El Gobierno Central de la Ciudad construyo 3 plantas de selección (hace varios años) y entrego a igual número de gremios, los cuales trabajaban en los tiraderos que la ciudad tenía en esos años y que fueron clausurados y saneados. Actualmente el Gobierno Central proporciona mantenimiento a las plantas y entrega RSU de las Estaciones de Transferencia que los Gremios y retira el rechazo después de la selección. Los gremios son los responsables de su organización interna, horarios, proporcionar equipo de protección a sus agremiados, determinar que subproductos recuperan, venta y reparto del ingreso por la comercialización de los subproductos recuperados. El Gobierno no recibe ningún ingreso de la venta de los materiales recuperados, los ingresos son exclusivos de los gremios". El mismo representante de gobierno comentó, sobre los trabajadores de limpia, que: "en el flujo se tiene a los trabajadores de base, que pertenecen al Sindicato Único del Gobierno del Distrito Federal, los cuales están asignado a las delegaciones políticas, ellos tienen la función principal del barrido y recolección de los RSU domiciliarios, no de separación y comercialización de subproductos. Estos trabajadores tienen un contrato colectivo, este contrato ampara prestaciones sociales, sueldo y entrega de equipo de protección para realizar su labor. Los trabajadores de base son quienes deciden aceptar y/o solicitar la ayuda de voluntarios para realizar actividades de separación de los RSU durante su ruta de recolección o barrido, recolección a generadores de alto volumen (para quienes la recolección no es gratuita por el volumen de residuos que generan ver Código Fiscal Art 243), comercialización de subproductos recuperados y reparto de los ingresos obtenidos por la comercialización de los subproductos recuperados, propinas e ingresos por la recolección a los generadores de alto volumen. Obviamente las labores antes mencionadas no están establecidas en las funciones que tienen que desempeñar, por lo que no cuentas con las condiciones y equipo de protección adecuado, porque no deberían de hacer estas funciones, son los gremios quienes están reconocidos por el Gobierno para esta labor, incluso las condiciones generales del trabajo del sindicato prohíben realizar asuntos ajenos a sus labores durante su jornada (Art. 84 Fracc VIII)"
</t>
  </si>
  <si>
    <t xml:space="preserve">Existe un presupuesto (o mecanismo de financiación) que se ha implementado. El artículo 43 de la Ley 12305 en su inciso III señala que el poder público deberá tomar medidas y establecer líneas de financiamiento para atender las iniciativas para la instalación e infraestructura física y adquisición de equipos y maquinaria  para el uso de las cooperativas de recicladores formadas por personas de bajos ingresos[1].  De igual forma, la Ley 12.465 de 2011 señala en el artículo 33 (literal VII) señala que los recursos especificados en el artículo 12 de la Ley 4.320, podrán destinarse para las actividades de recolección, procesamiento  y comercialización de materiales reciclables realizadas por cooperativas o asociaciones de recicladores compuestas por personas de bajos ingresos[2].
En el año 2012 el municipio de San Pablo asumió 9 millones de dólares que fueron utilizados para pagar alquiler, equipos de procesamiento y compra de vehículos.  Para el año 2014 se concordó destinar 8,1 millones de reales para fortalecer el acopio de materiales por parte de los recicladores [3]. El programa contempla la creación de un "Fondo de logística inversa e inclusión de recicladores" que tiene por objetivo el fortalecimiento de las cooperativas a partir de apoyos económicos [3]
Por parte de la prefectura, se realizan inversiones para el mantenimiento y compra de nuevos equipos en cooperativas, como es el caso del centro de acopio manejado por la Cooperativa Vira-Lenta, en el cual asumió a 150 mil dólares para su mantenimiento y entregó equipos y camiones por valor de 3 millones de dólares durante el año 2015 [4]; así mismo, en infraestructura para la recolección de materiales reciclables como lo fueron 89 ecopuntos con una inversión de alrededor 6,9 millones de dólares[5].
</t>
  </si>
  <si>
    <t xml:space="preserve">Los programas de reciclaje municipal que consideran la inclusión de recicladores,  cuentan con financiamiento municipal, aunque no existe una glosa específica del presupuesto municipal destinado a esto (16). Los recursos municipales financian:      
a)Equipamiento para separación en origen en los barrios incluidos en el programa, consistente en contenedor para reciclables y bolsas (llamado "Punto Limpio")                      
b)Terreno en Centro Educativo Ambiental Municipal y equipamiento básico de Punto de Reciclaje y Acopio Transitorio , donde llegan los materiales reciclables de los diferentes programas, para la clasificación y preparación para la venta. Este equipamiento consiste en bodega de aproximadamente  36 metros cúbicos de capacidad y bolsas de gran tamaño (llamadas 'maxi sacas') para acopio de materiales reciclables    
c) 1 Camión con capacidad de 1.5 toneladas, su respectiva mantención, combustible y chofer, para la recogida diaria de reciclables desde barrios incluidos en el programa
d) Difusión municipal del programa y apoyo de gestión para conseguir nuevas fuentes de generación de reciclables.
Cabe señalar que distintos programas de recuperación orientados a orgánicos e inorgánicos, sinergizan recursos (17) (18) (19).        
El programa de reciclaje inclusivo también ha sido apoyado financieramente por el Proyecto "Reciclaje Inclusivo Comunal", ejecutado por Fundación Casa de La Paz y Movimiento Nacional de Recicladores. Esto ha permitido aportes en recursos humanos para la capacitación de los recicladores, el apoyo técnico del sistema de recolección, acopio y venta, difusión y 2 vehículos de carga con capacidad para 400 kg.destinados a los recicladores participantes del programa (20).                                </t>
  </si>
  <si>
    <t>F6</t>
  </si>
  <si>
    <t>En Paraguay no existe una normativa nacional que reconozca a los recicladores de base de manera legal. A nivel municipal, la Ordenanza Municipal 408/14 si reconoce la labor que los mismos llevan a cabo pero este reconocimiento no les otorga valor legal. [1]</t>
  </si>
  <si>
    <t xml:space="preserve">El reciclador de oficio es reconocido desde el Decreto 2981 de 2013, compilado hoy en el Decreto 1077 de 2015. Cuya definición ha sido ajustada en el Decreto 596 de 2016 en los siguientes términos:
"36. Reciclador de oficio: Persona natural que realiza de manera habitual las actividades de recuperación, recolección, transporte, o clasificación de residuos sólidos para su posterior reincorporación en el ciclo económico productivo como materia prima; que deriva el sustento propio y familiar de esta actividad” [1]. </t>
  </si>
  <si>
    <t xml:space="preserve">No existe reconocimiento legal de la ocupación del reciclador de base. </t>
  </si>
  <si>
    <t>En Perú, existe reconocimiento legal de la ocupación de reciclador de base. Está dado en la Ley 291419 en el artículo tercero donde define que un reciclador independiente es:
"persona que realiza formalmente actividades de reciclaje, incluyendo la recolección selectiva y la comercialización, y que no cuenta con vínculo laboral con empresas prestadoras de servicios de residuos sólidos, empresas comercializadoras de residuos sólidos ni empresas generadoras de residuos sólidos" [1].
De igual forma en la Ordenanza 1854 de 2014 (de Lima) se da una definición similar en el artículo noveno a los recicladores:
"persona natural que trabaja de forma individual o asociados (en organizaciones de recicladores o microempresas) en la recolección selectiva y comercialización de los residuos sólidos reciclables" [2].
Es de aclarar que el reconocimiento legal se da cuando el reciclador se encuentra asociado a una organización que se ajusta a la Ley indicada anteriormente [3][2].</t>
  </si>
  <si>
    <t>No existe un reconocimiento legal de la ocupación de reciclador base a nivel nacional.  A nivel municipal, la actividad se encuentra prohibida, bajo Ley de Residuos Sólidos del Distrito Federal de 2003, en el literal V del artículo 25 de la Ley [1].  De otra parte, el proyecto de modificación de la Norma Oficial Mexicana 083 de 2003 referente a los requerimientos de los sitios de disposición final, plantea la prohibición de la selección de residuos en los sitios de disposición final [2], ya que es una actividad que pone en riesgo la integridad de las personas que la realizan y dificulta la operación del relleno sanitario [3].
Sin embargo, todos los trabajadores involucrados en el Servicio de Limpia* realizan actividad informal de recuperación de desechos; esta actividad de recuperación es llevada a cabo sea por los trabajadores que se encuentran en la plantilla salarial sea entre los voluntarios; la diferencia de estatus formal entre trabajadores en plantilla y trabajadores voluntarios no implica una diferencia de roles operativos (barrenderos y macheteros son voluntarios y asalariados y cumplen exactamente el mismo trabajo [3]; los que son asalariados reciben la mayoría de su ingreso por las propinas y la venta del material reciclable, los que son voluntarios reciben sus ingresos exclusivamente por las propinas y la venta de los reciclables [4]. A pesar de su integración operativa en el sistema y de sus obligaciones, los voluntarios no tienen los mismos derechos de los asalariados: de hecho, el Gobierno  no cumple con las obligaciones mínimas que debe tener un empleador con sus trabajadores, teniendo en cuenta que no siempre se les entrega uniforme, no reciben pago de salario y el sitio de trabajo los hace altamente vulnerables a sufrir lesiones físicas y adquirir enfermedades [5]. Además, la falta de políticas eficaces en la separación a la fuente y la obligación de los trabajadores de entregar separadamente los residuos orgánicos e inorgánicos en las estaciones de transferencia, induce la mayoría de los trabajadores a separar manualmente orgánico e inorgánico exponiéndose a mas enfermedades [6]. 
Por último, existen iniciativas por parte de empresas privadas para incluir a la población recicladora en proyectos encaminados a la recolección selectiva y la separación de residuos, debido a que en la legislación laboral no se encuentra establecido el trabajo del reciclador, y se ven limitados a llevar a cabo este tipo de proyectos [7]
*Servicio de limpia hace referencia a los servicios prestados por el Gobierno Federal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[8]</t>
  </si>
  <si>
    <t xml:space="preserve">Actualmente no existe ese reconocimiento legal de la ocupación del reciclador de base. Se plantea ese reconocimiento en la nueva ley de residuos que se quiere entregar al Parlamento a principios del 2017: será de hecho un respaldo a las actuaciones y contendrá un paquete de medidas que así lo hará, aunque no aparezca un reconocimiento por escrito. [2]
Desde la Unión de Clasificadores de Residuos Urbanos Sólidos (UCRUS) se impulsa una Ley de Reconocimiento al Clasificador que promueva acciones para mejorar su calidad de vida. Paralelamente proponen realizar un censo abierto obligatorio de todos los clasificadores. Todo ello dado que no existe un reconocimiento legal de la figura del clasificador en Uruguay, tema que se repite en los 3 encuentros de clasificadores que se convocado UCRUS hasta la fecha. [1]
</t>
  </si>
  <si>
    <t>No existe un reconocimiento legal de la ocupación de reciclador de base en la normativa nacional ni en la normativa local. Sin embargo, el Código Orgánico de Ambiente (en discusión), la Ordenanza 332 del Municipio de Quito (vigente) y el Plan Maestro de Gestión de Residuos de Quito (vigente) reconoce la labor de recicladores de base en procesos de recolección, segregación, reciclaje y comercialización de residuos sólidos [1]. 
En el marco normativo nacional enfocado en el desarrollo social y productivo, el Ecuador cuenta con políticas públicas para el fortalecimiento de la Economía Popular y Solidaria con sus respectivas instituciones a nivel nacional.  Se cuenta con la Ley Orgánica de la Economía Popular y Solidaria y del Sector Financiero Popular y Solidario (2011), en dónde se incluye e impulsa a los sectores vulnerables a formar organizaciones formales para producir, comercializar y consumir bienes y servicios en forma solidaria y auto gestionada [2].    
Al momento se encuentran reconocidas 11 organizaciones formales de recicladores de base a nivel nacional en la Superintendencia de la Economía Popular y Solidaria [3].</t>
  </si>
  <si>
    <t>En la Clasificación Brasilera de Ocupaciones, con el código 5192-05 se encuentra el trabajo denominado Reciclador de Materiales Reciclables. Se define como el recuperador de materiales como  chatarra, papel, cartón, plástico, otros. Así como embalador y separador de residuos en cooperativa [1]. La clasificación señala que el trabajo es libre e indica que no existe ningún requisito académico, aunque las cooperativas suelen realizar algún tipo de entrenamiento a sus trabajadores [1].</t>
  </si>
  <si>
    <t>Existe reconocimiento legal de la ocupación del reciclador, de acuerdo a lo señalado la Ley 20.920 Marco para la Gestión de Residuos, la Responsabilidad Extendida del Productor y Fomento al Reciclaje, conocida como 'Ley REP' reconoce a los recicladores de base como "Persona natural que, mediante el uso de la técnica artesanal y semi industrial, se dedica en forma directa y habitual a la recolección selectiva de residuos domiciliarios o asimilables y a la gestión de instalaciones de recepción y almacenamiento de tales residuos, incluyendo su clasificación y pretratamiento. Sin perjuicio de lo anterior, se considerarán también como recicladores de base las personas jurídicas que estén compuestas exclusivamente por personas naturales registradas como recicladores de base" (Artículo 3) (21) . Sin embargo está ley aún no tiene su reglamento, por lo que este reconocimiento todavía no se pone en práctica a través de mecanismos concretos, por ejemplo de inscripción y certificación de recicladores de base. 
Por otro lado, la Política de Inclusión de Recicladores 2016-2020 (2016), señala: "El potencial de la contribución de los recicladores a la cadena de valor de los residuos no ha sido aprovechado por la sociedad chilena. Esta situación obedece, por un lado, a la falta de condiciones organizativas y de infraestructura para llevar a cabo su trabajo y, por otro lado, a la ausencia de políticas públicas que valoricen el aporte de los recicladores en la reducción de la cantidad de residuos llevados a sitios de disposición final". (22)                  
A nivel municipal los recicladores de base son mencionados como actores del Programas de Reciclaje de Residuos Inorgánicos municipal que forma parte de la Política Ambiental Municipal (23). Para participar en los programas de reciclaje del municipio, los recicladores deben inscribirse en una nómina que maneja la Dirección de Aseo municipal: actualmente esta nómina tiene 7 recicladores inscritos. (24) (25) (26)</t>
  </si>
  <si>
    <t>F7</t>
  </si>
  <si>
    <t>La Ordenanza Municipal 408/14 "GESTIÓN INTEGRAL DE LOS RESIDUOS SÓLIDOS URBANOS Y LA PROMOCIÓN DE LA CULTURA DE BASURA CERO" reconoce al reciclador, carritero o ganchero como actor en la gestión integral de los residuos sólidos urbanos, y define como prioridad la inclusión de estos actores en el proceso de recolección, transporte y recuperación de los residuos reciclables con la asistencia técnica y financiera del municipio, sin embargo hasta el momento no se han diseñado estrategias que promuevan de forma clara y sistemática la vinculación de los mismos al sistema de gestión de residuos. [1,2,3]</t>
  </si>
  <si>
    <t>Se reconoce a los recicladores de base como prestadores de servicio en la gestión de residuos, o como se conoce en Colombia al servicio público de aseo. Lo anterior puede observarse en el Auto 275 de 2011 emitido por la Corte Constitucional, que manifiesta que el Distrito deberá llevar a cabo unas órdenes especiales para vincular a la población recicladora al servicio público de aseo: "El Distrito defina y rediseñe un esquema que dignifique la actividad del reciclaje y que tienda a su normalización a través de metas a cumplir en el corto plazo ... dicho plan deberá contener acciones afirmativas a favor de la población que se dedica de manera permanente a la actividad de reciclaje-lo que supone un enfoque diferencial- de manera que se logre su regularización respecto a la prestación de los servicios complementarios de aseo en los componentes de reciclaje, transporte, transformación y aprovechamiento de residuos" (subrayado fuera del texto) [1]
Por otra parte, el Decreto 596 de 2016 se define el esquema de la actividad de aprovechamiento como componente del servicio público de aseo, en el cual se establecen las obligaciones y un régimen de transición de 5 años para que las  de las organizaciones de recicladores se formalicen como prestadores del servicio y reciban remuneración vía tarifa pagada por los usuarios [2] [3].</t>
  </si>
  <si>
    <t xml:space="preserve">La Ley N° 992 [1] de la ciudad reconoce a los recuperadores urbanos al incorporarlos al servicio de higiene urbana en su Art. N° 2 "…El Poder Ejecutivo incorpora a los recuperadores de residuos reciclables a la recolección diferenciada en el servicio de higiene urbana vigente", también en su Art. N° 4 crea un Registro Único Obligatorio Permanente de Recuperadores de Materiales Reciclables donde prevé proveer a los inscriptos una credencial para ser utilizada durante el desarrollo de su actividad.
Si bien los recuperadores han sido incorporados a los servicios de higiene urbana, deben estar organizados en cooperativas. El Gobierno de la Ciudad de Buenos Aires contrata a 12 cooperativas que agrupan a 5.324 trabajadores que realizan las tareas de recolección de los materiales secos que los vecinos depositan en los contenedores verdes colocados en toda la ciudad [2]. 
Es necesario aclarar que existen recuperadores de residuos que no se encuentran cooperativizados con lo cual quedan excluidos de este sistema, son trabajadores que realizan sus tareas en la ciudad pero venden el material recolectado en municipios del conurbano. El estimado de recuperadores que trabajan por fuera de las cooperativas es de 3.500 a 4.500 y los que se encuentran formalizados en las cooperativas son 5.500 trabajadores [3].
Actualmente la población de recuperadores que se encuentra en cooperativas es de casi 6.000, y hasta un 25% más, casi llegando a 9.000 sería la aproximación de la totalidad de los recuperadores que trabajan en el ámbito de la ciudad [4].  
Formalmente la incorporación a la recolección formal de los recuperadores (asociados en cooperativas) se reconoce a través de la Res. N° 978 /12 del Ministerio de Ambiente y Espacio Público [5] de la ciudad luego de la aprobación del pliego para el Concurso Público para la Contratación del "Servicio de Recolección de Residuos Sólidos Urbanos-Fracción Secos" a partir del Decreto N° 636 /10 [6]. 
</t>
  </si>
  <si>
    <t>No existe reconocimiento de los recicladores de base a nivel municipal. La actividad de recolección de residuos recuperables operada por los empleados públicos de limpia es tolerada más no es reconocida [1].</t>
  </si>
  <si>
    <t>Los recicladores participan en organizaciones en la recolección de residuos reciclables en las rutas selectivas [1], incluso el Programa de Incentivos a la Mejora de la Gestión Municipal establece dentro de sus metas el establecimiento de rutas de recolección selectiva con la participación de organizaciones de recicladores [2].
Para la prestación del servicio, las organizaciones deben llevar a cabo autorización de la Municipalidad Metropolitana de Lima. Quienes no obtienen esta autorización y llevan aún así acabo las actividades de recuperación de materiales, se les considera informales [3][4], además se considera motivo de infracción y sanción [4].
Pese a que la normatividad los reconoce como actores del servicio y que tienen exigencias para llevarlo a cabo, no existe remuneración por lo cual en la práctica no hay reconocimiento [5][6].</t>
  </si>
  <si>
    <t>No existe reconocimiento de la actividad de reciclaje informal a nivel municipal. Lo anterior, teniendo en cuenta que en la Ley de Residuos Sólidos del Distrito Federal no se encuentra explícitamente la integración de la actividades de recuperación de los desechos secos reciclables llevadas adelante de forma integrada con  el servicio de limpia* (definiciones en el artículo 36). De acuerdo con la norma, la recolección de residuos urbanos sólo puede ser prestadas por las organizaciones autorizadas por la Secretaría, y  precisa la prohibición de que actividades paralelas sean prestadas por un tercero "bajo cualquier figura, agrupación, organización, razón social o a título individual" [1].  Sin embargo, todos los trabajadores de limpia involucrados en el servicio público llevan adelante la recuperación del residuos seco reciclable, de una manera integrada al servicio del cual son oficialmente prestadores.
Adicionalmente, para la recolección de residuos, la norma establece exigencias sobre los vehículos a ser usados (artículo 39) y exige Licencia Ambiental Única del Distrito Federal y un plan de manejo (artículo 42). Dicha autorización se materializa en el Aviso  emitido por la Secretaría de Ambiente del 8 de julio de 2015 en el cual se definen las obligaciones para llevar a cabo cualquier actividad del manejo de residuos sólidos [2].
Existen además criterios y especificaciones técnicas para llevar a cabo las actividades relacionadas con la separación, clasificación recolección selectiva y almacenamiento de los residuos [3] por parte de la Secretaría. Dentro de estas especificaciones, se establece que la separación primaria** de los residuos por parte del generador en la fuente es obligatoria y debe realizarse de acuerdo con las especificaciones del artículo 6. La separación secundaria***, en cambio, puede ser llevada a cabo por la fuente generadora o en plantas de selección. Es decir que, excepto en el caso en que los recicladores informales lleven a cabo las actividades en una planta de separación, su actividad no se encuentra dentro de los criterios establecidos por la Secretaría.
Con respecto a la labor en sí, no se reconoce a los recicladores como prestadores del servicio, toda vez que se les asocia como un servicio voluntario, lo cual los continúa involucrando en un esquema de informalidad toda vez que no existen pagos, ni cubrimiento en seguridad social, prevención de riesgos laborales, entre otros y su remuneración está sujeta a las propinas que dan las viviendas y lo que pueden extraer de los residuos [4].
*Servicio de limpia hace referencia a los servicios prestados por el Gobierno Federal presta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(Definición disponible en http://www.tramitesyservicios.df.gob.mx/wb/TyS/servicio_de_limpia)
**La separación primaria hace referencia a la separación de los residuos orgánicos de los inorgánicos
***La separación secundaria hace referencia a la separación específica de los residuos inorgánicos</t>
  </si>
  <si>
    <t>En el Municipio de San José, hay conciencia de la existencia de un sector informal de recicladores de base que operan en el cantón, especialmente en zonas comerciales. Sin embargo, estos son asociados a indigencia y problemas de salud y adicciones. Durante muchos años, el sector fue completamente ignorado y mas bien asociado a problemas de estética urbana. De hecho lo que el municipio consideró como reciclaje inclusivo o recicladores de base, fueron organizaciones comunitarias –especialmente de mujeres jefas de hogar- a las que se les incentivó a trabajar en el reciclaje del cantón.(16) 
Después del decaimiento del rol de las organizaciones comunitarias en el sistema de reciclaje municipal, producto de la ausencia de estímulos económicos, la baja tasa de recuperación y la baja de los precios de venta de los materiales reciclables, el municipio está mirando con interés el rol que pudiera desempeñar el sector informal, como colaboradores en las metas de recuperación municipal.
En este cambio de visión ha sido importante el rol del Ministerio de Salud, como órgano rector de la gestión de los residuos y su nuevo y decidido enfoque de inclusión de recicladores, plasmado en la Estrategia Nacional de Separación, Recolección y Valorización de Residuos. En esta línea, el Municipio de San José, en conjunto con el Ministerio de Salud, tiene planes futuros de inclusión de recicladores en los sistemas de gestión de residuos, empezando por campañas de levantamiento de información del sector informal, para desarrollar estrategias de formalización y coordinación para el aumento de las tasas de recuperación. (17)</t>
  </si>
  <si>
    <t xml:space="preserve">Se reconocen a los recicladores de base como prestadores de servicio en la gestión de residuos. La Ley 12.305 de 2010 señala la directriz de que el servicio de recolección selectiva sea prestado por organizaciones de recicladores [1], sin embargo cada municipio se acoge de manera distinta [2]. Los recicladores organizados en cooperativas catastradas por la autoridad municipal que tienen permiso tienen total reconocimiento, en cambio los recicladores autónomos, es decir, no organizados en cooperativas, no hay reconocimiento formal o contratación [3].
En San Pablo se reconocen los recicladores de la siguiente manera: recicladores autónomos, cooperativas, asociados y los integrados a la gestión municipal.  En su sistema formal, San Pablo tiene registradas 22 cooperativas que reciben asistencia, como equipos de seguridad, asistencia administrativa respecto a como organizarse, implementos para pesar los residuos.  A su vez tienen convenios con empresas que realizan la recolección, quienes les entregan  residuos reciclables a las cooperativas [4].
Por otra parte, algunos trabajadores o recicladores trabajan en las 2 centrales mecanizadas de segregación donde operan como funcionarios. San Pablo tiene 2 plantas de segregación muy modernas en las que trabajan las cooperativas y sus recicladores operan como funcionarios. Hay empresas de servicios de aseo, que incluyen a los recicladores, quienes se encargan de recolectar los residuos y los llevan a una central mecanizada o a una cooperativa, según donde les sea mas conveniente [4]. </t>
  </si>
  <si>
    <t xml:space="preserve">La Política de Gestión Integral de Residuos, que forma parte de la Política Ambiental Municipal, reconoce a los recicladores de base como quienes están a cargo del retiro de materiales reciclables del Programa Piloto de Reciclaje de Residuos Inorgánicos en Eco Barrios (27). El reciclaje municipal, los últimos 2 años se está orientando hacia servicios de recolección selectiva que ofrece el municipio a la comunidad y dentro de estos servicios se está probando el modelo de reciclaje inclusivo. Esto quiere decir que en la práctica, los recicladores de base participantes del programa, están siendo parte de un servicio municipal (28).  
Sin embargo este reconocimiento se da en un programa piloto, a un número reducido de recicladores de base. Fuera del programa, la gran mayoría de los recicladores no son reconocidos como prestadores de servicio, sino más bien como parte del sistema informal de reciclaje en la comuna, que no se encuentra regulado y ocurre sin participación del municipio (29) (30).  </t>
  </si>
  <si>
    <t>F8</t>
  </si>
  <si>
    <t xml:space="preserve">No se ha constatado la existencia de ningún censo formal de la población de recicladores, a pesar de que la Ordenanza Municipal 408/14 determina la existencia de un 'Registro de Recicladores en el cual deberán inscribirse todas las personas físicas o jurídicas, públicas o privadas que se dediquen o pretendan dedicarse a la gestión total o parcial de los residuos reciclables [5]. A su vez, ninguno de los entrevistados mencionó estar al tanto de que se haya realizado un censo formal de los recicladores [6,7,8].
Según artículos de la prensa, 'registros del municipio basados en un censo realizado en el año 2008 y reajustado de acuerdo al crecimiento experimentado por la ciudad en los últimos tiempos, existen más de 3.000 personas que se dedican a esta actividad de manera informal en todo el territorio asunceño'.[1] Otros artículos hablan de 600 gancheros (personas que recogen materiales reciclables directamente en el vertedero) censados en el vertedero de Cateura [2]. Estos números son los manejados por diferentes fuentes [3,4].
</t>
  </si>
  <si>
    <t xml:space="preserve">Formalmente no se han realizado censos de recuperadores. Existe un Registro Único Obligatorio Permanente de Recuperadores de Materiales Reciclables (RUR) que fue creado por el Art. N° 4 de la Ley N° 992 [1]. Una vez que los recuperadores se inscriben, se les otorgan credenciales para poder realizar sus actividades, más allá de que se encuentren o no cooperativizados [2]. Aunque el registro existe, no se encuentran registrados todos los recuperadores (cartoneros) que trabajan en las calles de la ciudad [3]. 
Se encuentran registrados en el RUR, aproximadamente 12.000 personas desde que éste se puso en marcha. Sin embargo, como el registro es voluntario, quienes se encuentran registrados no necesariamente realizan tareas de recuperación actualmente. Según la Dirección General de Reciclado los recuperadores que se encuentran en el sistema son 5.324, que son quienes reciben el incentivo y se encuentran asociados a cooperativas [4].  
Sin embargo, otras fuentes otorgan cifras mayores.  El estimado de recuperadores que trabajan por fuera de las cooperativas es de 3.500 a 4.500 y los que se encuentran formalizados en las cooperativas son 5.500 trabajadores, esto arroja un estimado de 9.000 a 10.000 recuperadores en total que trabajan en el ámbito de la ciudad [5]. 
La Federación Argentina de Cartoneros y Recicladores (FACYR) cuenta con 65 miembros asociados que nuclean a aproximadamente 65.000 recuperadores en el país y estima que 200.000 trabajadores realizan tareas de recuperación de residuos en distintas condiciones (basurales, recuperación en vía pública o plantas de clasificación) [6].  
</t>
  </si>
  <si>
    <t xml:space="preserve">No se ha realizado un censo de la población de recicladores. Solo se registró la población recicladora que antes operaba en el vertedero de 3 mile George Price Highway y que hoy trabaja en la Estación de Transferencia [1,2,3,4]. </t>
  </si>
  <si>
    <t>El Decreto Supremo 005 de 2010 requiere a los municipios llevar a cabo un censo de los recicladores el cuál debe sujetarse al Anexo II, el que señala preguntas mínimas para la caracterización socioeconómica de los recicladores [1].
En Perú, se realizó un censo socioeconómico en el año 2014 [2]. En el censo se identificó que existen 108 mil recicladores de los cuales el 36% residen en Lima (provincia)[3][4].</t>
  </si>
  <si>
    <t>Según un estudio elaborado por la Facultad de Economía de la Universidad de la República a pedido de la Intendencia de Montevideo que se publicó en mayo de 2013 hay en Montevideo un total de 3.188 recicladores. De ellas hay 1.462 personas que recolectan y clasifican, 1.056 que solo recolectan y 670 que solo clasifican. [1]
Otro estudio a partir de un muestreo puntual que luego se extrapoló indicó, en el mismo 2013, había en Montevideo una población de recicladores de 1,2 por cada 1.000 habitantes. [2]</t>
  </si>
  <si>
    <t>El Municipio del Distrito Metropolitano de Quito realizó un censo en el año 2014 que arroja un total de 2.264 recicladores en la ciudad de los cuales el 69% son mujeres. La mayor cantidad de los censados son personas entre los 18 y 55 años, corresponde al 66.48%  [1][2].  Asimismo, la Iniciativa Regional para el Reciclaje Inclusivo desarrolló un estudio a nivel nacional sobre recicladores de base, donde se evidencia que en la ciudad de Quito el 70% son mujeres, de las cuales, el 85% se encuentra en el rango de Población Económicamente Activa [3]. 
Considerando que existe esta  herramienta de análisis, es importante mencionar, que no se cuenta con un sistema y/o mecanismo de actualización de información de recicladores de base, así como tampoco se cuenta con una estrategia de socialización de información y procesos de seguimiento y control.</t>
  </si>
  <si>
    <t>En el país y específicamente en el Cantón de San José no hay censos de la población de recicladores de base. A futuro como parte de los planes de implementación de la Estrategia Nacional de Separación, Recolección y Valorización de Residuos, se tiene contemplado reunir antecedentes, contabilizar y caracterizar al sector en el cantón. (18)(19).
En el Diagnóstico y Áreas Prioritarias del Plan de Residuos Sólidos de Costa Rica (PRESOL), realizado el año 2007 por el Programa de Competitividad y Medio Ambiente (CYMA), se menciona que “el sector informal del reciclaje representa una parte significativa de los esfuerzos de reciclaje e nivel país (…). Este sector practica una recolección y acopio informal de residuos que es difícil de cuantificar y prácticamente se desconoce. Solo en la Municipalidad de San José se estiman unas 500 personas recolectando materiales reciclables en las calles”. (20)           
El año 2011 la Red Latinoamericana y de El Caribe de Recicladores (Red LACRE) con el apoyo de la ONG Asociación Centroamericana para la Economía, Salud y Ambiente (ACEPESA) visitaron 13 vertederos, identificando un total de 241 personas trabajando en ellos, de las cuales 93 (38%) son mujeres y 148 son hombres (61%). (21)</t>
  </si>
  <si>
    <t>Se llevó a cabo un censo a nivel nacional en el año 2012 por parte del Instituto de Investigaciones Económicas Aplicadas (IPEA, por sus siglas en portugués),  una entidad pública federal, adscrita al Departamento de Planeación, Desarrollo y Gestión[1]. Los resultados de este censo se presentan en el documento "Situação Social das Catadoras e dos Catadores de Material Reciclável e Reutilizável". De acuerdo con el censo en Brasil existen 387 mil recicladores de los cuales el 41% se encuentra ubicado en el Sudeste, que corresponde al área de San Pablo. Los resultados de la zona Sudeste indican que la edad media de los recicladores es 40 años, el 30% son mujeres, el 63% afrodescendientes, el 96% residen en el área urbana y el 45% se encuentra formalizado [3]
Sin embargo, esta información es parcial y no muestra realmente la situación actual de los recicladores. Por ejemplo se encuentran discrepancias en la representación de las mujeres, pues según la encuesta las mujeres son menos del 4% del total de recicladores, mientras que el Movimiento Nacional de Recicladores (Movimiento Nacional dos Catadores de Materiais Reciclaveis por sus siglas en portugués) señala que las mujeres son cerca del 70% [2].</t>
  </si>
  <si>
    <t>A la fecha no se ha realizado un censo de la población total  de recicladores en la Comuna de Santiago. El Movimiento Nacional de Recicladores de Chile, que colabora con el programa de reciclaje municipal de Santiago, estima que en esta comuna trabajan entre 200 y 300 recicladores de base, la gran mayoría de los cuales trabaja de manera informal, en ciertas zonas de la comuna, especialmente comerciales y de servicios (31). En el marco del Proyecto "Reciclaje Inclusivo Comunal" ejecutado por Fundación Casa de La Paz y Movimiento Nacional de Recicladores, se realizó un "Catastro Socio Laboral de Recicladores de la Región Metropolitana" (2015). Dicho catastro se basó en una encuesta aplicada a una muestra de 404 recicladores de base en 4 municipios de la Región Metropolitana. En el caso del municipio de Santiago, se encuestó a 84 recicladores (32), pero no se logró establecer el universo total de recicladores de la Comuna de Santiago (33).</t>
  </si>
  <si>
    <t>F9</t>
  </si>
  <si>
    <t xml:space="preserve">La Municipalidad de Asunción cuenta con un proceso abierto de licitación. Las convocatorias a licitaciones son promocionadas a través de la pagina web de la municipalidad [1] y en el Portal de Contrataciones Públicas de la República del Paraguay [2]. Sin embargo, a pesar del proceso abierto y medianamente transparente que existe, no se encontraron indicios que la municipalidad realice ningún tipo de licitación relacionada al reciclaje. La Dirección Nacional de Contrataciones Publicas es el ente responsable de fiscalizar las licitaciones de la municipalidad. </t>
  </si>
  <si>
    <t>Las cooperativas que realizan la recolección de residuos secos de la ciudad se encuentran trabajando bajo la modalidad de Contrato de Concesión que deriva del Concurso Público N° 1 / 10 que fue aprobado por Decreto N° 636 /10 [1]. 
El Pliego de Bases y Condiciones [2] de este concurso define en su Art. N° 2 que el servicio de recolección de residuos secos estará a cargo exclusivamente de cooperativas de recuperadores.
Los procesos de licitación existentes han tenido mediana transparencia, si bien fueron abiertos, el contrato no era del todo claro, y desde que se inició el proceso en 2010 hasta que finalmente se firmaron los contratos con las cooperativas pasaron más de 2 años [3].
Cabe aclarar que los procesos, contaron en ese momento con el aporte de las organizaciones Poder Ciudadano [4] y Fundación Cambio Democrático [5] dedicadas a promover procesos participativos en la toma de decisión en el marco de la Consulta Pública de Residuos Sólidos Urbanos [6]. Ambas organizaciones tenían convenios de colaboración con el gobierno autónomo hasta junio de 2014 [7], fecha de finalización de convenios con ambas fundaciones, no existen actualizaciones posteriores a 2013 en la web sobre la Consulta Pública de Residuos Sólidos Urbanos.
Actualmente se están discutiendo las condiciones del nuevo pliego de recolección de residuos secos a implementarse en 2017, donde las cooperativas de recuperadores están solicitando que se respeten los derechos adquiridos, se revisen las modalidades de contratación/financiación y se contemplen todas las condiciones de trabajo definidas en el pliego actual que no se han logrado implementar todavía [8].
Luego de la marcha de julio pasado [9] hubo un cambio de la gestión y el mismo está más permeables, en primer lugar a que los oferentes sigan siendo las cooperativas de cartoneros o sus organizaciones, que la idea de incorporar empresas privadas queda reducida solo a la prestación de servicios complementarios. Igualmente las mesas de trabajo para la discusión del nuevo pliego no son formales todavía, y no han trabajado en un pliego concreto y sin duda hay muchas cosas para mejorar. La Federación Argentina de Cartoneros y Recicladores (FACYR) solicitó a la Defensoría del Pueblo y al Gobierno de la Ciudad que existan organismos independientes que supervisen los procesos [10].</t>
  </si>
  <si>
    <t>No existen procesos de licitación para el reciclaje [1,2]. Sin embargo, entre las clausulas de la licitación nacional para la realización y operación de la Estación de Transferencia y del Relleno Sanitario que sirven Ciudad de Belice, se pidió al licitatorio de reorganizar y favorecer la actividad de los recicladores de base anteriormente presentes en el sitio de la Estación de Transferencia. Efectivamente el licitatorio (PASA BELIZE Ltd.) incorporó a los recicladores de base en el layout y flujo de proceso de la planta y mejoró sus condiciones de trabajo [2,3,4,5, 6].</t>
  </si>
  <si>
    <t xml:space="preserve">Las organizaciones de recicladores que cumplan lo indicado en la Ley 29419 pueden vincularse a las rutas de recolección selectiva del municipio [1] y el programa  de Incentivos a la Mejora de la Gestión Municipal ha sido el mecanismo por el cual los municipios han facilitado la integración de los recicladores en el servicio de aseo [2].  Sin embargo, existe la percepción entre los recicladores de que estos procesos al interior no son transparentes ya que no se difunde la comunicación al sector informal y tampoco se evidencia una fiscalización y seguimiento permanente y riguroso al proceso licitatorio[3]. </t>
  </si>
  <si>
    <t>En el Distrito Federa la Ley precisa la prohibición de la prestación por parte de un tercero no autorizado "bajo cualquier figura, agrupación, organización, razón social o a título individual" de los servicios de limpia y establece requisitos mínimos en los sistemas de recolección para que se lleven a cabo estas actividades [1]. El servicio de limpia  en las vías secundarias es prestado "in house" directamente por el Gobierno de la CDMX y por las Delegaciones Políticas [2]; en las vías primarias la mayoría del servicio es prestado "in house", sin embargo en algunas rutas el servicio es prestado por empresas privadas a las cuales no es requerido ningún servicio de recolección selectiva o reciclaje [3]. En el caso de los "pepenadores", su actividad de separación  en las plantas de selección no es establecida por procesos de licitación sino por acuerdos directos o minutas de reuniones entre el Gobierno de la CDMX y sus 3 asociaciones de referencia  (Unión de Pepenadores del D.F. Rafael Gutiérrez Moreno, AC; Frente Único de Pepenadores, AC; Asociación de Selectores de Desechos Solidos de la Metrópoli, AC) . Los textos de dichos acuerdos y minutas no son publicados en el web, aunque existen paginas web que registran los números de expediente [4].
*Servicio de limpia hace referencia a los servicios prestados por el Gobierno Federal presta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(Definición disponible en http://www.tramitesyservicios.df.gob.mx/wb/TyS/servicio_de_limpia)</t>
  </si>
  <si>
    <t>La Intendencia de Montevideo no tiene licitaciones que incluyan a recicladores. Sí se lleva un control, mediante autorizaciones, de los transportistas que están gestionando los residuos de los grandes generadores, pero estas contrataciones se gestionan a nivel privado, no hay intervención de la municipalidad. [1]
Algunos ex recicladores, y otras personas con algún capital que anteriormente nunca habían trabajado en el reciclaje, compraron un camión y se dedicaron a la recolección de los residuos de los grandes productores, comercios básicamente. Si bien no es una licitación municipal,  la administración municipal controla a aquellos que realizan estas tareas. Son los llamados "transportistas", y dentro de los recicladores se los percibe con un estatus superior. [2] [3]
No ha habido licitaciones específicas para el desarrollo de la recolección selectiva. El sistema actual fue una propuesta de Consorcio Ambiental del Plata (CAP) [4] para incorporarlo dentro de la licitación global de la gestión de residuos urbanos de Montevideo. [5]</t>
  </si>
  <si>
    <t xml:space="preserve">No existe un sistema o proceso formal de licitación para el reciclaje a nivel nacional ni local. Es importante mencionar que Quito cuenta con empresas públicas de prestación de servicios de recolección, transferencia, aprovechamiento y disposición final, y por ende, los procesos de licitación son escasos [1]. Sin embargo, existen procesos de comercialización de materiales reciclables con empresas recicladoras, dónde muy difícilmente se cuenta con presencia de organizaciones formales de recicladores de base [2].  
En el último año (2015)  se abrió un proceso de contratación de pública para obreros en la Estación de Transferencia del Sur, en la misma, participaron recicladores de base de la Estación de Transferencia del Norte, de los cuales, 17 recicladores fueron seleccionados como operarios municipales [3].    
La Red Nacional de Recicladores del Ecuador  (RENAREC), la organización de recicladores más grande de Ecuador,  no tiene conocimiento sobre los procesos de licitación para la GIRS, específicamente para procesos de reciclaje. Se menciona que la relación formal entre recicladores de base con el Municipio corresponde al diseño e implementación de proyectos específicos de recolección diferenciada  [4].                                   </t>
  </si>
  <si>
    <t>El Municipio de San José, dado que es prestador directo del servicio de gestión de residuos sólidos, ha realizado procesos licitatorios sólo para la adquisición de vehículos u otro equipamiento o mantención necesaria para el prestar adecuadamente el servicio.(22) En lo relativo a disposición final, función que sí externaliza, ha renovado contrato con la empresa que prestaba el servicio en el periodo anterior, por lo que no ha habido proceso licitatorio. 
En lo relativo al sistema municipal de reciclaje, es el mismo municipio quien presta el servicio de recolección, acopio,  selección, compactación y venta. Las empresas compradoras, un total de 7 actualmente, solo establecen acuerdos de compra de determinados materiales: no hay proceso licitatorios involucrados.(23)</t>
  </si>
  <si>
    <t>No existen procesos de licitación para el reciclaje. Sólo convenios o colaboraciones específicas para llevar adelante distintos programas de reciclaje. Este es el caso del convenio firmado por el municipio con la Empresa Metropolitana de Residuos Sólidos (EMERES) para implementar un Proyecto Piloto de Reciclaje en edificios (2015) (34)(35); o el convenio suscrito con el Movimiento Nacional de Recicladores, para implementar un sistema de reciclaje inclusivo para eventos masivos (2013) (36). Históricamente el reciclaje municipal se ha llevado adelante de esta manera: a través de convenios con terceros, para implementar iniciativas de reciclaje de baja escala. En los últimos años, en el marco de la nueva Política Ambiental Municipal (37) el municipio se ha involucrado más en el diseño y gestión de programas de reciclaje, con el objetivo de aumentar la escala de implementación de estos e ir perfilando una serie de servicios municipales de mayor alcance, los que en un futuro cercano podrían ser licitados.(35)</t>
  </si>
  <si>
    <t>F10</t>
  </si>
  <si>
    <t>La Ordenanza Municipal 408/14 "GESTIÓN INTEGRAL DE LOS RESIDUOS SÓLIDOS URBANOS Y LA PROMOCIÓN DE LA CULTURA DE BASURA CERO" la cual conforma la estrategia municipal de gestión integral de residuos sólidos fue el resultado de un trabajo participativo entre diferentes actores de la Municipalidad de Asunción, incluyendo la Junta Municipal, organizaciones de recicladores de base y organizaciones de la sociedad civil tales como la Coordinadora de Organizaciones de Recicladores de Asunción, la organización Alternativa y la Fundación Avina. El resultado del proceso, plasmado en la ordenanza 408/14 refleja el proceso del trabajo realizado y consensuado entre los diferentes actores claves. [1,2]</t>
  </si>
  <si>
    <t>La normativa aplicable a Bogotá viene del ámbito nacional y distrital de acuerdo con lo que se mencionará a continuación.
A nivel nacional, el Decreto 596 y su reglamentación en la Resolución 276 de 2016 fueron elaboradas bajo el esquema de construcción colectiva con actores de diversa índole a nivel nacional. Es así como se contó con participación de representantes de 96 organizaciones de recicladores de oficio de Bogotá, Área Metropolitana del Valle de Aburrá, Área Metropolitana de Bucaramanga, Área Metropolitana de Barranquilla, Cali y eje cafetero; operadores del servicio público de aseo, Autoridades Ambientales, Entes territoriales (Alcaldes, Gobernaciones y Áreas Metropolitanas), industria y ONG. Todos ellos participaron en talleres previos de discusión y remitieron propuestas concretas de articulado y escalera de progresividad [1] [2].
A nivel distrital, para la actualización del Plan de Gestión Integral de Residuos Sólidos se convocó a distintos actores que intervienen en el servicio público, específicamente por parte de los recicladores participaron 2 delegados elegidos por las organizaciones [3].
Sin embargo, debe tenerse en cuenta que en Bogotá existen 170 organizaciones de recicladores y el Plan de Gestión Integral de Residuos Sólidos se consultó con 17. Adicionalmente, el hecho de hacer partícipe a los actores no necesariamente significa que los comentarios se han tenido en cuenta [2].</t>
  </si>
  <si>
    <t xml:space="preserve">El proyecto de ley de gestión integral de residuos, posteriormente Ley N° 1854/05 [1], se trabajó en la Comisión de Ecología de la Legislatura de la Ciudad de Buenos Aires, donde asistían cooperativas de recuperadores, Greenpeace, industrias y miembros del Programa de Recuperadores Urbanos (hoy Dirección General de Reciclado), en el proyecto se incorporó la figura del recuperador urbano como trabajador de la recolección de residuos secos [2]. El Movimiento de Trabajadores Excluidos y las cooperativas El Álamo y El Ceibo participaron en la redacción de la Ley N° 1854/05 [3].
Según un Informe [4] de la Comisión Técnica de Seguimiento de la Ley N° 1854 / 05 el proceso de redacción de la ley se realizó en un marco de gran participación que, entre otras cosas, dejó como producto la Comisión Asesora Permanente, creada por el artículo 10º de la ley y puesta en funcionamiento por el artículo 50º de su Decreto Reglamentario Nº 639/GCBA/07 [5].
A partir del año 2008, luego del cambio de gobierno, el trabajo en comisión fue reduciéndose y finalmente la comisión fue cerrada. En 2012 se retoma el dialogo a partir de la solicitud de las organizaciones no gubernamentales y debido a tres acontecimientos, la negociación respecto de la disposición final con la Provincia de Buenos Aires, el llamado a licitación del servicio de higiene urbana (fracción húmedos) y la contratación de las cooperativas para realizar el servicio de recolección de la fracción secos [4].
</t>
  </si>
  <si>
    <t>En el desarrollo de las estrategias y políticas municipales sobre gestión de residuos no hubo diálogo ni consulta con los recicladores de base; esta población no está organizada ni tiene voceros.</t>
  </si>
  <si>
    <t xml:space="preserve">Para el desarrollo de la normativa y del PGIRS se promueve la participación de todos los actores [1]. En el documento del Plan Integral de Manejo de Residuos Sólidos se observa en el Anexo I las listas de asistencia de las personas que participaron en los "Focus Group" los cuales fueron realizados por un Comité Técnico asesorado por Ciudad Saludable, Perú Waste Innovation (PWI) y Promoción para el Desarrollo Sostenible (IPES) y en los cuales participaron principalmente representantes de entes gubernamentales de las municipalidades de Lima y representantes del sector industria, transporte, educación, aseo y salud, el anexo III las actas de sus reuniones y en el anexo IV fotografías de los asistentes [2]. 
Específicamente, representantes de asociaciones de recicladores como el Movimiento Nacional Peruano de Recicladores y otras asociaciones de Lima, han participado en reuniones y debates en las mesas de trabajo propuestas. No obstante lo anterior, la participación de los recicladores es baja, debido a que desconocen la normativa [3] y en adición la propuesta final se desarrolla entre los Concejales [4]. </t>
  </si>
  <si>
    <t xml:space="preserve">La normativa o estrategia no ha involucrado formalmente a los recicladores de base. Los Programas de Gestión de Residuos Sólidos son elaborados principalmente por la Secretaría del Medio Ambiente del Distrito Federal, con el apoyo de la Secretaría de Obras Públicas y la Dirección General de Servicios Urbanos, pero no existe un proceso participativo transparente en el que puedan participar u opinar los recicladores de base [1]. Sin embargo, el Sindicato, que representa a los recicladores de base que participan en el Servicio de Limpia, y los lideres de las asociaciones de pepenadores, son normalmente consultados cuando se elaboran políticas que implican un impacto hacia ellos; estas consultaciones son prevalentemente informales [2].
Para la emisión de otra normativa, como la modificación a la Norma Mexicana Oficial 083 en relación con los rellenos sanitarios, se realizan consultas a los empresarios que prestan servicios de recolección, transporte y disposición final de residuos, así como a representantes de delegaciones [3] [4]. En relación a la disposición final,  no se considera que los recicladores informales tengan injerencia sobre este tipo de normas, ya que las mismas están orientadas a definir criterios técnicos sobre la construcción y operación de sitios de disposición final, lo cual es distinto a sus actividades [4] </t>
  </si>
  <si>
    <t>La Ordenanza 332 fue realizada de manera participativa con organizaciones de recicladores de base de la ciudad de Quito [1] no obstante, la Red Nacional de Recicladores del Ecuador (RENAREC) no participó como entidad representante de recicladores de base en la construcción de la misma [2]. 
El borrador Plan Maestro de Gestión Integral de Residuos fue socializado con la RENAREC, quienes emitieron comentarios y sugerencias al documento, las mismas que fueron acogidas en el documento final [2][3].</t>
  </si>
  <si>
    <t>El proceso de construcción del Plan Municipal de Gestión Integral de Residuos Sólidos (24) siguió la metodología propuesta en el Manual para la Elaboración de Planes de Manejo de Residuos Sólidos Municipales elaborado por el Programa de Competitividad y Medio Ambiente (CYMA). Esta metodología considera como Fase 1, “unir voluntades” y elaborar  un diagnóstico sobre la situación de los residuos del cantón.(25)
Los actores considerados para la construcción del diagnóstico, por categorías, fueron: actores institucionales (gubernamentales, autónomos y municipio), usuarios (residencial, población flotante, comercio y servicios, industrial, generadores de residuos orgánicos y peligroso, sector construcción, zona franca y aeropuerto), actores del transporte y recolección (sistema público y privado de transporte y recolección de residuos) y actores de tratamiento, disposición final y reciclaje.
Ciertos actores de la recolección y el reciclaje fueron incluidos en el diagnóstico. Dentro de esta categoría se consideró a la Red de Reciclaje de Costa Rica (REDCICLA), compuesta por 64 centros comunitarios, 67 empresas recuperadoras y 42 empresas recicladoras. También se consideraron los centros de reciclaje municipales, como el  Centro de Recuperación de Materiales Valorizables. Respecto del sector informal, se señala que “en el cantón no existe información o investigación para saber si existe o no otros centros formales o informales”. En este sentido, los recicladores de base no fueron considerados dentro de  la elaboración del diagnóstico.(26)</t>
  </si>
  <si>
    <t xml:space="preserve">El Plan de Gestión de Residuos Sólidos de Sao Paulo señala que hubo un proceso constructivo en la elaboración del mismo ya que en el mes de mayo de 2013 se emitió un Decreto mediante el cual se "Convoca a la Conferencia Municipal de Medio Ambiente y se Crea el Comité Intersectorial para la Política Municipal de Residuos Sólidos". En el mismo se crearon 5 grupos de trabajo conformados por personas del poder público y la sociedad civil,  uno de ellos se refiere en específico a la elaboración del Programa de Recolección Selectiva con Inclusión de Recicladores. A la conferencia asistieron 7 mil personas, de las cuales luego se seleccionaron a 800 para continuar con las reuniones, y se abordaron distintos temas entre ellos educación ambiental y el apoyo al desarrollo e inclusión de los recicladores[1]. 
En general, para la formulación de las normativas municipales relacionadas con los residuos siempre participan como mínimo: (i) la Secretaria de Servicios Públicos, la Secretaria de Ambiente, la Autoridad de Limpieza Urbana (ALURB) y el Movimeinto Nacional de Recicladores (Movimiento Nacional dos Catadores de Materiais Reciclaveis, MNCR) [2] [3][4]. </t>
  </si>
  <si>
    <t>La principal normativa municipal de residuos sólidos es la "Ordenanza Nº 77 Aseo en la Comuna" (39). Esta normativa fue elaborada por el municipio el año 1988 y no hay evidencia de procesos participativos asociados a su construcción. 
El Plan de Desarrollo Comunal 2014-2020 (PLADECO) (40), consideró la participación activa de la comunidad a través de una serie de actividades participativas de diagnóstico y planificación tales como encuentros ciudadanos, cabildos y talleres temáticos, entre otras. A partir de este esfuerzo de diseño participativo del PLADECO, se elaboraron estrategias y programas específicos como la Política Ambiental Municipal (41) que a su vez contiene la Política de Gestión Integral de Residuos Sólidos, a cargo del la Dirección de Aseo y la Subdirección de Medio Ambiente. La opinión de los recicladores organizados -a través del Movimiento Nacional de Recicladores de Chile- y de otros actores civiles que promueven el reciclaje inclusivo, fue considerada y se vio reflejada en las acciones y programas de la Política de Gestión Integral de Residuos (42).</t>
  </si>
  <si>
    <t>F11</t>
  </si>
  <si>
    <t xml:space="preserve">Es difícil encontrar información real y fehaciente referente a los programas de formación ofrecidos a nivel nacional y/o municipal. Según el informe "Levantamiento de Información de Experiencias de Formación a Recicladores y Funcionarios Gubernamentales" el Paraguay no cuenta con un programa nacional de formación de recicladores. El informe, identifica acciones de formación dirigidas a mejorar autoestima y valorar el rol del reciclador en la GIRS pero cabe resaltar que estas acciones no son llevadas a cabo por la municipalidad sino por organizaciones de la sociedad civil. El informe también destaca que en el país no existe un programa de formación de funcionarios gubernamentales, enfocado específicamente en GIRS y menos aún con énfasis en reciclaje inclusivo. [1]
La misma información fue validada por los entrevistados quienes desconocían que existan programas de capacitación específicos desarrollados por la municipalidad.[2,3] Sin embargo cabe destacar que la Municipalidad de Asunción ha apoyado y llevado a cabo campañas de concientización orientadas a la ciudadanía en general incentivando buenas prácticas ambientales a través del reciclaje de materiales en desuso. En su gran mayoría estas actividades son organizadas e implementadas por el sector privado y/o organizaciones de la sociedad civil y apoyados por la municipalidad. [4,5]
</t>
  </si>
  <si>
    <t>El Distrito cuenta con una unidad responsable de garantizar la prestación de los servicios públicos incluyendo el de aseo, además es la entidad encargada de la elaboración del PGIRS  Unidad Administrativa de Servicios Públicos (UASEP) [1]. Desde esta unidad se han hecho capacitaciones a los distintos actores de la gestión integral de residuos: usuarios, recicladores independientes y organizados, empresas de servicios públicos, empresas privadas y funcionarios, especialmente en temas relacionados con separación en la fuente [2].
De igual forma, se ve reflejado en la actualización del Plan de Gestión Integral de Residuos Sólidos programas de capacitación para los usuarios y para los recicladores independientes y organizados [3].
Cabe señalar, que si bien existen diversos programas de capacitación a los recicladores y las organizaciones de recicladores, algunas se encuentran desenfocadas ya que no tienen en cuenta las particularidades del reciclaje [4].</t>
  </si>
  <si>
    <t xml:space="preserve">Existen actualmente programas de formación/capacitación en el marco de la Ley N° 3709 /10 de la ciudad [1] que entre sus objetivos prevé "...Concientizar a la población sobre la correcta gestión de los residuos sólidos urbanos (RSU)...". Por otro lado, a través de la política Ciudad Verde, se implementa el Programa Escuelas Verdes que promueve estrategias de gestión de residuos en escuelas [2]. 
Desde el gobierno de la ciudad no se han realizado capacitaciones dirigidas a los recuperadores, las cooperativas han solicitado especialmente por el manejo de residuos peligrosos en la vía publica [3] 
El Movimiento de Trabajadores Excluidos promueve capacitaciones sobre manejo de residuos, pero en el seno de su organización, no han recibido capacitación por parte del gobierno [4].
</t>
  </si>
  <si>
    <t>No existen programas municipales de formación/capacitación para los actores públicos, privados o populares de la gestión de residuos ni para los ciudadanos. Sin embargo, los trabajadores municipales empleados en las operaciones de limpia, recolección y barrido (que integran su actividad con la recuperación informal de residuos reciclables y reutilizables) participan "una tantum" en talleres proporcionado por los consejeros (councelors) en higiene y primeros auxilios, derechos humanos, entre otros temas.</t>
  </si>
  <si>
    <t xml:space="preserve">Existen programas de capacitación dirigidos a la población, funcionarios de las municipalidades y del Ministerio de Ambiente y del personal de limpieza de las empresas de aseo, que se realizan en el municipio una vez al año,  a través de las entidades educativas que tienen por objetivo mejorar la calidad de vida de los recicladores [1]. Adicionalmente, existen programas de capacitación a los usuarios a quienes se les recolecta los residuos para que realicen la respectiva separación en la fuente[2].
En general en Perú, se cuenta incluso con una guía de capacitación a recicladores, desarrollada por el  Instituto de Ciencias de la Naturaleza, Territorio y Energías Renovables de la Pontificia Universidad Católica del Perú, con el ánimo de dar lineamientos para que se establezcan programas que tengan impacto en la formalización[3]. </t>
  </si>
  <si>
    <t xml:space="preserve">Existen programas de capacitación en línea ofrecidos por el Gobierno Federal para las áreas de las municipalidades encargadas del manejo de residuos sólidos. Estas capacitaciones se enfocan en aspectos técnicos del servicio como sistemas de recolección o disposición final [1] . No existen programas de capacitación específicos para los recicladores informales, aunque los trabajadores de limpia, que son todos involucrados en la actividad de recuperación informal, reciben alguna capacitación "una tantum"  (por ejemplo cuando se implementó el programa "vamos a separar" los trabajadores escucharon una platica en los campamentos de limpia donde se le aclaró la diferencia entre residuos orgánico e inorgánico) [2]. </t>
  </si>
  <si>
    <t>Se han realizado diversas capacitaciones en la anterior legislatura, pero en el momento no existe ningún programa en marcha. Tampoco hay programas de empleo para clasificadores, bien sea para seguir siendo clasificadores como para pasar a trabajar en otros lugares. Se está trabajando en la elaboración de un programa de capacitación para los concejales. [1]
Está a punto de finalizar una capacitación para transportistas de residuos de grandes productores, que deben contratar directamente sus servicios a personas formalizadas (mayormente en la figura de monotributo [2]) algunas de las personas que han llevado adelante la capacitación son ex recicladores, por ejemplo, hay dos personas de la cooperativa UCAP. [3]   (se entregarán los diplomas el próximo 27 de octubre).</t>
  </si>
  <si>
    <t>Actualmente no existen programas de capacitación de manera oficial ni formal por parte del Municipio de Quito.    Entre los años 2011 y 2012, se ofreció un programa de capacitación para Recicladores de Base dictado por la Agencia de Promoción Económica (CONQUITO), en dónde se capacitaron alrededor de 150 recicladores, en su gran mayoría mujeres [1].
En algunas ocasiones las empresas recicladoras han realizado procesos de capacitación en temas técnicos a organizaciones de recicladores de base, más no se enmarcan en un proceso de formación continua [2].
Recientemente la Unión Europea viene desarrollando una mesa de discusión sobre las temáticas de la cadena GIRS a nivel nacional. Se realiza una mesa cada mes aproximadamente, en dónde se tratan diferentes problemáticas y cuenta con la participación de varios actores de la GIRS en país [3].</t>
  </si>
  <si>
    <t xml:space="preserve">En términos generales, toda persona que participa del programa de reciclaje municipal, recibe capacitación  por parte del municipio u otra entidad asociada a éste.  También el municipio entrega capacitación a funcionarios municipales u otros colaboradores que desempeñen un rol en el sistema de reciclaje municipal o de educación ambiental (43). Dentro de la misma Política Ambienta Municipal, el Plan de Educación Ambiental Formal considera como uno de sus ejes el Proyecto de Gestión Integral de Residuos en Centros Educacionales. Esto implica que, en las escuelas donde se implementa el programa, la comunidad educativa recibe talleres de gestión sustentable de residuos y acompañamiento a prácticas de separación en origen en esas escuelas, las que separan materiales para su posterior entrega el sistema de reciclaje municipal. También se implementa el Programa de Gestión Ambiental Local en Ecobarrios, el que considera dentro de sus líneas, un componente de capacitación para el manejo sustentable de residuos, orientado a los vecinos de esos barrios. Esta iniciativa se conecta también al sistema de reciclaje municipal, a través de entregas periódicas de materiales reciclables en los que participan recicladores de base inscritos en el programa de reciclaje municipal (44).   
Los recicladores participantes del programa de reciclaje comunal han recibido, desde el año 2014, capacitación y acompañamiento para mejorar su gestión de reciclaje, desde el Proyecto "Reciclaje Inclusivo Comunal", implementado por Fundación Casa de La Paz y el Movimiento de Recicladores de Chile, que colabora con el Programa de Reciclaje Inclusivo Municipal (45)(46). </t>
  </si>
  <si>
    <t>F12</t>
  </si>
  <si>
    <t>En los últimos cinco años la municipalidad ha venido realizando el canje de caballos (utilizados para estirar los carros utilizados para reciclar) por motocarros (carros motorizados). El concejal municipal Hugo Ramírez es uno de los impulsores de este proyecto que ha permitido que mas de 500 caballos pasen a retiro. Gracias a aportes de Itaipu Binacional y la municipalidad, los recicladores que entregan sus animales pueden acceder a un crédito para la compra de motocarros, aportando cuotas mensuales de unos 210.000 guaraníes ($38) por 12 meses. En declaraciones a los medios de prensa Ramírez manifestó que el nuevo medio de transporte permite a los recicladores agilizar sus tareas. Sin embargo, es importante aclarar que si bien este incentivo termino beneficiando a un gran numero de recicladores, los mismo no eran la población meta del canje. El canje siempre estuvo destinado a los dueños de carros con caballos, muchos de los cuales son recicladores.
Si bien la iniciativa es desarrollada hace varios años y la misma ha sido institucionalizada, es una acción meramente puntual que ha despertado una serie de preguntas sin respuestas referentes a los costos de mantenimiento, patentes y permisos para la utilización del motocarro. La decisión también ha sido controversial entre los recicladores que acusan a la municipalidad y a la ciudadanía de estar mas preocupados por el bienestar de los caballos que por las condiciones de trabajo de los recicladores. [1,2,3]</t>
  </si>
  <si>
    <t>Se ha fortalecido la ocupación del reciclador cuando se da cumplimiento a los acuerdos de corresponsabilidad, a través de los mismos se han entregado 5 bodegas públicas a cooperativas y un software para las actividades administrativas y reporte de información a la Superintendencia de Servicios Públicos Domiciliarios (SSPD), que es la unidad encargada por la Ley 142 de 1994 de llevar a cabo la vigilancia de los servicios públicos de acueducto, alcantarillado, aseo, gas natural y energía eléctrica [1]. Estos aportes se han realizado bajo los esquemas de Aportes Bajo Condición, los cuales consisten en que se descontará la proporción de los aportes que haya otorgado el ente público con relación a la totalidad de inversiones de la tarifa que pagan los usuarios del servicio público de aseo, según lo indicado por el artículo 87.9 de la Ley 142 de 1994[1] . Adicionalmente se cuenta con un convenio con la Cámara de Comercio para fortalecer empresarialmente a los recicladores [2]. 
En la actualización del Plan de Gestión Integral de Residuos Sólidos se observan programas relacionados con programas de formación, asesorías técnicas y entrega de aportes bajo condición [2].No obstante, las acciones llevadas a cabo son insuficientes para el fortalecimiento de las organizaciones de recicladores, ya que se establecen muchos programas de capacitación y no se otorgan herramientas necesarias para elevar las eficiencias y ampliar la cobertura [4].
Adicionalmente, a través del Decreto 596 de 2016 se promueve la organización de los recicladores independientes con el incentivo de acceder a los recursos de la tarifa del servicio público de aseo, para lo cual les otorga una transición de 5 años [5].
Existen por otra parte iniciativas de actores privados como la Universidad Central, que trabajan en distintas áreas tanto empresariales como de ingeniería para mejorar la ocupación de los recicladores [6].</t>
  </si>
  <si>
    <t xml:space="preserve">La licitación de Residuos Reciclables [1] en su Art. N° 33 se compromete a implementar gradualmente cinco programas:
- PROGRAMA INTEGRAL DE LOGÍSTICA (PIL): garantizar el traslado de materiales y personas conforme a las necesidades y situaciones de cada zona, (un pase libre por recuperador afectado a las tareas a fin de acceder a los medios de transporte público y como mínimo un camión  completamente equipado por zona).
- PROGRAMA DE ERRADICACIÓN DEL TRABAJO INFANTIL (PETI): llevar adelante políticas públicas de erradicación de trabajo infantil y la instalación de una guardería infantil por Centro Verde que se encuentre en funcionamiento y los que en el futuro se construyan.
- PROGRAMA DE INCLUSIÓN SOCIAL INTEGRAL (PISI): garantizar a todos los asociados de las cooperativas el acceso al monotributo social, seguro de accidentes personales, uniforme e implementos de higiene y seguridad laboral, imputado en forma individualizada para cada recuperador a cuenta y orden de la cooperativa. 
- PROGRAMA DE INCENTIVO MENSUAL (PIM): al cumplimiento de normas para cada recuperador afectado a las tareas aquí descriptas, que se imputarán en forma individual a cada recuperador a cuenta y orden de la cooperativa.
- PROGRAMA DE GESTIÓN DE CENTROS VERDES (PGCV): garantizar el mantenimiento, la seguridad, el contralor administrativo, y transporte de negativos de los Centros Verdes. Se garantizará a las cooperativas que no dispongan de Centros Verdes, horarios para que hagan uso de los que se construyan en el futuro o de los existentes, en caso de que haya capacidad ociosa en el mismo y previo acuerdo con las cooperativas que los gestionen. 
Actualmente el gobierno de la Ciudad proporciona a los recuperadores subsidio en dos categorías, Recuperador Urbano que recibe $ 4.000.- (aprox. u$ 266.-) y Recuperador Ambiental (asociado a los contenedores verdes) que recibe $ 7.700 (aprox. u$ 513,-), del total en sistema, aproximadamente un 60% cobra el subsidio mayor [2].
Los recuperadores que trabajan en las cooperativas que están contratadas por la ciudad, reciben subsidios diferenciados, quienes realizan tareas en calle (cuidan las campanas verdes) reciben $6.400.- (aprox. u$ 426,-), quienes realizan tareas dentro de la cooperativa reciben $3.200.- (u$ 212), Cooperativa El Álamo y $4.300 (u$ 286) Cooperativa Trabajo y Dignidad. La cooperativa recibe financiamiento para camiones con chofer y vales de combustible para la logística, vestimenta y elementos de seguridad para sus asociados, aunque insuficiente [3,4].
Existen dos tipos de incentivos otorgados por el Gobierno de la Ciudad de Buenos Aires, a partir de octubre recibieron un aumento del 20%, uno de aproximadamente $4.000.- (aprox. u$ 266.-) que lo reciben los trabajadores que están asociados a una cooperativa pero que venden los materiales recolectados diariamente de manera autónoma ya sea en la Ciudad de Buenos Aires o en municipios del área metropolitana y otro incentivo de aproximadamente $7.700-. (aprox. u$ 513,-) que lo reciben los recuperadores que realizan la recolección de los residuos secos de los contenedores verdes, estos últimos realizan un recorrido de 4 cuadras aproximadamente y los primeros realizan recorridos mayores ya que su ingreso proviene de su productividad diaria [5]. 
Más allá de la situación de los recuperadores que se encuentran asociados en cooperativas con los beneficios que ello conlleva [6], existe un porcentaje de trabajadores que trabajan de manera informal, vendiendo los materiales recuperados en la Ciudad de Buenos Aires a intermediarios fuera del ámbito de la misma [7].
</t>
  </si>
  <si>
    <t>Existen acciones puntuales dirigidas exclusivamente a los recicladores de base activos en la Estación de Transferencia; estas acciones son llevadas adelante por la empresa licitatoria de la Estación de Transferencia (PASA BELIZE Ltd.) para cumplir con el deber contractual de promover el reciclaje; bajo este concepto, PASA BELIZE Ltd. provee a los recicladores espacios de trabajo, agua para le higiene personal y para lavar los materiales, herramientas para el trabajo; para cubrir su aporte económico PASA BELIZE Ltd. tiene un acuerdo económico con Belize Recycling Company, que visita periódicamente la Estación de Transferencia para comprar los materiales clasificado por los recicladores de base y reconoce a PASA BELIZE Ltd. un porcentaje fijo para cada kg de material comprado; sin embargo, a menudo los recicladores prefieren no respetar el acuerdo de venta exclusiva a Belize Recycling Company y venden autónomamente el material a otros compradores. Las acciones de soporte a los recicladores de base de la Estación de Transferencia son integradas por acciones periódicas realizadas directamente por la Autoridad Nacional sobre Residuos Solidos-BSWAMA (regalías a favor de los hijos de los recicladores, auxilio en el acceso a programas sociales,  equipamiento para la protección personal). Además existen programas de apoyo financiados por el BID, que incluyen acciones de capacitación e incubación de empresa. No existen incentivos, programas o acciones a favor de los recicladores de base que operan en las calles [1,2,3,4,5].</t>
  </si>
  <si>
    <t xml:space="preserve">Actualmente, pese a que en el Programa Nacional para la Prevención y Gestión Integral de Residuos (2009-2012) se reconoce que el sector informal es un actor principal en el sistema de reciclaje y que en algunos casos asume responsabilidades de las autoridades municipales  [1],  en la Ciudad de México los recicladores informales  son vinculados al servicio de limpia (realizan labores de recolección, barrido de las vías y separación de residuos en las calles) o en las plantas de separación (clasificando los residuos reciclables). A menudo estos actores no reciben remuneración fija y sufren condiciones de trabajo que ponen en riesgo la integridad física de los trabajadores [2]. 
Adicionalmente el último PGIRS planteado para la vigencia 2016-2020 no plantea  acciones afirmativas a favor de la población de recicladores[3].
A la fecha, ninguna de las instituciones gubernamentales ha tomado liderazgo para ejecutar acciones en favor de la población recicladora, aunque es un tema muy recurrente en los municipios, lo anterior se debe a la complejidad del tema y a la ausencia de un responsable directo debido a que en este tema deben influir varias instituciones como la Secretaría de Ambiente, la Secretaría de Desarrollo Social y la Secretaría de Salud [4]. </t>
  </si>
  <si>
    <t>Desde el Ministerio de Desarrollo Social (MIDES) se lanzó en 2006 el programa "Uruguay Clasifica" que busca la inclusión social de los clasificadores y clasificadoras fomentando el trabajo grupal y la construcción de relaciones positivas y duraderas entre éstos, la comunidad y las instituciones locales. [1] 
"Uruguay Clasifica" es un programa que pretende contribuir al desarrollo de procesos integrales y articulados para la inclusión social de los hogares clasificadores de residuos, reconociendo su condición de trabajadores y de "primeros agentes ecológicos", promoviendo el ejercicio pleno de derechos, y su activa participación en modelos de trabajos alternativos e innovadores y sustentables social y ambientalmente. Está destinado a personas mayores de 18 años  y está ligado a la Ley de envases nacional. [2]
Cabe destacar que todo el plan de creación y operación de las plantas de selección de envases se puede considerar como una acción para el fortalecimiento de los recicladores, que son quienes está trabajando en ellas, especialmente a partir de la idea de que en el futuro deberían constituirse como cooperativa. En el futuro, dentro de la nuevo ley de residuos se va a apoyar la ocupación de los recicladores, básicamente a través de su inclusión laboral, la inclusión social vendrá de la mano de la inclusión laboral y el apoyo a la mejora de su productividad. [3]</t>
  </si>
  <si>
    <t>Desde el año 2011 el Municipio ha implementado proyectos de reciclaje inclusivo y recolección diferenciada acorde a la Ordenanza 332, dentro de los mismos se ha incluido la construcción y manejo de los Centros de Educación y Gestión Ambiental (CEGAM). En los CEGAM el Municipio trabaja de manera coordinada con organizaciones formales de recicladores, en dónde, se ha generado procesos de fortalecimiento de la ocupación de recicladores de base, en este sentido, el municipio ha brindado apoyo y capacitación en temas administrativos, gerenciales y técnicos a 111 recicladores de base; fortaleciendo así sus capacidades laborales [1] [2] [3].
Sin embargo, los recicladores de base organizados y no organizados que no se encuentran trabajando de manera coordinada con el municipio no han recibido incentivos, programas y/o acciones concretas para el fortalecimiento de su ocupación [1] [3] [4].  
En los últimos meses se ha evidenciado el apoyo en capacitación y fortalecimiento de ocupación para recicladores organizados en dos barrios de Quito a través de una iniciativa de voluntariado ciudadano [4].</t>
  </si>
  <si>
    <t>El municipio ha promovido el emprendimiento en el ámbito del reciclaje con organizaciones de carácter comunitario, especialmente organizaciones de mujeres jefas de hogar, con el objetivo de dinamizar la economía local y sumar actores en la gestión del reciclaje en el cantón.(29) A través de proyectos de cooperación y programas municipales ha entregado capacitación, asistencia técnica, apoyo a la recolección y comercialización, equipamiento, e incluso subsidios directos a las personas que  deciden dedicarse a la recolección de residuos reciclables, con la idea de constituir y fortalecer un nuevo actor comunitario en la gestión integral de residuos sólidos del cantón. Sin embargo hoy no existen programas vigentes que canalicen este apoyo, sólo el apoyo puntual que el programa de reciclaje municipal entrega. (30) Estas iniciativas se han visto golpeadas por bajas de precios lo que las ha desmotivado hasta casi desaparecer.  
Hasta ahora este apoyo e incentivos no han sido focalizados en recicladores de base. A futuro, incentivados por la Estrategia Nacional de Separación, Recolección y Valorización de Residuos- ENSRV 2016-2021, el municipio se está poniendo la meta de identificar a los recicladores informales del cantón, para colaborarles con su emprendimiento y mejorar sus condiciones de trabajo. Las idea del municipio, en conjunto con el Ministerio de Salud, es establecer una red de recicladores de distinto tipo (comunitarios, informales) que movilicen la economía del reciclaje de manera atractiva para las empresa, que siempre buscan cantidad. (31)</t>
  </si>
  <si>
    <t>En San Pablo se está llevado a cabo el "Programa Socioambiental de Inclusão de Cooperativas de Catadores de Materiais Recicláveis e Reutilizáveis" mediante el cual se conformó un fondo y un consejo gestor del mismo, conformado por cooperativas de recicladores aprobadas por la Prefectura. Mediante este programa se han entregado apoyos para la compra de equipo y maquinaria, espacio de acopio, la construcción de dos plataformas web en las que se motive e incentive a los ciudadanos de los serivios de recolección selectiva y reciclaje  [1], además se han establecido puntos de entrega voluntaria de materiales reciclables[2].
Por otra parte se cuenta con el Programa de recolección selectiva que cuenta actualmente con rutas de recolección selectiva y 31 centros de separación en los cuales participan cerca de 1.100 personas [3][4]. Con este programa se atienden 93 distritos del municipio, todos atendidos por cooperativas de recicladores[3].
A nivel nacional, pueden participar en el programa Cataforte que se refiere a estructuración de negocios sostenibles a paritr de redes solidarias de cooperativas de recicladores [5][6] . Este programa tiene por objetivo estructurar redes de emprendiientos de recicladores y posibilitar sus avances en la cadena de valor del mercado y así promover mejor su posición en el mercado. Actualmente existen 33 redes solidarias con 432 emprendiemientos y 13.590 recicladores [6]  Tambien, en el premio Ciudad Pro-Reciclador que tiene por objetivo  reconocer iniciativas municipales de integración de recolectores de materiales reutilizables y reciclables con acciones que involucren la responsabilidad compartida por el ciclo de vida de los productos en sintonía con la Política Nacional de Residuos Sólidos.</t>
  </si>
  <si>
    <t xml:space="preserve">Existe un Programa de Reciclaje Inclusivo que se empieza a implementar en 2014 y a la fecha trabaja con un total de 7 recicladores de base en la comuna. El programa busca integrar a los recicladores de base como un actor en la operación  del programa de reciclaje municipal: aprovechar su conocimiento, apoyar su emprendimiento e ir construyendo una alternativa de reciclaje inclusivo municipal con ellos. El apoyo que brinda el programa a los recicladores es:
a) Acceso a puntos de generación de residuos reciclables en barrios domiciliarios, barrios comerciales, instituciones y eventos, que forman parte del Programa de Reciclaje Municipal que implementa la Subdirección de Medio Ambiente del Municipio.   
b) Acceso a Infraestructura y equipamiento municipal para el reciclaje: Puntos Limpios (contenedores para separación de reciclables en los barrios), Punto de Reciclaje y acopio transitorio (bodega pequeña para recepción de material y preparación para la venta), camión (para el traslado de residuos desde la fuente hasta el Punto de Reciclaje (47).        
Desde el proyecto "Reciclaje Inclusivo Comunal", que ejecuta Fundación Casa de La Paz y Movimiento de Recicladores de Chile, también se ha entregado apoyo e incentivos, tales como talleres de capacitación, apoyo a la organización, apoyo al negocio y vehículos de carga pequeños, con el fin de fortalecer el rol de los recicladores de base en el sistema de reciclaje municipal. Sin embargo ha sido difícil reclutar y sostener recicladores en el programa. En este sentido, el programa no ha generado los incentivos para la participación masiva de los recicladores de base, los que en su mayoría siguen en el sistema de reciclaje informal que opera en la comuna (48). El programa continúa desarrollando incentivos, por la vía de mejorar infraestructura municipal para el reciclaje, aumentar las  fuentes de generación de reciclables y plantear las primeras iniciativas de pago por servicios a los recicladores, buscando generar incentivos para su fortalecimiento en el programa municipal de reciclaje (49).          </t>
  </si>
  <si>
    <t>F13</t>
  </si>
  <si>
    <t>Actualmente la municipalidad no proporciona ningún tipo de incentivo para el reciclaje a la ciudadanía en general. Aquellos que si reciclan lo hacen gracias a la labor de concientización que las organizaciones de la sociedad civil han venido desarrollando a lo largo del tiempo. Aquellos hogares donde el reciclaje es una práctica común por lo general separan sus residuos en material reciclado y no reciclado. Los materiales reciclados son entregados o recolectados por los recicladores que trabajan en determinadas zonas. [1]</t>
  </si>
  <si>
    <t>Existen incentivos otorgados por el marco tarifario vigente, el cual establece un descuento del 4% en la tarifa de la actividad de aprovechamiento para aquellos usuarios del servicio público de aseo cuya ruta de recolección selectiva cuente con tasas de rechazo inferiores al 20% [1][2][3]. 
Sin embargo, debido a que la vigencia de la Resolución CRA 720 de 2015 se dio hasta enero de 2016 y en abril se definió el esquema operativo del aprovechamiento en el Decreto 596 de 2015, aún la aplicación de estos incentivos es prematura [4]. Adicionalmente, debido a que en ocasiones el vehículo recolector de residuos mixtos recoge tanto los residuos reciclables de los no reciclables, es un desincentivo para el usuario presentar los residuos separados en la fuente. Lo anterior ocurre o bien porque existen zonas que no tienen recolección por parte de organizaciones de recicladores (36% de las rutas) o porque el vehículo recolector de residuos mixtos pasa primero que las organizaciones [5].</t>
  </si>
  <si>
    <t>Se infiere a partir de la información relevada que no existen incentivos de reciclaje para los usuarios. Si existe una campaña permanente y masiva a partir de Ciudad Verde, que promueve la separación en origen [1].</t>
  </si>
  <si>
    <t xml:space="preserve">El Returnable Container Act  (Ley Nacional No 12 del 30-12-2009) representa un incentivo concreto para los usuarios que decidan destinar sus residuos a las cadenas de valor del reciclaje y de la reutilización; de hecho esta ley obliga los productores, importadores y distribuidores de bebidas carbonatadas, de cerveza y de licores a garantizar la compra a un precio fijo de sus botellas de vidrio y de plástico y de sus latas. Cabe decir que no son muchos los usuarios que acuden a esta opción; de hecho, para un común usuario juntar y transportar sus residuos hasta las estaciones de compra es una acción que tiene un costo social muy alto: precisamente por esta razón existe espacio de mercado para la a actividad de los recicladores de base [1,2,3,4]. </t>
  </si>
  <si>
    <t xml:space="preserve">Existen dos mecanismos para incentivar la segregación en la fuente: (i) un bono de descuento para quienes entregan semanalmente materiales reciclables (algunos barrios de Lima lo cumplen y otros no) y (ii) un sistema de trueque, optativo, que no tiene mucha continuidad [1][2]. En ninguno de los dos casos los mecanismos son sostenibles ya que el incentivo se da por algo a cambio (un bono o trueque) en lugar de incentivar realmente la importancia de la separación en la fuente. En principio, el incentivo es viable durante los primeros dos años del programa para sensibilizar a la población, sin embargo estos programas tienen ya 5 años [2].
Otros programas consisten, por ejemplo, en apoyar a  los recicladores con uniformes  y se les entrega a los usuarios una bolsa individual para que entreguen los residuos, sin embargo no hay voluntad ni vigilancia al cumplimiento de estos programas por parte de las autoridades [1]. 
</t>
  </si>
  <si>
    <t xml:space="preserve">Han habido campañas de la sociedad civil y de empresas, más que nada en la reducción del consumo de bolsas de plástico. Pero en este momento  no hay  incentivos. [1, 2, 3] </t>
  </si>
  <si>
    <t>No existen mecanismos de incentivos directos a los ciudadanos para reciclar sus residuos, sin embargo, EMASEO considera que hay una motivación a través de los procesos de edu-comunicación que acompañan a cada uno de los proyectos [1][2] 
En la página web de las empresas municipales, no existe un fácil acceso para el ciudadano a una lista de las campañas que se han realizado ni sus resultados [3][4][5].</t>
  </si>
  <si>
    <t>El Plan Nacional para la Gestión Integral de Residuos 2016-2021 (2016) plantea la necesidad de promover incentivos a las organizaciones públicas, sector privado y a los hogares, mediante la reducción de pólizas, impuestos, tarifas, tasas, reconocimientos y otros instrumentos para que implementen una correcta gestión de sus residuos conforme a los principios de jerarquización de la gestión integral de residuos.(32)
A nivel del cantón, más allá del sistema de recolección selectiva municipal y las campañas de sensibilización y recolección de reciclables, no existen mayores incentivos para la separación en origen.
El sistema de reciclaje municipal, si bien tiene puntos de recepción de material reciclable, no paga por ellos. Los únicos que pagan por el material son los gestores ambientales privados o centros de reciclaje privados. (33)</t>
  </si>
  <si>
    <t>El programa de reciclaje municipal facilita a los usuarios: sensibilización y capacitación para la participación en el programa, equipamiento para separación en origen y un sistema de recolección selectiva de reciclables, sin costo para los vecinos. Cabe señalar que el municipio busca focalizar una serie de acciones de sustentabilidad en barrios domiciliarios, con la figura de 'Eco Barrios', que se organizan y reciben diversos servicios para la sustentabilidad (50). No existe otro tipo de incentivos a la participación de los vecinos u otros usuarios en el programa de reciclaje municipal, tales como disminución de pagos en derechos de aseo o retribución económica por su participación (51).</t>
  </si>
  <si>
    <t>F14</t>
  </si>
  <si>
    <t>La Municipalidad de Asunción no cuenta con un sitio web dedicado a GIRS con un componente sobre la integración de los recicladores informales. El municipio tampoco recopila datos sobre GIRS y tampoco realiza tareas destinadas a la integración de los recicladores informales. En el curso de esta investigación no se halló evidencia que el municipio cuente con un registro de las agrupaciones de recicladores. Tampoco se encontró evidencia  que el municipio evalúe la efectividad de los programas de reciclaje realizados por la sociedad civil. Las entrevistas realizadas validaron que no existe un sistema de recolección de información referido al reciclaje inclusivo. [1,2,3,4]</t>
  </si>
  <si>
    <t xml:space="preserve">La información relacionada con la gestión de residuos en el sitio web del Gobierno de la Ciudad de Buenos Aires es dispersa, estática y no periódica. En el marco de la política de Ciudad Verde de la ciudad se presentan noticias o eventos [1] pero no existe una publicación sistemática sobre la gestión de residuos y tampoco un sistema abierto de acceso a la información.
No es posible acceder a información en el sitio del Gobierno de la Ciudad sobre cantidades de residuos generadas mensualmente, recuperadas (recicladas) y dispuestas en relleno sanitario, tampoco a datos relacionados con los registros de recuperadores y cooperativas previstos en la Ley N° 992 /02 [2], entre otros datos útiles respecto de la gestión de residuos. 
Existe información sobre residuos dispuestos en relleno sanitario pero a esta se accede a través del sitio web de la Coordinación Ecológica Área Metropolitana Sociedad del Estado (CEAMSE) Empresa del Estado conformada por el Gobierno de la Ciudad de Buenos Aires y el Gobierno de la Provincia de Buenos Aires para gestionar los residuos sólidos urbanos de actualmente 37 distritos [3].
El Decreto Ley N° 1854/05 en su Art. 49, inciso e, crea el Sistema de Información de Residuos Sólidos Urbanos, el mismo debe contener los datos relativos al tipo, volumen y cantidad de residuos recolectados, reciclados, valorizados, y destinados a rellenos sanitarios. La información al público prevista en este inciso deberá encontrarse disponible en el sitio web de la Ciudad. Este mecanismo de acceso a la información no ha sido implementado todavía [4] .
En mayo de 2015, la Fundación Ambiente y Recursos Naturales (FARN), Greenpeace y la Fundación AVINA solicitaron, como integrantes de la Comisión de Asesoramiento Técnico de la Ley N° 1854 / 05 [5] solicitaron datos oficiales que indiquen el grado de cumplimiento de la Ley de Basura Cero, en forma regular y transparente [6].
</t>
  </si>
  <si>
    <t>No existe un sistema municipal de recolección de información de reciclaje inclusivo [1].  No existen cifras sobre recolección de residuos online en la pagina web del Belize City Council [2]. Sin embargo, en la pagina web de la autoridad nacional sobre residuos sólidos (Belize Solid Waste Management Authority - BSWAMA) se publican datos sobre recolección de residuos.</t>
  </si>
  <si>
    <t>El  municipio no tiene un sitio web dedicado a GIRS, sin embargo existe uno a nivel nacional manejado por el Ministerio de Ambiente denominado Sistema de Información para la Gestión de Residuos Sólidos  (SIGERSOL), al cual se ha reportado información. En cambio, el municipio cuenta con un registro de las agrupaciones de recicladores, pero no al detalle de cada individuo, recopila datos sobre GIRS y se publican en el Plan de Gestión Integral de Residuos Sólidos y también están visibles en el SIGERSOL y el Informe Anual de Manejo de Residuos Sólidos. Con respecto a la evaluación de los programas de reciclaje, se evidencia su efectividad en la cantidad de residuos sólidos que se recuperan [1].</t>
  </si>
  <si>
    <t xml:space="preserve">La única medición puntual de resultados de reciclaje es relacionada a la Secretaría del Medio Ambiente del Distrito Federal que emite informes sobre el Mercado de Treque, pero  sin impacto cuantitativo  [1]. Sin embargo, en el "Inventario de Residuos" publicado cada año por el Gobierno de la Ciudad de México, se hace una estimación sobre los flujos de reciclaje informal donde se presentan hipótesis sobre las cantidades de residuo reciclable separadas en la calle por los trabajadores de limpia y en las plantas de selección por los pepenadores [5].  Además, el Gobierno de la Ciudad de México publica los resultados de separación del orgánico presentándolos como "grado de participación" a su programa de separación a la fuente. Sin embargo, el "grado de participación" es logrado comparando la cantidad de orgánico entregado separadamente en las estaciones de transferencia con la caracterización estimada del residuo generado domiciliar; considerado que entre los trabajadores de limpia es practica común separar en las calles los residuos que fueron recolectados mezclados, el dato presentado no es de ninguna forma indicativo del grado real de separación a la fuente en la ciudad [5, 6] .  El municipio no  tiene un sitio web dedicado a la gestión integral de residuos sólidos con integración de los recicladores informales, no recopila datos sobre la gestión integral de residuos sólidos con un componente de los recicladores informales [2] y tampoco existe información sobre la integración de los recicladores en el ámbito nacional [3].      
</t>
  </si>
  <si>
    <t>El municipio publica la información de la Gestión de los Residuos Sólidos en el sitio web de la Autoridad de Limpieza Urbana (AmLurb) [1]. Sin embargo el municipio no cuenta con información disponible de las organizaciones de recicladores y su composición [2][3]. Con respecto a la evaluación de sus programas, con la información que se remite a AmLurb es posible realizar algunas precisiones sobre el éxito de los mismos [1].</t>
  </si>
  <si>
    <t>F15</t>
  </si>
  <si>
    <t>Si bien existen campañas de comunicación para fomentar el reciclaje, las mismas son principalmente campañas de concientización a la ciudadanía en general incentivando buenas prácticas ambientales a través del reciclaje de materiales en desuso. La municipalidad solo organiza estas campanas una vez al año, son muy puntuales. Si hay otras campañas que organiza el sector privado o asociaciones de la sociedad civil de forma mas organizada y continua pero que no necesariamente están vinculadas a la municipalidad. En su gran mayoría estas actividades son organizadas e implementadas por el sector privado y/o organizaciones de la sociedad civil y apoyados por la municipalidad. Las campañas no destacan la labor de los recicladores. [1,2]</t>
  </si>
  <si>
    <t>No hay campañas de comunicación para fomentar el reciclaje inclusivo con difusión en el municipio [1].</t>
  </si>
  <si>
    <t>Desde la municipalidad se promueven campañas las cuales generalmente consisten en anuncios en los paraderos, en las redes sociales y en la página web de la municipalidad, sin embargo, estas campañas no son totalmente permanentes ni incluyentes con la población, por lo que no se alcanza una cobertura de sensibilización sobre toda la población para fomentar el reciclaje inclusivo [1]. 
Adicionalmente, existen campañas promovidas por la Iniciativa Regional para el Reciclaje que promueven los programas de separación en la fuente y capacitan a los funcionarios [2]. Como lo anterior, se ubica la campaña "Negocios inclusivos a través del reciclaje", el que a través de Ciudad Saludable fomentan la  integración socioeconómica de los recicladores y su constitución en microempresas[3].</t>
  </si>
  <si>
    <t>No existen campañas de comunicación en el Distrito Federal para promover el reciclaje inclusivo pero si sobre separación en fuente [1]. La opinión sobre los recicladores de base la han llevado a cabo los propios usuarios a partir del día a día de la operación del servicio,  que recogen los residuos en el camión o directamente en los domicilios. Hay una relación de respeto y tolerancia, por lo cual la mayoría de las personas entrega propina; mientras que los recicladores en las plantas de selección y separación son desconocidos para los habitantes [2].
Sin embargo, sí existen campañas de comunicación enfocadas a los usuarios del servicio, en los cuales se promueve la reducción de residuos y la separación en la fuente. Actualmente la Secretaría del Medio Ambiente de la Ciudad de México cuenta con los siguientes programas de formación a los usuarios: (i) "Sin moño y sin bolsita, por favor", con el cual se promueve el desuso de empaques y la separación de los residuos orgánicos de los inorgánicos [3]; (ii) "Ponte pilas con tu ciudad" con el cual se pretende recolectar los residuos de pilas que se dirigen al relleno sanitario y; (iii) "Reciclatron" mediante el cual se recolectan residuos de aparatos eléctricos y electrónicos. [4]</t>
  </si>
  <si>
    <t>No hay un programa de sensibilización y comunicación global. Si, hay algunas acciones puntuales. Por ejemplo el municipio F está haciendo muchas visitas y difundiendo entre la ciudadanía que en su territorio  se dispone de una planta de clasificación. También está haciendo esfuerzos para que los vecinos la conozcan y sepan lo que allí se hace. Es un esfuerzo pequeño, no masivo, que debería extenderse. [1]
Existen otras campañas de comunicación de la implantación de los contenedores de la recolección selectiva en Montevideo [2] [3], pero en ellas no se habla de los recicladores. [4] [5]</t>
  </si>
  <si>
    <t>El canal de comunicación principal del programa de reciclaje con la comunidad es la página de Facebook del Municipio.  También el municipio publica un boletín electrónico en que difunde sus servicios ambientales y realiza una serie de actividades de difusión en terreno, tales como el Programa Súper Héroes Ambientales y las campañas mensuales de recolección diferenciada de reciclables en los 11 puntos del cantón. (37)
La única actividad que tiene una difusión masiva es la campaña de reciclaje “Ambientados”, llevada a cabo en colaboración con la Empresa Televisora de Costa Rica  y otras empresas recuperadoras, con una fuerte campaña publicitaria. (38)
No existe difusión masiva regular ni otras campañas masivas del sistema de reciclaje municipal.</t>
  </si>
  <si>
    <t>Las campañas de comunicación para fomentar el reciclaje inclusivo son muy esporádicas y no tienen cobertura en una cantidad significativa de población [1]. Las campañas tampoco comunican a la sociedad la importancia de la labor de los recicladores y cooperativas; sin embargo cuando las municipalidades deciden contratar cooperativas, indirectamente la municipalidad reconoce la importancia de los recicladores en la cadena[2]. 
Actualmente se está llevado a cabo la campaña "Cidade Gentil" mediante el cual se divulga la importancia de la recolección selectiva y el reciclaje, esta campaña es llevada a cabo por las empresas Eco Ubris y Loga (concesionarias) con el apoyo de la Prefectura de San Pablo [3]. Existen también iniciativas para enseñar a los usuarios la separación adecuada de residuos a través de la entrega de recipientes en los cuales se dan explicaciones al respecto [4]</t>
  </si>
  <si>
    <t xml:space="preserve">La municipalidad dispone de un Programa de sensibilización ciudadana llamado "EMACRUZ llama a tu puerta" en el que mediante la creación de acuerdos estratégicos con diversas ONGs y estamentos públicos prevé la realización de campañas anuales para la sensibilización y la comunicación de la implantación de la recolección selectiva con inclusión social.[1] [2]
Hay en estos momentos dos campañas, dentro del programa EMACRUZ llama a tu puerta, que están activas:
1- Implantación de contenedores de recolección selectiva en mercados, complementados por la sensibilización a los ciudadanos y comerciantes de los mercados por parte de un sensibilizador y dos gendarmes que velan por que se cumpla lo que establece la ley y se ha informado.[3]
2- Campaña "Yo sí reciclo" llevada a cabo principalmente por la empresa concesionaria del aseo urbano, en la que voluntarios de la Universidad Ecológica y personal de la empresa realizan, puerta a puerta, una campaña de sensibilización e información de la implantación de la recolección selectiva. [4]
 </t>
  </si>
  <si>
    <t>El municipio en su página web difunde las iniciativas que desarrolla en materia de reciclaje, específicamente en las secciones 'Aseo y Limpieza Urbana' (54 ) y 'Reciclaje' (55). Existen campañas de comunicación enfocadas en los barrios que participan del programa de reciclaje inclusivo: estas campañas se llevan adelante a escala barrial, en la etapa de difusión y puesta en marcha del sistema de recolección diferenciada de reciclables en los barrios. También existen espacios de difusión y sensibilización, en establecimientos educacionales y en los Centros Educativos Ambientales de que dispone el municipio: en dichos centros, se promueven una serie de prácticas sustentables, entre éstas el reciclaje (56). No se han implementado campañas masivas para fomentar el reciclaje inclusivo en toda la comuna (57).</t>
  </si>
  <si>
    <t>F16</t>
  </si>
  <si>
    <t xml:space="preserve">Si bien la legislación relacionada a la regulación y manejo de residuos especiales y/o peligrosos es extensa y detallada, la misma es extremadamente débil en cuanto a su implementación, ya que o no existen los mecanismos de control adecuados o los mismos no funcionan como deberían, además de ser altamente susceptibles a casos de corrupción. La normativa es la siguiente:
Ley Nº 1.160/97 “Código Penal”. Art 200. Procesamiento ilícito de desechos
Ley Nº 1.160/97 “Código Penal”. Art 201 Ingresos de sustancias nocivas en el territorio nacional
Ley 3361/ 09 “De los Residuos Generados en los Establecimientos Asistenciales de Salud y Afines”
Ley Nº 3107/2006 “Que reglamenta la importación, fabricación, ensamblado, transito, transporte, depósito y comercialización de pilas y baterías primarias, comunes de carbón-zinc y alcalinas de manganeso, nocivas para la salud humana y el ambiente”.
Ley Nº 42/90 “Que prohíbe la importación y utilización de residuos peligrosos o basuras tóxicas y establece las penas
correspondientes por su incumplimiento”.
Decreto 3538/11 “Por el cual se reglamenta la Ley 3361 De Residuos Generados en los Establecimientos de Salud y Afines”.
Decreto 4926/10 “Por el cual se reglamenta la Ley 3107/2006 Que Reglamenta la importación, fabricación, ensamblado, tránsito, transporte, deposito y comercialización de pilas y baterías primarias, comunes de carbón-zinc y alcalinas de manganeso nocivas para la salud humana y el ambiente”
Decreto Nº 18.969/97: “Por el cual se reglamenta la Ley 92/90 “Que prohíbe la importación depósito, utilización de productos calificados como residuos industriales peligrosos o basura tóxica y establece las penas correspondientes por su incumplimiento” [1,2,3]
Con respecto la clasificación en la calle, la Ordenanza Municipal 408/14 "GESTIÓN INTEGRAL DE LOS RESIDUOS SÓLIDOS URBANOS Y LA PROMOCIÓN DE LA CULTURA DE BASURA CERO "en el Articulo 63 regula la clasificación en calle de la siguiente manera "Una vez depositados los residuos en la calle dentro de los elementos de contención autorizados, a la espera de ser recogidos por el servicio de recolección, no podrán ser manipulados, recogidos o aprovechados por personas no autorizadas por la Municipalidad." [4]
</t>
  </si>
  <si>
    <t xml:space="preserve">Existe normativa específica que regula el manejo de residuos peligrosos [1]. Esta corriente de residuos es gestionada de manera diferenciada desde la fuente, a través de procedimientos administrativos en todas la etapas desde la generación a la disposición final de manera segura. 
Esta norma se aplica a los generadores, operadores y transportistas de residuos peligrosos que se encuentren inscriptos en un registro, indispensable para obtener el certificado de Gestión de Residuos Peligrosos y contar con habilitación para funcionar en la Ciudad [2].
Si bien la norma existe y se cumple en el caso de quienes están registrados, existen también residuos peligrosos domiciliarios que se disponen en vía pública junto al resto de los residuos e incluso residuos peligrosos dispuestos fuera de norma, los que muchas veces son recogidos por los recuperadores de residuos sin saber cual es el modo de manipulación correspondiente [3].  
Para el caso de Residuos de Aparatos Eléctricos y Electrónicos (RAEE) el gobierno de la ciudad ha iniciado una Campaña de recepción de aparatos eléctricos y electrónicos en desuso, que promueve la disposición inicial voluntaria en diferentes ubicaciones programadas de la ciudad y en puntos verdes fijos existentes [4]. También existe bajo la competencia de la Agencia de Protección Ambiental (APRA) de la ciudad la gestión de pilas y baterías recargables en desuso, las cuales pueden ser dispuestas de manera voluntaria en diferentes lugares de la ciudad [5].
Si bien no existe actualmente una prohibición expresa sobre la rotura de bolsas en vía pública, la disposición inicial selectiva esta regulada por los Art. 16 y 17 (Cap. V) de la Ley N° 1854/05 [6] que define las condiciones en que los residuos deben ser preseleccionados en bolsas o contenedores y que la fracción seca debe ser entregada en mano a los recuperadores donde corresponda.
</t>
  </si>
  <si>
    <t xml:space="preserve">El Environmental Protection Act - Chapter 328 prohíbe verter residuos peligrosos o tóxicos en lugares donde puedan afectar directamente o indirectamente el medio ambiente, estableciendo para los transgresores sanciones pecuniarias hasta los 25,000 dólares y/o un periodo de encarcelamiento entre los 6 meses y los 5 años [1]. No se conoce el grado de aplicación de la ley; sin embargo, observadores independientes denunciaron la falta de información y garantías sobre la disposición en el país de cerca de 2.2 toneladas diarias de residuos hospitalarios con potencial infeccioso [2]. </t>
  </si>
  <si>
    <t>En la Ley General de Residuos Sólidos, Ley 27314 [1], se establece el reglamento y los aspectos operacionales relacionados con el manejo de residuos sólidos peligrosos [2]. La supervisión sobre el cumplimiento de las normas establecidas allí se lleva a cabo en la medida que la estructura operacional de las entidades encargadas de estas áreas lo permite [2]. Sólo un 4% o 5% de los residuos de la industria son reportados por las mismas, lo cual hace que exista una carencia de información sobre este tema [3].
Los recicladores tienen prohibido recolectar residuos peligrosos, sin embargo debido a que la separación es deficiente, en los recipientes que contienen los residuos se mezclan ordinarios y peligrosos [3]. Tampoco se permite la clasificación en la calle.</t>
  </si>
  <si>
    <t xml:space="preserve">Existe regulación para el manejo de residuos peligrosos y especiales [1] [2], la cual se aplica y se verifica su cumplimiento mediante autorizaciones y planes de manejo a sus generadores[1].  Estos residuos tienen un manejo diferente a los residuos ordinarios y es formalmente prohibido que lleguen a los rellenos sanitarios. La regulación de este tipo de residuos puede verificarse en la Ley General Para La Prevención Y Gestión Integral De Los Residuos Sólidos [3] y su respectivo Reglamento [4]. Estas normas son de nivel nacional ya que el cumplimiento y vigilancia son responsabilidad del Estado a través de las Entidades Federativas [1] [2].
Sin embargo, si bien  existe regulación, el control se aplica principalmente a los grandes generadores de este tipo de residuos y no sobre los residuos generados en las viviendas [1], es decir que los residuos peligrosos y especiales producidos por las mismas suelen terminar mezclados irregularmente entre los residuos urbanos que los usuarios entregan al servicio ordinario llevado a cabo por los trabajadores de limpia. Se plantearon programas para la recolección de residuos de aparatos electrónicos y eléctricos (RAEE) y pilas. [3] 
</t>
  </si>
  <si>
    <t xml:space="preserve">Se dispone de legislación para los residuos industriales peligrosos de carácter nacional.  [1]  La reglamentación de este tipo de residuos es de carácter nacional; las municipalidades no tienen regulación propia.  Existe reglamentación para algunas fracciones de residuos especiales como los neumáticos, plaguicidas, etc. Además en la nueva ley evolucionará a un mayor gestión y control de todos estos tipos de residuos. [3]
Para el control de los residuos especiales y peligrosos, en general residuos que no se conocen o se cree que tienen cierta peligrosidad, se envían al laboratorio de la Unidad de calidad y control ambiental de la municipalidad. Se ha aprobado una inversión en una planta de tratamiento de residuos peligrosos que debe entrar en funcionamiento en un futuro cercano. [2].
Con respecto a la regulación sobre clasificación en la calle,  se les prohíbe la realización de su actividad en la calle en determinadas zonas de la ciudad, como por ejemplo en el municipio B.[4] </t>
  </si>
  <si>
    <t>Existe la normativa para la gestión de los residuos especiales y peligrosos definida por la autoridad ambiental nacional, en el caso del Ecuador, el Ministerio del Ambiente [1], sin embargo esta normativa está en proceso de implementación y control [2].  El Municipio de Quito no cuenta con la implementación de un sistema de multas para aquellas personas o empresas que mezclen los residuos domiciliarios con residuos especiales y/o peligrosos, sin embargo, EMASEO lanzará en los próximos meses, un proyecto que permita el acopio temporal de residuos especiales en contenedores colocados en diferentes partes de la ciudad. Esto con el fin de dar una opción a la ciudadanía para desechar correctamente este tipo de residuos [3].  Es importante mencionar que al momento no se cuenta con normativa y/o regulación referente al proceso de recuperación y clasificación de residuos reciclables en las calles [4].</t>
  </si>
  <si>
    <t>El manejo de residuos peligrosos en Costa Rica se rige por el Reglamento General para la Clasificación y Manejo de Residuos Peligrosos, Decreto Nº 37788-MINAE, publicado el 18 de julio de 2013. Este reglamento establece las condiciones y requisitos para la clasificación de estos residuos, así como las normas y procedimientos para la gestión sanitaria y ambientalmente adecuada.(39)
Respecto de generadores del tipo hospitalarios, los residuos infecto contagiosos son tratados en la fuente mediante métodos que anulan su peligrosidad y luego recolectados y dispuestos por el sistema de recolección municipal en algunos casos, y privados en otros. Los generadores de residuos peligrosos que no corresponden al sector domiciliario ni hospitalario, son recolectados y dispuestos por empresas de recolección privadas. 
En el cantón de San José no existe control de residuos peligrosos provenientes del sector domiciliario, que aunque en proporción muy baja, se encuentran presentes en este segmento de generadores.
Respecto de la manipulación de residuos reciclables en la vía pública del cantón, según el Reglamento sobre el Manejo de Basuras, Capítulo XX!, Artículo 78, del Ministerio de Salud, se prohíbe la remoción o extracción total o parcial de los residuos desde los lugares de recolección (vía pública)  a toda persona distinta del servicios de aseo. (40)
El Plan Municipal para la Gestión Integral de Residuos Sólidos de la Municipalidad de San José (PMGIRS), publicado el 2011, plantea la necesidad de un mayor control y coordinación con los entes rectores, para garantizar el cumplimiento de la normativa ambiental a generadores y transportistas. (41)</t>
  </si>
  <si>
    <t xml:space="preserve">Existe adecuada regulación y control sobre clasificación y manejo de desechos especiales y/o  peligrosos y tiene una vigilancia estricta. La regulación está indicada en la Ley 12305 de 2010, en la cual se establece en el artículo 38 que los generadores de residuos peligrosos deben reportarlos a las autoridades y realizar un plan de gestión de los mismos [3]
Si bien  no es común que los recicladores tengan acceso a los residuos peligrosos [1], se identifica que los productos de limpieza y de algunos de materiales de construcción, junto con los alimentos consumidos por las personas constituyen un riesgo biológico para los recicladores [2].
Con respecto a la separación de residuos en la calle, no  se identificó en la  Ley 12.305, ni en su reglamento alguna prohibición.
</t>
  </si>
  <si>
    <t>La Ley 1333 del medio ambiente es la que establece como debe hacerse la gestión de los residuos especiales y peligrosos. Esta ley de 1992 dispone de una serie de reglamentos desplegados que dan cobertura a su aplicación. [1]
En esta ley se identifica qué residuos se consideran peligrosos, quién debe gestionarlos y cómo, así cómo qué deben cumplir las empresas que lo hagan. Se establece que son las empresas generadoras las que deben contratar un servicio de gestión de residuos y que deben informar de los residuos que generan, las cantidades y quién los gestiona anualmente en la declaración de residuos. Esta declaración es la base para la realización de inspecciones, siendo el Ministerio de Medio Ambiente el responsable de su control y seguimiento, no los municipios. [2] [3]
La ley municipal nº 295 [4] regula la disposición de basura en la calle, así como la manipulación de la misma en esas zonas públicas, todo ello intenta garantizar la salubridad de las calles y los espacios públicos.</t>
  </si>
  <si>
    <t>En Chile existe el Reglamento Sanitario Nº 148 sobre Manejo de Residuos Peligrosos (2003) (58). En su Artículo 1 señala, "Este Reglamento establece las condiciones sanitarias y de seguridad mínimas a que deberá someterse la generación, tenencia, almacenamiento, transporte, tratamiento, reuso, reciclaje, disposición final y otras formas de eliminación de los residuos peligrosos".  En relación con el programa de reciclaje inclusivo municipal, existe riesgo no en su componente de reciclaje, sino en el Programa de Retiro de Enseres (59): en este programa es factible la manipulación de componentes electrónicos identificados como residuos peligrosos, por parte de recicladores de base. No existe control sobre la clasificación de dichos residuos en el programa de reciclaje municipal (60).
La Ordenanza 77 "Aseo en la Comuna",  hay prohibición de depositar "basuras" en la vía pública "fuera de horario de recolección". No hay nada referido a reciclables o separación en la vía pública: los reciclables en general se sacan junto con el resto de la basura, en horario de recolección, por lo que en estricto rigor no estaría prohibido. Sí está prohibido el manejo de residuos no autorizado.</t>
  </si>
  <si>
    <t>F17</t>
  </si>
  <si>
    <t>En Asunción existen varias asociaciones de recicladores de base, entre las mas importantes se destacan Cooperativa Carreros Unidos (CARRUCOOP), Asociación de Mujeres Recicladoras del Bañado Norte y Recicla de Asociación Centro de Ayuda Mutua Salud para Todos (CAMSAT). Sin embargo es importante destacar que las mismas son en su mayoría asociaciones de hecho, no de derecho. Por lo general, las organizaciones de recicladores no se encuentran conformadas de manera legal y muchas veces abarcan temas mucho mas amplios que el reciclaje (por ej. tratan de dar solución a la problemática que enfrentan del día a día en sus barrios o temas contextuales que van apareciendo). La conformación legal de estas organizaciones se ve restringa no por el marco regulatorio o político del país, sino por el difícil contexto en el que operan los recicladores, caracterizados por los extremos niveles de vulnerabilidad, exclusión social, falta de acceso a servicios básicos y la necesidad de poder asegurar un ingreso que les permita cubrir las necesidades mas elementales, implica que muchas de estas organizaciones permanecen por un tiempo y luego se desintegran, van perdiendo fuerza y claridad en sus objetivos con el paso del tiempo, o que muchas veces por conflictos internos terminan disolviéndose. Los altos costos asociados a la conformación de una asociaciones tales como costos de registro, asesoría legal para la redacción de estatutos, etc. y la responsabilidad legal que esto implica a largo plazo también actúan en detrimento a la conformación de estas asociaciones. La falta de liderazgos fuertes también continua siendo una preocupación para estas organizaciones y las ONGs que las apoyan [1,2,3,4,5]</t>
  </si>
  <si>
    <t xml:space="preserve">Existe a nivel nacional una Federación Argentina de Cartoneros y Recicladores (FACYR) [1] que nuclea cooperativas y otras formas de organización relacionadas con la recuperación y reciclado de residuos. Si bien la FACYR no se encuentra reconocida como gremio/sindicato bajo las condiciones del Ministerio de Trabajo, Empleo y Seguridad Social. La misma nuclea a 65 agrupaciones (aprox. 65.000 trabajadores) con diferentes formas de asociación en todo el país [2].
En el caso de la ciudad de Buenos Aires, 7 de las 12 cooperativas que están contratadas por el gobierno para realizar la recolección de residuos secos se encuentran asociadas a esta federación.   
La FACYR a su vez forma parte de la Confederación de Trabajadores de la Economía Popular (CTEP) [3], ambos son movimientos que defienden los derechos de los trabajadores excluidos del sistema formal [4]. 
La CTEP se define como una organización gremial aunque todavía no ha logrado el reconocimiento legal como tal ante el Ministerio de Trabajo, Empleo y Seguridad Social de la Nación, pero si ha conseguido un reconocimiento mediante un régimen diferenciado de agremiación [4], aunque rodeado de controversias y dificultades [5,6].
En Argentina la Ley N° 23.551 [7] regula a las asociaciones sindicales, las mismas deben solicitar a la autoridad de aplicación, en este caso el Ministerio de Trabajo, Empleo y Seguridad Social, el registro para finalmente recibir la personería jurídica una vez cumplimentados una serie de requisitos que muchas veces no son posibles de cumplir.
</t>
  </si>
  <si>
    <t>No existen asociaciones de recicladores de base [1,2,3,4,5,6,7,8]. Sin embargo, la Autoridad Nacional sobre Residuos Solidos - Belize Solid Waste Management Authority BSWAMA - está evaluando la implementación de una acción de incubación empresarial hacia la formalización del trabajo de los recicladores de base activos en la Estación de Transferencia de Ciudad de Belice [2].</t>
  </si>
  <si>
    <t>La Sección Uno del SUTGDF es un Sindicato formalmente constituido que representa a los trabajadores de limpia de la CDMX; más allá del Servicio de Limpia, los trabajadores representados por la Sección UNO también realizan actividades de reciclaje informal. La Sección UNO se caracteriza por un fuerte dinamismo democrático que involucra voluntarios y trabajadores asalariados, macheteros, choferes, y barrenderos. Los Secretarios Generales del Sindicato y todos los cargos intermedios son sustituidos al terminar su periodo de 6 años y existe una vivaz dialéctica interna. En ocasiones, los trabajadores de base acusan a sus líderes de no promover el interés colectivo de sus representados y/o de hacer acuerdos poco transparentes con el Gobierno. Actitudes de este tipo suelen ser castigadas con la pérdida de votos en las fechas electorales y con la disminución de la capacidad de gobierno y movilización de los trabajadores.  Se admiten nuevos miembros, normalmente ser voluntario es el primer paso para poder entrar en plantilla; la admisión antes a voluntario y luego a trabajador de plantilla acontece por "cooptación" de parte los choferes (que normalmente involucran parientes o chicos del barrio) [4].
Los gremios de los pepenadores son formalmente constituidos como Asociaciones Civiles (Unión de Pepenadores del D.F. Rafael Gutiérrez Moreno, AC; Frente Único de Pepenadores, AC; Asociación de Selectores de Desechos Solidos de la Metrópoli, AC)  y se caracterizan por una ausencia de rotación entre los lideres (el liderazgo normalmente termina con la muerte del líder y existe la tendencia a transmitir el cargo a otros miembros de la familia) y por estructuras verticales con escasez o inexistencia de mecanismos participativos y democráticos. Es difícil descodificar e interpretar la naturaleza y finalidad de los gremios;  existe una lectura positiva, donde gracias a los gremios y sus líderes los pepenadores logran defender su posicionamiento en la cadena de valor, mediar con los instituciones publicas y con las fuerzas políticas para recibir beneficios (viviendas populares y otras cosas), relacionarse con el mercado de la intermediación en condiciones mas favorables que si interactúan individualmente. También existe una lectura negativa, donde los líderes son caciques que oprimen su base, utilizándola para fines políticos y para enriquecerse en una lógica de explotación, acaparrando de manera forzada los materiales clasificados. Probablemente las dinámicas funcionales y disfuncionales coexisten y su proporción puede cambiar significativamente dependiendo del gremio, del líder y de la época histórica. La base de los gremios no es muy dinámica, aunque de vez en cuando se admiten nuevos pepenadores con lógica de "cooptación". 
 [1] [2], [3]</t>
  </si>
  <si>
    <t>La única organización que agrupa a actores del reciclaje en Costa Rica es la Red de Reciclaje de Costa Rica (REDCICLA), fundada el 2005 y compuesta por 64 centros comunitarios, 67 empresas recuperadoras y 42 empresas recicladoras. Esta organización no agrupa a organizaciones de recicladores de base. (42)
En el documento Inclusión Económica y Social de los Recicladores de Liberia, elaborado por Fundación Aliarse y ACEPESA el año 2013, se señala que uno de los principales problemas del sector es la falta de organización.  (43) 
Según información levantada en 15 vertederos de todo el país, por la Red Latinoamericana de Recicladores (Red LACRE) y Asociación Centroamericana para la Economía, Salud y Ambiente (ACEPESA),  sobre organizaciones de recicladores el año 2011, existían en ese momento 5 organizaciones de recicladores. Ninguna de ellas correspondía a cantón de San José. (44)
Respecto del sector informal en el Cantón de San José, en el Plan Municipal de Gestión Integral de Residuos Sólidos se señala que “en el cantón no existe información o investigación para saber si existe o no otros centros formales o informales”.(45)</t>
  </si>
  <si>
    <t>En San Pablo no existen organizaciones de recicladores de carácter político [1]. Sin embargo, hay 22 cooperativas de recicladores que operan con el municipio, entre las que se destacan COOPERE y COOPERCAPS, cuyos recicladores asociados trabajan en las centrales mecanizadas de reciclaje de Sao Paulo [2]. COOPERCAPS  cuenta con 80 recicladores asociados [3] ,mientras que COOPERE, cuenta con 120 asociados [4]. Existen otras 48 organizaciones de recicladores (de carácter económico) que no están registradas.</t>
  </si>
  <si>
    <t xml:space="preserve">En el "Catastro Sociolaboral de Recicladores de la Región Metropolitana" llevado a cabo por Fundación Casa de La Paz y Movimiento de Recicladores de Chile (2015), más del 90% de los encuestados declara no haber participado en organizaciones. Sin embargo, 15 de 84 encuestados en la Comuna de Santiago (un 17,9%) respondieron que sí participaban en organizaciones (61). No se logró establecer cuales son estas organizaciones en la Comuna de Santiago (podrían ser de comunas aledañas). El Movimiento de Recicladores de Chile, que apoya el programa de reciclaje municipal en Santiago, no cuenta con organizaciones miembros en la Comuna de Santiago. A fines de los 1990 hubo algunos intentos organizativos de recicladores que trabajaban en la Comuna de Santiago y vivían en la Comuna de Quinta Normal. Estos procesos no prosperaron (62). </t>
  </si>
  <si>
    <t>F18</t>
  </si>
  <si>
    <t xml:space="preserve">La mayoría de estas organizaciones, al ser conformadas pero no legalmente establecidas, carecen de personería jurídica y estatutos internos. Generalmente las mismas reciban apoyo de diferentes ONGs a través de fondos de cooperación internacional pero en muy raros casos manejan sus propios fondos o recursos y tampoco tienen registros contables. El registro de miembros y periodicidad de las reuniones depende de cada organización y del contexto especifico en el que se encuentran. 
En importante recalcar que en Asunción muchas de estas organizaciones fueron afectadas por las devastadoras inundaciones que se registraron en el 2014, 2015 y 2016. La mayoría de los recicladores (tanto los que trabajan en recolección en las calles así como los gancheros que trabajan en Cateura) se vieron forzados a ser evacuados y desplazados de sus viviendas. Los miembros de estas organizaciones al ser relocados en albergues municipales perdieron no solo sus medios de vida y sus viviendas sino que también se distanciaron de sus redes de contacto y la capacidad de reunirse de forma periódica de vio fuertemente limitada. Debido al carácter urgente del desastre natural que azoto a estas comunidades, la mayoría de las ONGs que se encontraban apoyando el trabajo de los recicladores tuvieron que re-orientar sus acciones concentrando sus esfuerzos en el proceso de evacuación y re-ubicación, provisión de viviendas temporales y necesidades básicas, lo que ha también ha significado que muchas de estas organizaciones vieron el proceso de apoyo interrumpido lo que ha afectado sus operaciones y continuidad.
El efecto de las inundaciones no solo ha sido devastador para los recicladores sino también para todo el proceso de fortalecimiento que se ha llevado a cabo por años con las organizaciones de recicladores. Esto ha resaltado una vez mas la vulnerabilidad de estas organizaciones y la importancia de un acompañamiento sostenido a largo plazo que permita que Paraguay pueda tener en e futuro organizaciones tan fuertes y representativas como las de Brasil o Colombia.[1,2,3,4,5]
 </t>
  </si>
  <si>
    <t xml:space="preserve">La Federación Argentina de Cartoneros y Recicladores (FACYR) se encuentra registrada en el Instituto Nacional de Asociativismo y Economía Social (INAES) que depende del Ministerio de Desarrollo Social de la Nación y es el encargado de legislar, controlar y promover la economía social con respecto a Cooperativas y Mutuales [1]. 
No posee estatuto, tiene registro de miembros (nuclea a 65 cooperativas), no tienen reuniones regulares, tampoco tienen programas específicos y no reportan estados contables ya que la federación no tiene presupuesto propio, se conforma con cooperativas que se encuentran apenas formalizadas en el mejor de los casos. La FACYR no cuenta con una estructura formal, es la suma de voluntades de militantes y las mismas cooperativas que la integran [2].
En el caso de la ciudad de Buenos Aires, 7 de las 12 cooperativas que están contratadas por el gobierno para realizar la recolección de residuos secos se encuentran asociadas a esta federación.  
</t>
  </si>
  <si>
    <t>No existen asociaciones de recicladores de base.</t>
  </si>
  <si>
    <t>Cada organización tiene sus estatutos y reglamentos internos. Sin embargo, ninguna organización de recicladores está consolidada como empresa, los recicladores que hacen parte de las asociaciones no aportan económicamente, por lo cual no hay apoyo económico a los dirigentes de las asociaciones. Esto se traduce en falta de capacidad para transporte de materiales y  acopio adecuado, que permitan ser más eficientes. Debido a que no se consolidan como empresa, no hay financiación interna ni estados contables[1].
Todas las organizaciones tienen un registro de miembros, estadísticas de recicladores y registro de materiales recolectados diario y anual. Además las organizaciones deben reportar mensualmente las cantidades de materiales recolectados. Las asociaciones más grandes son RECI-CON-SUR que cuenta con 80 recicladores, y la Red de Asociación de Recicladores Ambientalistas de Villa El Salvador y tiene 38 recicladores asociados[1].</t>
  </si>
  <si>
    <t xml:space="preserve">El Sindicato (Sección Uno del SUTGDF) tiene un significativo nivel de inclusión, todos los miembros, incluyendo a los voluntarios, participan a la vida política interna, hay elecciones regulares y rotación en todos los roles, desde el secretario general hasta todos los mandos intermedios. Estatuto y reglamento interno son distribuidos entre los trabajadores [3]. Las Asociaciones Civiles de los pepenadores son menos inclusivas y participativas, se hacen eventualmente reuniones pero no existe un mecanismo transparente de democracia interna [1] [2]; sin embargo, existen pepenadores que perciben ser escuchados y apoyados por sus líderes, y otros pepenadores que viven en un clima de temor y no creen que el líder promueva el interés colectivo [4]
</t>
  </si>
  <si>
    <t xml:space="preserve">Las asociaciones de recicladores de base en Quito, así como también, la RENAREC a nivel nacional cuentan con ciertos procesos de inclusión. En la mayoría de organizaciones formales se cuenta con estatutos internos disponibles para sus miembros, registro de los mismos, y, se realizan reuniones abiertas y regulares [1][2].           
La RENAREC mantiene reuniones anuales de rendición de cuentas con sus miembros, así como también, cuenta con herramientas de comunicación y difusión sobre la entidad y sus actividades a través de redes sociales y página web [1][3].   
Las organizaciones formales no cuentan con programas relacionados a enfoque de género [1], sin embargo, se contempla la incorporación de esta temática a corto y mediano plazo a través de proyectos específicos [4]. Es importante mencionar, que en la mayoría de organizaciones formales, existe  una carencia de regulaciones internas, lo que se traduce en que las decisiones de las organizaciones están concentradas en pocas personas. Los asociados dejan que el/la dirigente/a sea el que toma la decisión [4].
</t>
  </si>
  <si>
    <t>La organización Red de Reciclaje de Costa Rica (REDCICLA), no considera dentro de su perfil de socios a recicladores de base, aunque sí considera organizaciones de carácter comunitario. El requisito para este tipo de organizaciones es pagar 22.000 colones al año (USD 40) y estar dispuesto a compartir información y asistir a las actividades de la organización.(46) 
Los recicladores de base no cuentan con organizaciones de carácter nacional, aunque sí existen referencias de organizaciones locales de recicladores fuera de la capital de organizaciones de nivel local, no existe evidencia de sus políticas de membresía.(47)</t>
  </si>
  <si>
    <t xml:space="preserve">En San Pablo no existen organizaciones de recicladores de carácter político. 
Las cooperativas que existen tienen definidos sus estatutos, incluso COOPERCARPS cuenta con una Misión, Visión y Valores definidos, cuentan con registro de miembros, espacios de diálogo y capacitación para sus asociados permanentes, registro de las cantidades de materiales recolectados y por tanto registros financieros [1] . </t>
  </si>
  <si>
    <t xml:space="preserve">No se encontró evidencia de asociaciones de recicladores inscritas y vigentes, en la comuna de Santiago (63). Por otro lado, el Movimiento de Recicladores de Chile, no cuenta con organizaciones asociadas en la Comuna de Santiago ni tampoco tiene antecedentes de que existan organizaciones activas (64). </t>
  </si>
  <si>
    <t>F19</t>
  </si>
  <si>
    <t xml:space="preserve">El establecimiento de la Coordinadora de Organizaciones de Recicladores de Asunción, CORA (coordinadora de recicladores de base), buscó ser un mecanismos de reconocimiento de la sociedad y las autoridades hacia los recicladores y su problemática, y tenia la intención de avanzar hacia la constitución de un movimiento nacional en el país. Según un artículo realizado a su Secretaria General, Graciela Maldonado, CORA mantiene contacto con recicladores de otras ciudades, tales como Santo de Guairá, Ciudad del Este, San Lorenzo, Luque y otros. A través de seminarios y jornadas de capacitación los diferentes grupos han podido conocerse de forma personal. A través de la organización las diferentes asociaciones han podido acercarse a la municipalidad para la realización de eventos y la coordinación de proyectos que involucren a los recicladores. [1,4]
Ciertos miembros de CORA y de Recicla, la asociación de recicladores vinculados a  Centro de Ayuda Mutua Salud para Todos  (CAMSAT) han participado de capacitaciones e intercambios a nivel internacional, aunque el hecho ha sido de forma esporádica. [2,3]. Debido a las inundaciones que afectaron a Asunción durante el 2014-2016 la conformación del movimiento a nivel nacional ha parado y el trabajo de CORA ha disminuido perdiendo un valioso espacio de participación y cohesión para las asociaciones de recicladores. [2]
</t>
  </si>
  <si>
    <t xml:space="preserve">La Federación Argentina de Cartoneros y Recicladores (FACYR) es la única asociación con formato de gremio que existe en Argentina [1]. La FACYR promueve la participación en espacios de interlocución de las organizaciones miembro, a nivel local, regional e internacional. 
A nivel internacional forma parte de la Alianza Global de Recicladores [2]. 
En el año 2015 realizaron la Primera Capacitación Popular para los trabajadores cartoneros, carreros y recicladores del país, al que asistieron delegados de asociaciones y cooperativas [3].
A nivel nacional, la FACYR todos los años realiza un encuentro anual que se financia con la solicitud a ONGs para costear pasajes, etc. Realizan sorteos y eventos para juntar fondos para financiar también los encuentros de mujeres.  
La FACYR organizó un encuentro regional en el año 2016, donde asistieron recuperadores de Chile, Colombia, Brasil, entre otros. Fue un taller que duró dos días que sirvió de plataforma para la presentación que finalmente llevaron una recuperadora de Chile, una de Colombia y una de Argentina a Ginebra a una asamblea de la Organización Internacional del Trabajo (OIT), durante dos años seguidos [4,5].
</t>
  </si>
  <si>
    <t xml:space="preserve">Hay dialogo entre otras asociaciones en la mesa de reciclaje con el apoyo de la ONG Ciudad Saludable. En esta mesa de reciclaje, cada mes se reúnen líderes de las diferentes asociaciones de los distritos de Lima  donde discuten temas de capacitaciones en el tema de microempresas, planes para poder conectarse con industrias[1] [2]. A nivel internacional, la Federación Nacional de Recicladores del Perú (FENAREP) y la Red Nacional de Recicladores de Perú (RENAREP) han participado en los espacios de interlocución con otras asociaciones de recicladores de otros países a través de Redlacre, la Red de Recicladores de Latinoamérica [3]. </t>
  </si>
  <si>
    <t>El representante sindical de las asociaciones de recicladores de Uruguay,  la Unión de Clasificadores de Residuos Urbanos Sólidos--UCRUS (y por tanto de Montevideo) participan en las reuniones de la Red Latinoamericana de Recicladores (Red Lacre) y también sucede a la inversa, donde responsables de la Red Lacre participan en las reuniones que se llevan a cabo en Uruguay. [1]
UCRUS, efectivamente participa en reuniones y encuentros con la Intendencia de Montevideo, varios ministerios e incluso con Presidencia de la República, así como con representantes internacionales. [2]
Las pequeñas cooperativas de Montevideo (otras del interior del país sí que tienen capacidad para participar en espacios de interlocución) [3] o participan en espacios de interlocución, pero es que no están organizadas para poder hacerlo, tampoco los clasificadores individuales. Las realidades de los distintos grupos de recicladores son muy diferentes. En las negociaciones de la ley de residuos debería haber habido un representante de las cooperativas de clasificadores, pero eso no existe aún. [4]
Las cooperativas participan en diferentes reuniones que se realizan desde la Intendencia de Montevideo y desde el MIDES, cuando se les convoca. No es una participación masiva, pero se suele asistir. No se ha participado nunca en una reunión internacional más allá de cuando vienen representantes extranjeros y los visitan. [5] Por otro lado se indica que no participan en interlocuciones con la Intendencia de Montevideo, aunque se trata de una cooperativa muy pequeña, de pocos miembros [6].</t>
  </si>
  <si>
    <t>Las asociaciones de recicladores de base a nivel nacional y  local (Quito) cuentan con espacios de participación y diálogo de manera constante. En el caso de Quito, las asociaciones de recicladores, realizan reuniones quincenales en las oficinas de la RENAREC, en dónde se discuten las problemáticas presentes en ese momento, tanto a nivel político, administrativo y operativo [1] [2]. La RENAREC realiza al menos 3 reuniones por año con convocatoria nacional, en dónde participan de 2 a 3 miembros de la directiva de cada asociación [1]. La RENAREC es única organización de recicladores del Ecuador que participa de manera activa en espacios de interlocución con pares a nivel internacional, a partir de su membresía en la Red Latinoamericana y del Caribe de Recicladores (RED LACRE) desde el año 2011 [1]. Así mismo, la RENAREC forma parte del Comité Local de la IRR en Ecuador, participando activamente en mesas de diálogo y construcción de propuestas [1][4].</t>
  </si>
  <si>
    <t>Dado el bajo nivel de organización de los recicladores, no existe una organización de nivel nacional. Las pocas  organizaciones de nivel local de las que se tiene noción, participan de espacios de articulación principalmente con los municipios. En algunos casos, la presencia de proyectos de cooperación o iniciativas puntuales, han permitido desarrollar espacios de interlocución entre pares, los que han sido puntuales.(48)</t>
  </si>
  <si>
    <t>En el marco del Proyecto "Reciclaje Inclusivo Comunal" ejecutado por Fundación Casa de La Paz y Movimiento de Recicladores de Chile, los 7 recicladores participantes del programa municipal de reciclaje han podido reunirse entre ellos y con otras comunas participantes del proyecto. También  han empezado a participar de manera incipiente en espacios de conversación entre pares, a nivel nacional, en las actividades gremiales que organiza el Movimiento Nacional de Recicladores de Chile (65).</t>
  </si>
  <si>
    <t>F20</t>
  </si>
  <si>
    <t>En el curso de esta investigación no se halló evidencia de que existan espacios de intercambios o coordinación entre los diferentes actores de la cadena de valor. En Paraguay al momento no existen incentivos para que los diferentes actores puedan intercambiar experiencias y coordinar acciones. La información fue validada por las entrevistas realizadas. [1,2]</t>
  </si>
  <si>
    <t xml:space="preserve">Las asociaciones de recuperadores de la ciudad participan activamente en diferentes espacios de diálogo [1], en la mayoría de los casos para promover su actividad y fortalecer los lazos con ONGs, instituciones académicas y actores/sectores políticos.
Actualmente se están discutiendo  las condiciones del nuevo pliego de recolección de residuos secos a implementarse en 2017, donde las cooperativas de recuperadores están solicitando que se respeten los derechos adquiridos, se revisen las modalidades de contratación/financiación y se contemplen todas las condiciones de trabajo definidas en el pliego actual que no se han logrado implementar todavía [2,3].
A nivel nacional la FACYR recientemente presentó un proyecto para reciclar envases y promover la inclusión social en la Cámara de Diputados de la Nación [5].
Respecto de la relación cooperativas-sector privado, no existen espacios de diálogo formales, lo más cercano es una iniciativa del Instituto Argentino del Envase (IAE)[6], que dada la crisis actual de reducción de demanda y aumento de costos en recicladores, ha impulsado mesas de trabajo conjunto. También las cooperativas y el sector privado, articulan a través de la Iniciativa Regional para el Reciclaje Inclusivo (IRR), liderados por la Fundación Avina [7]. </t>
  </si>
  <si>
    <t xml:space="preserve">No existen organismos de coordinación entre los actores del reciclaje ni en Ciudad de Belice ni a nivel nacional [1,2]. </t>
  </si>
  <si>
    <t>Existe un espacio de diálogo llamado mesa de reciclaje, liderada por ADEX y Ciudad Saludable [1] [2]. Sin embargo, con el cambio de la presidencia de ADEX  este año no se ha sesionado y los acuerdos no han tenido la misma trascendencia[2].  Esta mesa está respetando por asociaciones de recicladores y otras empresas de servicios [2]. Por otra parte, debido a que la Asociación nacional de recicladores tiene pugnas por el liderazgo, la participación de los recicladores se ha debilitado [2].
No obstante lo anterior, Ciudad Saludable cuenta con otro espacio en el que participan  35 asociaciones y se logran acuerdos cuando se logran concretar los intereses de los recicladores y los de la industria, por ejemplo para suprimir a los intermediarios y que el beneficio directo lo obtengan las organizaciones [1].
Aún, sin embargo, es un tema por fortalecer debido a que los espacios no son suficientes, lo cual se evidencia en la falta de coordinación entre los actores [3]</t>
  </si>
  <si>
    <t xml:space="preserve">El INARE (Instituto Nacional Recicladores) es una asociación civil que agremia las empresas activas en el sector de la intermediación de los desechos reciclables. Su objetivo es  promover los intereses del sector hacia las instituciones publicas y fomentar el dialogo, el intercambio técnico  y la sinergia entre sus asociados. Agrupa empresas pequeñas, medianas y grandes, y por un 5% es compuesto por grandes firmas extranjeras. En la cadena de valor, los miembros de INARE se posicionan entre el primer anillo informal (recicladores de base) y los centros de acopios mas pequeños, y la industria que concretamente recicla la materia prima secundaria [1,2]. Además, existe una asociación civil llamada Ecoce que agrupa grandes empresas distribuidoras de envases (como Coca-Cola, Ciel, Bonafont, Jumex y otras); Ecoce promueve el punto de vista de los distribuidores de envases ante las instituciones publicas y tiene la misión de construir cadenas eficientes de suministro para el reciclaje; es un actor importante en el debate sectorial sobre la responsabilidad extendida del productor. Gracias a la mediación de la IRR (Iniciativa Regional de Reciclaje Inclusivo), Ecoce está evaluando la posibilidad de construir esquemas sinérgicos con los recicladores de base . Sin embargo, según el testimonio del Director de la Asociación Mexicana de Empresas Ambientales, existen divergencias entre los distintos actores de la cadena e incluso las empresas prestadoras de los servicios de manejo de residuos sólidos [3,4]. </t>
  </si>
  <si>
    <t xml:space="preserve">No existen espacios de interlocución dentro de la cadena de valor del reciclaje. Sin  embargo, se suele tener relación con los compradores de los materiales. [1] [2] </t>
  </si>
  <si>
    <t xml:space="preserve">No existen espacios formales de diálogo y coordinación entre diferentes actores de la cadena de reciclaje a nivel nacional ni local.   Se generan espacios de diálogo de manera esporádica y por temas específicos (solución de problemas e implementación de proyectos/programas) con autoridades locales y nacionales [1].  
Algunas organizaciones de recicladores mantienen espacios de diálogo directo con intermediarios, sobre todo para procesos de comercialización y resolución de conflictos [1][2]. 
En alguna organizaciones de recicladores que trabajan directamente con las empresas recicladoras, existen espacios de diálogo, capacitación y coordinación enmarcada en comercialización y calidad de residuos entregados. Estos espacios son liderados por la directiva de cada organización [3].
</t>
  </si>
  <si>
    <t>Debido al bajo nivel organizacional de los recicladores de base, no existe mayor diálogo con los demás actores de la cadena de valor. Se estima que los recicladores de base acceden a intermediarios (centros o bodegas de reciclaje) de tamaño pequeño o mediano y no se conectan con el resto de la cadena.
Algunas empresas exportadoras declaran relacionarse, en casos muy especiales, con recicladores de base, sin embargo no existe evidencia de que realmente se trate de recicladores de base o si se trata mas bien de organizaciones comunitarias. (49)</t>
  </si>
  <si>
    <t xml:space="preserve">La fundación AMIGARSE, que trabaja en la introducción de la responsabilidad social corporativa en las empresas [1], ha gestionado un proyecto gracias al que la empresa embotelladora de agua "Aguas del Urubó" contrata los servicios de varias de las asociaciones que se encuentran en la Red de Recolectores Santa Cruz dotándolos de herramientas de trabajo a cambio de que ellos se hagan cargo de la recolección de residuos de la empresa. Así que conecta los dos primeros eslabones de la cadena, al tiempo que le sirve a la empresa para dar respuesta a la Ley 755 al formar parte de su plan integral de gestión de residuos. [2]
Se trata de iniciativas esporádicas, no existe un espacio organizado en el que los diferentes eslabones de la cadena del reciclaje se encuentren y dialoguen, ni a nivel municipal ni entre los diferentes partes de la cadena del reciclaje. [3]
La parte de la cadena que está más organizada es la de los recicladores industriales, pues a través de su participación de la Cámara de Industria de Santa Cruz (CAINCO) están más coordinados. CAINCO creó la Fundación para el Reciclaje (FUNDARE) que promueve acciones de reciclaje entre las empresas y apoya la difusión de las que realiza la municipalidad.  [4]
</t>
  </si>
  <si>
    <t>F21</t>
  </si>
  <si>
    <t>En general existe un buen balance en cuanto a la participación de las mujeres en las asociaciones de recicladores. Varios entrevistados mencionaron que la participación tiende a ser igualitaria (50%) o a tener mayoría de mujeres. También existen asociaciones conformadas exclusivamente por mujeres tales como Asociación de Mujeres Recicladoras del Bañado Norte. Las asociaciones, por lo general, no tienen limitaciones en cuanto a la ocupación de cargos; sin embargo la falta de liderazgo sigue siendo un problema que aqueja a la gran mayoría de las organizaciones poniendo en peligro la sostenibilidad de las mismas [1,2,3]</t>
  </si>
  <si>
    <t xml:space="preserve">Existe un nivel medio de representación de las mujeres en las asociaciones. Dos de las líderes reconocidas de los recuperadores de la Ciudad de Buenos Aires son mujeres. Alicia Montoya, responsable de la Cooperativa el Álamo, una de las cooperativas más antiguas de la ciudad [1], es una referente que participa activamente en espacios de diálogo y lucha activamente por los derechos de los trabajadores del reciclado. Cristina Lescano, responsable de la Cooperativa El Ceibo, que es más antigua aun y es una referente muy reconocida de la actividad [2].
En el caso de la Cooperativa El Amanecer de los Cartoneros que nuclea a 3,000 socios, la mitad aproximadamente, son mujeres y más de la mitad de las delegadas (1 persona cada 60 recuperadores) son mujeres. También hay varios miembros mujeres en los consejos de administración de las cooperativas las demás cooperativas hay varios miembros que son mujeres, aunque en la mayoría de los casos los presidentes son hombres [3]. 
No existen programas de capacitación dirigidos especialmente a mujeres y la violencia de género es uno de los problemas más graves que afecta a sus socias, desde la Federación Argentina de Cartoneros y Recicladores (FACYR) abordan en la medida de lo posible la problemática y una de las iniciativas que promueven es el Encuentro de Mujeres, donde se organizan para viajar juntas y compartir experiencias [3]. </t>
  </si>
  <si>
    <t>No existen asociaciones de recicladores de base [1,2,3,4,5,6,7,8]. Entre la población recicladora se estima una mayoría de mujeres entre los recicladores de base integrados con el servicio formal de limpia [1] y cerca de un 40% de mujeres entre los recicladores activos en la Estación de Transferencia [2,6,7].</t>
  </si>
  <si>
    <t>No se reconocen mujeres líderes en las asociaciones de recicladores y de los 785 miembros formalizados en las organizaciones de recicladores el 73% son hombres y el 27% mujeres [1]. Sin embargo, no se identifica un trato excluyente con las mujeres, sino que lo anterior se debe a la dinámica de la actividad [2][3].</t>
  </si>
  <si>
    <t>En Montevideo hay, en proporción con otras zonas del país, pocas mujeres que se dediquen a la clasificación de residuos. Así pues mayormente en los órganos directivos se encuentran hombres. Hay excepciones, pues hay constancia de una cooperativa en Montevideo formada por tres hombres y una mujer y es ella la presidenta (en Montevideo las cooperativas suelen ser de pocos miembros). Sin embargo en el resto del país hay más mujeres que trabajan en el reciclado de residuos y éstas están agrupadas en cooperativas en mayor proporción, probablemente porque al verse en inferioridad de condiciones tienden a agruparse en cooperativas en las que poder apoyarse. Sin embargo no hay datos del nivel de representación de las mujeres en las asociaciones, ni de Montevideo ni del resto del país. [1]
En las plantas de clasificación hay alrededor de un 40% de mujeres. Cuando los recicladores se organizan, en Montevideo muchas mujeres se apuntan al trabajo de las plantas (no necesariamente en los órganos de poder). En las plantas tienen un horario fijo y una seguridad que les permite compaginar el trabajo con los hijos y las tareas del hogar. [2]
En las cooperativas de Montevideo se puede decir que la participación de las mujeres en baja, alrededor del 20% de los recicladores son mujeres, según la Unión de Clasificadores de Aglomerado de Polietileno  (UCAP)  [3]. 
Se desconoce el nivel de participación de mujeres en la Unión de Clasificadores de Residuos Urbanos Sólidos--UCRUS.</t>
  </si>
  <si>
    <t xml:space="preserve">La única información que se tiene sobre las participación de las mujeres en el sector de los recicladores de base, corresponde la iniciativa de visita de vertederos llevada adelante en todo Centroamérica por la Red Latinoamericana y de El Caribe de Recicladores (Red LACRE) el año 2011. En Costa Rica se visitaron 15 vertederos, cuantificando un total de 247 recicladores de base de los cuales el 38% eran mujeres.(50) </t>
  </si>
  <si>
    <t>F22</t>
  </si>
  <si>
    <t>Recicla, parte del Centro de Ayuda Mutua Salud para Todos del Bañado (CAMSAT), realiza actividad comercial a través del acopio y venta de materiales reciclados. CAMSAT tiene la personería jurídica y Recicla opera con ellos, pero todos los fondos y manejo de los mismos lo hacen en forma conjunta.  Es de la mas antigua ya que está hace 9 años .Así mismo Procicla es otra organización que se dedica de manera comercial al reciclado. La misma pretende ser un negocio inclusivo entre la empresa privada y los recicladores, facilitada por la ONG geAm. Procicla trabaja con los recicladores de residuos (ex gancheros de Cateura) y los miembros de la Asociación de Recicladores de Residuos PROCICOOP. A pesar de su existencia las mismas todavía no trabajan de manera coordinada. [1,2,3]</t>
  </si>
  <si>
    <t>En Bogotá existen 170 organizaciones de recicladores que comercializan con otras asociaciones más grandes o con la industria directamente: todas las organizaciones de recicladores tienen carácter económico [1].  Sin embargo, debido a que menos de la tercera parte se encuentran agremiados la mayoría de los materiales se recibe de recicladores independientes, por ejemplo en el caso de EKORED (la empresa más grande de recuperación de PET en Colombia) sólo capta el 12% del total del material a través de organizaciones de recicladores, el restante a partir de recicladores independientes [2].</t>
  </si>
  <si>
    <t>No existen cooperativas, microempresas u otras organizaciones formales o informales de recicladores de base que se dediquen a actividades comerciales [1,2,3,4,5,6,7,8]</t>
  </si>
  <si>
    <t xml:space="preserve">Todas las organizaciones de base comercializan sus residuos directamente con intermediarios. Algunas comercializan con la industria y pocas con otras cooperativas[1][2]. Por otra parte, aunque se encuentren asociados, en la mayoría de casos, cada reciclador es libre de vender sus materiales a empresas o intermediarios[1]. </t>
  </si>
  <si>
    <t xml:space="preserve">Las asociaciones civiles de los pepenadores suelen tener actividad comercial vendiendo los materiales recolectados por sus agremiados a intermediarios o directamente a la industria. Por ejemplo, el Frente Único de Pepenadores compra y vende todas las fracciones reciclables separadas por sus agremiados [1], mientras la Unión de Pepenadores compra y vende solo la hoja de lata [2]; cierto numero de pepenadores vende lo que recolecta directamente a intermediarios sin buscar la intermediación de sus gremios [1,2], aunque no está claro en que medida los gremios busquen o impongan exclusividades comerciales [3]. En el sector de los trabajadores de limpia, la venta de materiales reciclables es totalmente libre y no está intermediada por los lideres sindicales; aún así, en una menoría de casos, existen acuerdos espontáneos e informales entre trabajadores que juntan el recolectado para obtener mejores condiciones con los intermediarios [4]. </t>
  </si>
  <si>
    <t xml:space="preserve">Casi todas las organizaciones de clasificadores/recicladores son de carácter comercial a excepción de la UCRUS que es de carácter sindical/político. Las organizaciones son básicamente cooperativas y tienen actividad comercial, existen también un conjunto de personas que recuperan residuos de forma individual, y actúan de forma individual. Sin embargo, no hay mucha coordinación entre ellas, cada una trabaja en su ámbito y buscando compradores o la fuente de sus residuos de forma individual. [1]
Las cooperativas deben crearse con la ayuda de una ONG y el respaldo de capacitaciones y acompañamiento en todos los trámites administrativos que implica la constitución de una cooperativa. Los recicladores por sí solos no son capaces de enfrentarse a ellos. Las que hay en Montevideo se han creado de esa forma. [2] </t>
  </si>
  <si>
    <t>Existen algunas organizaciones de recicladores con actividades formales en términos comerciales [1].   
La gran mayoría de estas organizaciones de recicladores de base, corresponden a las que trabajan en coordinación con el municipio a través de los Centros de Educación y Gestión Ambiental (CEGAM), pues mantienen una contabilidad formal, presentan declaraciones de impuestos por sus ventas, y, poseen un mecanismo de administración y gerencia de centros de acopio y comercialización de residuos [1][2][3][4].    
Se evidencia una coordinación entre asociaciones de recicladores que trabajan en los CEGAM para la comercialización de papel con una empresa recicladora, es importante mencionar, que este proceso ha contribuido a mejoras económicas para las asociaciones participantes; no obstante, este es un caso puntual y no corresponde a un sistema generado para este fin entre organizaciones [1][2].   
Es importante mencionar, que no existe un convenio o instrumento legal que formalice la relación de trabajo entre organizaciones de recicladores y Municipio en los CEGAM [1][2][3]. Asimismo, se evidencia un avance en términos de negociación en precios y logística de residuos de papel y cartón, a través de un convenio entre RENAREC y una empresa de reciclaje, en dónde, se beneficiaron las 38 organizaciones de recicladores de base a nivel nacional [1][5].</t>
  </si>
  <si>
    <t>No existe registro ni se ha estudiado la presencia de organizaciones de carácter comercial en el Cantón de San José, donde los recicladores son asociados a indigencia, drogadicción y problemas de salud. A futuro el municipio tiene planes de avanzar en el mapeo de la cadena formal e informal del reciclaje, identificando bodegas de compra, recicladores informales y grupos organizados.(51)</t>
  </si>
  <si>
    <t>Existen 22 organizaciones de recicladores formalizadas ante el poder público y otras 48 que no están registradas, sin embargo ambas tienen permiso para accecder a los materiales reciclables. [1] . La cooperativa más antigua de Brasil se fundó en San Pablo en 1989 con el nombre de Cooperativa dos Catadores de Papel, Aparas e Materiais Reaproveitáveis (Coopamare). Existe también la "Rede Paulista de Comercialização Solidária de Materiais Recicláveis", fudadada en 2013 y otras como la "Rede CataSampa", formada por el "Movimento Nacional de Catadores de Materiais Reciclávei". Cabe señalar que las  cooperativas y asociaciones no tienen por función el garantizar los derechos sociales de los asociados, pero sí de organizar la producción y distribuición de la renta generada por el trabajo colectivo [2].</t>
  </si>
  <si>
    <t>En el marco del Proyecto "Reciclaje Inclusivo Comunal", implementado por Fundación Casa de La Paz y el Movimiento de Recicladores de Chile, se acaba de constituir legalmente la cooperativa "Santiago Recolecta", compuesta por 10 recicladores de las comunas de Recoleta y Santiago, 7 de los cuales forman parte del Programa de Reciclaje Inclusivo Municipal de Santiago. Esta cooperativa se encuentra recién constituida (octubre de 2016) y aún no tiene iniciación de actividades comerciales ante el Servicio de Impuestos Internos (69). No se encontró evidencia de otras organizaciones comerciales de recicladores de base en el Municipio de Santiago.</t>
  </si>
  <si>
    <t>F23</t>
  </si>
  <si>
    <t>Si bien existen organizaciones de recicladores de carácter económico, las mismas no participan en un sistema formal de servicio de recolección diferenciada del municipio, tampoco participan en un sistema formal de transporte del municipio. Las mismas no participan en un esquema formal del acopio/clasificación de residuos y tampoco tienen mecanismos para la negociación de precios con la industria transformadora directamente. [1,2]</t>
  </si>
  <si>
    <t>Existen esquemas de recolección formal por parte de recicladores en multiusuarios y grandes generadores, sin embargo la mayoría llevan a cabo la actividad a través de un sistema informal, de igual forma sucede con el transporte, el acopio y la clasificación [1]. Con respecto a la negociación de los precios si bien negocian directamente con las industrias, los precios dependen estrictamente de la fluctuación del mercado [2][3].
En general, si se evaluara de 1-10 el nivel de participación en la cadena de reciclaje, podría ser cerca de 7 teniendo en cuenta que son quienes poseen el material [2][4].</t>
  </si>
  <si>
    <t xml:space="preserve">No existen organizaciones comerciales de recicladores de base; sin embargo, la actividad individual e informal del reciclador de base representa el primer anillo de las cadenas de valor del reciclaje y de la reutilización. </t>
  </si>
  <si>
    <t>En la cadena de reciclaje en Lima, los recicladores de base no tienen un poder de negociación significativo, pese a que su participación es importante [1]: son quienes se encargan de recuperar los materiales, algunos bajo la participación del esquema de recolección diferenciada en Lima y pocos con acceso a centros de acopio o contacto con industrias para proveer los materiales.  Sin la labor de los recicladores, no habría material para la industria, dependiendo de su potencial de trabajo, consiguen más o menores cantidades. En este sentido, la participación de los recicladores en los eslabones de la cadena de reciclaje es bastante significativa [1][2].</t>
  </si>
  <si>
    <t>Se considera que casi la totalidad de la cadena de valor de reciclaje de los residuos solidos urbanos tenga como primer anillo la actividad informal de los trabajadores de limpia y pepenadores organizados en sus gremios [1]. Los trabajadores de limpia venden los materiales reciclables autónomamente y no a través de su organización sindical; en cambio, los pepenadores, dependiendo del gremio, venden cuotas importantes del material reciclable a través de sus organizaciones.</t>
  </si>
  <si>
    <t>Las cantidades de materiales con que trabajan  las cooperativas es bastante bajo, y no tienen mucha capacidad de negociación. Tampoco participan en ningún esquema municipal.  Aquellos recicladores  que realizan la recolección de forma individual tampoco recuperan mucha cantidad de material y apenas pueden negociarle el precio al intermediario. [1]
Los clasificadores de las plantas de la ley de envases participan en un esquema formal de clasificación de residuos pero no tienen capacidad de negociación pues no participan como organización si no que están en ellas en calidad de contratados. En el futuro  (en  aproximadamente dos años), según el esquema marcado por Ministerio de Desarrollo Social (MIDES) deberían pasar a ser cooperativas y entonces podrán formar  parte de la cadena de valor. [2]
Los clasificadores que están en las cuatro plantas de la ley de envases han perdido el contacto con el resto del sistema de gestión de los residuos, dado que ahora ya no negocian con los intermediarios y están perdiendo capacidad de negociación.  Actualmente no participan en la negociación del precio de los materiales, de hecho los recicladores de calle consiguen mejores precios para los mismos materiales que ellos recuperan. [3] [4]</t>
  </si>
  <si>
    <t>No existe evidencia de que los recicladores de base accedan de manera organizada a la cadena de valor. La mayoría de los entrevistados estima que los recicladores de base acceden de manera individual a bodegas de compra de materiales o intermediarios.(52)(53)</t>
  </si>
  <si>
    <t xml:space="preserve">Las 22 cooperativas vinculadas con el municipio participan en el sistema formal de recolección diferenciada que se ha implementado gradualmente en la ciudad. El municipio, se encarga de brindar a las cooperativas los medios de transporte necesarios para realizar la recolección del material bajo unos acuerdos establecidos por ambas partes (Alcaldía y Cooperativa)  y así mismo, alquila espacios para que estos puedan almacenar y clasificar lo que recolectaron, para así comercializarlos a la industria que se encarga de realizar el procesamiento del material [1].  El manejo de los precios de los materiales en Brasil es regulado por el Índice BVRio de Materiales Reciclables, el cual garantiza un grado de transparencia en la comercialización de los mismos [2]. </t>
  </si>
  <si>
    <t>Los recicladores de base del programa de reciclaje municipal, participan de un sistema formal de recolección diferenciada y tienen acceso a un esquema de acopio y clasificación de residuos reciclables. Sin bien este sistema está en una fase piloto, forma parte de la Política Municipal de Gestión Integral de Residuos. Sin embargo no participan en el programa como una organización, sino como recicladores individuales. No existen mecanismos de negociación de precios entre organizaciones de recicladores y empresa en la Comuna de Santiago.</t>
  </si>
  <si>
    <t>F24</t>
  </si>
  <si>
    <t>Estas organizaciones actualmente no tienen acceso a mecanismos de financiamiento, en su gran mayoría el financiamiento que tienen es a través de las diferentes ONGs con las que trabajan que les permiten acceder a fondos de cooperación internacional o a través de donaciones de individuos. Inclusive en el marco de cooperación internacional existen experiencias previas negativas de 'falta de compromiso de parte del donante' con las ONGs que trabajan con recicladores, lo que ha dañado la percepción del potencial trabajo en el sector [1,2,3]</t>
  </si>
  <si>
    <t xml:space="preserve">En el caso de las cooperativas que trabajan bajo contrato con la ciudad, la financiación de toda la gestión la realiza el Gobierno de la Ciudad, aunque a veces es necesario solicitar que esto suceda por parte de las cooperativas. Existen donaciones aisladas de equipos, en el caso de la Cooperativa El Amanecer de los Cartoneros, la primera prensa que tuvieron la donó una empresa a través de una ONG [1].
Existe un Programa de Ayuda Financiera del Instituto Nacional de Asociativismo y Economía Social (INAES) [2] que otorga préstamos y subsidios. También algunos bancos como el Banco Credicoop [3] y el Banco Nación [4] ofrecen prestamos para cooperativas de tipo Pequeña y Mediana Empresa (PyME), aunque en todos los casos sujetos a evaluación. Las cooperativas hacen uso de estos ya que los costos del sistema de gestión de secos los financia en su totalidad la ciudad.
La empresa Tetra Pak por ejemplo, no hace donaciones, pero apoya a cooperativas, siempre que trabajen con el municipio donde están radicadas, porque son un actor fundamental en la cadena de recolección. Se los apoya con cintas de clasificación, por ej., en comodato, o bien drop offs, o material de comunicación, para consolidar su trabajo [5].
</t>
  </si>
  <si>
    <t>No existen organizaciones comerciales de recicladores de base.</t>
  </si>
  <si>
    <t>En Lima no hay financiamiento a las organizaciones comerciales [1] [2] [3] [4]. Este aspecto es ausente en la Ley y se debe mejorar [2]. Aquellas organizaciones que  cuentan con centros de acopio y vehículos lo lograron a través de capital propio o apoyados por alguna ONG [1] [2]. Ahora se están realizando algunos préstamos con el banco BBVA, con el aval de una ONG, sin embargo no es algo significativo para el sector [2].</t>
  </si>
  <si>
    <t xml:space="preserve">No existen financiamientos públicos o de ONG que faciliten el trabajo de comercialización operado por los gremios de los pepenadores [1], se desconoce el nivel de apoyo proporcionado por bancos privados. En el caso de los trabajadores de limpia la comercialización de los reciclables funciona por iniciativa individual y afuera de cualquier facilitación operada por actores externos [2]. </t>
  </si>
  <si>
    <t xml:space="preserve">No existen fuentes de financiamiento para las cooperativas. Desde el Ministerio de Desarrollo Social (MIDES) se están buscando fórmulas para poder otorgar créditos a cooperativas y se está estudiando un formato.[1] 
Ha habido algún acercamiento a esta posibilidad por parte de la Intendencia de Montevideo que ha apoyado la consecución de créditos de algún transportista de residuos que da servicio a grandes productores y que ha pasado por procesos de formalización. Pero ha sido  una acción puntual. [2]
</t>
  </si>
  <si>
    <t>Dado el nivel de informalidad y baja organización comercial de los recicladores de base, no existe evidencia de acceso a crédito por parte de estos. (54)</t>
  </si>
  <si>
    <t xml:space="preserve">Las cooperativas de reciclaje organizadas pueden tener acceso a micro créditos bancarios a través de la Red Paulista, por ejemplo, pero hay una burocratización del proceso de adquisición de crédito que limita el acceso de las cooperativas a dicha línea de crédito [1], ya que en ocasiones un requisito para acceder a la línea de microcrédito es contar con apoyo  para suscribir proyectos de captación de recursos [2].
</t>
  </si>
  <si>
    <t>Las organizaciones de recicladores, desde el año 2008 aproximadamente, han accedido a créditos a través de la banca pública (Banco Estado) (72), sin embargo no ha habido desde entonces evidencia de  que este nicho de crédito haya crecido significativamente. La única organización comercial en la que participan recicladores de base de la comuna de Santiago, es la cooperativa "Santiago Recolecta", recientemente constituida (octubre 2016) en el marco del proyecto  "Reciclaje Inclusivo Comunal", implementado por Fundación Casa de La Paz y el Movimiento de Recicladores de Chile. Esta cooperativa aún no tiene iniciación de actividades comerciales, por lo que no se ha planteado la posibilidad de acceder a crédito.</t>
  </si>
  <si>
    <t>F25</t>
  </si>
  <si>
    <t>En Asunción, el acceso al material reciclable es mayormente de carácter informal, ya sea a través de la recolección del mismo en las calles, trabajo realizado por los llamados carriteros (por los carros en los cuales recogen la basura) o en el vertedero, trabajo realizado por los gancheros (por el gancho que utilizan). [1,2,3,4]</t>
  </si>
  <si>
    <t xml:space="preserve">Existen 12 cooperativas de recuperadores que se encuentran contratadas para prestar el servicio de recolección de residuos secos generados por la ciudad. El sistema según el pliego [1] comprende la recolección puerta a puerta de la fracción seca de residuos domiciliarios en zonas asignadas y la recolección de la fracción seca de generadores especiales [2]. 
Existen dos modalidades de trabajo en los centros verdes, trabajadores que recolectan en vía pública y luego venden los materiales recolectados diariamente de manera autónoma ya sea en la Ciudad de Buenos Aires o en municipios del área metropolitana y trabajadores que realizan la recolección de los residuos secos de los contenedores verdes recorriendo menor cantidad de cuadras, que acopian y comercializan sus materiales de manera asociada directamente a empresas recicladoras (en función de su productividad diaria)[2].
</t>
  </si>
  <si>
    <t xml:space="preserve">El acceso del material reciclable/reutilizable es informal en la fase de recolección: de hecho, los recicladores de base que operan en las calles lo hacen afuera de cualquier autorización o marco formal, aunque su actividad sea tolerada por los ciudadanos y por la autoridad municipal [1,2,3]. En el caso de la Estación de Transferencia, el proceso ya es operativamente incorporado por el sistema formal aunque su esquema de autoempleo sigue siendo básicamente informal [3,4].  Aunque la actividad de los recicladores de base no sea prohibida por las instituciones públicas, existe un punto de controversia porque la compañía Belize Waste Control (BWC) declara ser dueña de todos los residuos reciclables (el contrato que tiene con el Ciudad de Belice Council le otorga exclusividad sobre la recolección de los residuos domésticos y comerciales). </t>
  </si>
  <si>
    <t xml:space="preserve">Existe la recolección informal y la recolección formal. En la recolección informal los recicladores rompen las bolsas ubicadas en las vías públicas, extraen los materiales que pueden comercializar y ocupan sus viviendas y las vías públicas para separar o acondicionar los residuos recolectados [1].
Los recicladores que estan formalizados  tienen asignados puntos para recolectar, como domicilios y empresas privadas. Los recicladores informales que no están organizados  se encuentran en los puntos críticos como calles, avenidas, esquinas de calles, botaderos [2]. </t>
  </si>
  <si>
    <t>Cerca del 90% del total del material recuperado es recolectado por los trabajadores de limpia. Entre ellos, los barrenderos suelen recoger los residuos reciclables (juntos a los demás residuos) directamente en la viviendas y en base a acuerdos espontáneos e informales con los vecinos; los barrenderos separan y venden autónomamente algunos materiales reciclables compatiblemente a los tiempos disponibles, a la capacidad de sus tambos y a su capacidad de transporte (que es a tracción manual). Los macheteros de los camiones de limpia reciben los residuos directamente por los vecinos en la vía pública o por los barrenderos, y separan materiales reciclables que luego venden autónomamente gracias a desviaciones de la ruta que hace el  camión cuando termina el día de trabajo. El trabajo de recolección, separación y venta es totalmente informal y no es parte de su contrato con el Gobierno de la CDMX [1,3,4]. Los pepenadores reciben los residuos directamente en las plantas de selección, gracias a transportes desde algunas estaciones de transferencia (las infraestructuras que reciben los residuos de los camiones de limpia) o directamente desde los camiones de limpia (las plantas de selección desempeñan también la función de estación de transferencia en las demarcaciones donde son ubicadas); el residuo reciclable recibido por las plantas de selección es separado por los pepenadores, lo que avanza (que es cerca del 90% del total recibido) es desechado y enviado a disposición final o a cementeras [2,3, 4].</t>
  </si>
  <si>
    <t>El acceso al material reciclable depende de la zona de la ciudad. Hay varias áreas de la ciudad en la que ya se han implantado contenedores de recolección selectiva (en todo el municipio B por ejemplo) y a las que los recicladores individuales no pueden acceder a los residuos. Y donde tienen acceso, de momento, son zonas donde se generan menos residuos. Con la obligación de los grandes generadores (comercios) de disponer de planes de gestión de residuos o la ley de envases les cortaron el acceso a los residuos. [1]
Los recicladores de base cada vez tienen menos acceso a los materiales: ahora ya no pueden reciclar materiales de los comercios y otros grandes productores. El desarrollo normativo está llevando a que la informalidad quede reducida, deben formalizarse para poder acceder a los materiales. [2]</t>
  </si>
  <si>
    <t>El acceso al material reciclable por parte de la mayoría de recicladores organizados y no organizados en Quito es informal, es decir en las calles [1][2][3][5][6].                                                                                                                                                                     
La ordenanza 332 especifica en su Art.54 que los recicladores de base que recuperen y le den algún tipo de tratamiento a los residuos reciclables (transporte, clasificación, acopio, etc.), son dueños de ese material y pueden comercializarlo de acuerdo a la normativa vigente; por lo que no existe prohibición por parte del municipio para la actividad de los recicladores, sin embargo, no se cuenta con mecanismos que garanticen el acceso seguro al material por parte de recicladores [4]. 
Es importante mencionar que el municipio mantiene proyectos de recolección diferenciada con algunos recicladores de base organizados o no organizados, los mismos que incluyen a 111 recicladores dentro de la ciudad [5][7].</t>
  </si>
  <si>
    <t>El acceso a materiales reciclables por parte de los recicladores de base en el Cantón de San José, es informal, y se desarrolla sin mayor control en las zonas de mayor generación de residuos, principalmente cartón. Las zonas donde el material reciclable viene con mayores grados de separación, son comerciales, principalmente en el centro de la ciudad. También hay registro de su presencia en zonas domiciliarias donde buscan en la basura mezclada los materiales reciclables.
Los recicladores de base no acceden a los sistema de separación en origen y recolección selectiva impulsados por el programa de reciclaje municipal.(55)</t>
  </si>
  <si>
    <t xml:space="preserve">El acceso a los materiales por parte de los recicladores con organizaciones registradas en el poder público (22 organizaciones) se realiza a través de contratos para la recolección selectiva de los materiales reciclables. La recolección se realiza puerta a puerta en vehículos motorizados. También, existen puntos de entrega voluntaria en las que los usuarios llevan y depositan sus materiales reciclables y posteriormente son recolectados por organizaciones de recicladores [1]. 
Otras organizaciones no registradas tienen convenios directos con grandes generadores a quienes le recolectan el material, cuando las 22 organizaciones no tienen capacidad para la recolección de los residuos; el municipio se apoya en las mismas [1].
Los recicladores que no se encuentran organizados trabajan dispersos en distintas zonas extrayendo los materiales con valor de las basuras dispuestas en las vías públicas [1].
Por otra parte, las cooperativas también reciben donación de residuos de parte de algunas industrias con las que tienen convenio[2].  </t>
  </si>
  <si>
    <t xml:space="preserve">Los recicladores de Santa Cruz consiguen los materiales informalmente, en la calle. Salen a hacer sus rutas de noche hurgando en los contenedores o en las puertas de las casas en los que los vecinos han dejado sus bolsas para que sean recogidas por el sistema de aseo urbano municipal. A medida que se va estableciendo la recolección diferenciada por los distritos de la ciudad, los recolectores acuden a los contenedores colocados especialmente para la colocación de las bolsas con materiales separados en fuente y los recogen antes de que pase el camión de la municipalidad [1] [2].
Los recicladores alegan que esta recolección la realizan camiones de la empresa de aseo con personal contratado que antes eran recicladores informales. Como tienen contactos o incluso infraestructura todavía en lugar de descargar el contenido en la planta de selección de Normandía, venden el material por el camino o se lo quedan ellos para obtener un sobresueldo.
Sin embargo también hay una parte del material que es obtenido en la planta de selección de Normandía. La planta es operada por los recicladores y al acceso al material está garantizado por los camiones de la empresa de aseo urbano (no por la municipalidad). [3] </t>
  </si>
  <si>
    <t>Para los 7 recicladores participantes del programa de reciclaje municipal, el acceso al material reciclable es desde la fuente, desde puntos de reciclaje  municipales  emplazados en los barrios que participan del programa y desde ciertos generadores especiales que participan del programa municipal, como el Palacio de Gobierno. El resto de reciclaje llevado a cabo por recicladores de base en la Comuna de  Santiago, es informal y se lleva a cabo desde la vía pública, especialmente en los sectores comercial y de oficinas. No existen vertederos en la Comuna de Santiago.</t>
  </si>
  <si>
    <t>F26</t>
  </si>
  <si>
    <t>En Asunción no existe esquema de recolección diferenciada de residuos reciclables. [1,2]</t>
  </si>
  <si>
    <t>Existen en la Ciudad de Buenos Aires esquemas de recolección diferenciada de residuos y los mismos involucran a los recuperadores a través de contratos con 12 cooperativa [1]. Las cooperativas ganaron el Concurso Público [2] que se encuentra vigente. El sistema según el pliego comprende la recolección puerta a puerta de la fracción seca de residuos domiciliarios en zonas asignadas, la fracción seca de los generadores especiales [3] y llevar cabo tareas de promoción de su actividad con los vecinos.
Existe también un sistema de contenerización (campanas verdes y contenedores verdes) que se implementó para que los vecinos puedan tener otra opción para disponer los residuos secos y transportados a los centros verdes donde trabajan los recuperadores [4]. Esta superposición de opciones para la disposición inicial de residuos es un poco confuso para los vecinos, ya que el tamaño de la boca de ingreso del contenedor verde de reciclables es demasiado chico y desalienta al vecino a disponer allí sus residuos [5].
El sistema ideal para el trabajo de las cooperativas es mantener la relación recuperador - encargado de edificio ya que funciona bien en zonas muy densamente pobladas (con edificios) y en las zonas con menor densidad (barrios de casas bajas) donde no hay encargados de edificios comunicar claramente las opciones, disponer en contenedores, en puntos verdes (plazas, etc.) o contactar al recuperador que pasa por el barrio [6].</t>
  </si>
  <si>
    <t>No existen esquemas formales de recolección diferenciada de residuos reciclables en el municipio que involucran a recicladores de base [1].</t>
  </si>
  <si>
    <t>Una de las funciones de la municipalidad distrital es integrar en el servicio de limpieza la recolección selectiva de los residuos sólidos separados en la fuente y organizaciones de recicladores de base que se encuentren legalmente autorizadas [1]. Existe un esquema formal que se encuentra en proceso de involucrar a los recicladores de base dentro de la recolección diferenciada de residuos reciclables[2].
En este esquema, los usuarios deben entregar los residuos separados (aunque lo hacen de manera deficiente), la municipalidad otorga recipientes para que depositen allí los materiales reciclables. Sin embargo, debido a que no hay una adecuada vigilancia, los usuarios le dan otro fin a los recipientes entregados y disponen el material en otro recipiente distinto. Además, esto hace parte del Programa de mejoramiento de los municipios [3].</t>
  </si>
  <si>
    <t>La posibilidad de separar a la fuente residuos orgánicos e inorgánicos es brindada a todos los usuarios de la Ciudad de México; de hecho, desde el inicio del programa "Vamos a Separar" el personal de los camiones tiene la obligación de recibir las dos fracciones separadas si el usuario las entrega de esta forma. Sin embargo, de las  5.500 toneladas de residuos orgánicos diarios (43% del total de residuos  diarios, o sea 12.800 toneladas diarias) [1] solo 1.487 toneladas [2] son entregadas de forma separada en las estaciones de transferencia (o sea solo  12% del total de residuos y el 27% del orgánico existente). Del orgánico enviado a las plantas de composta, los datos presentan una "perdida de proceso" del 61% [2], es decir muy superior al desempeño de una normal planta de composta (donde las perdidas son entre el 30% y el 40%). Algunos autores aseguran que el verdadero nivel de separación a la fuente es muy bajo y que en la mayoría de los casos el residuo entregado de forma mezclada por los usuarios es separado manualmente por los trabajadores de limpia que son obligados a entregar las fracciones separadas en las estaciones de transferencia; el fracaso del programa de separación a la fuente debido a que la coordinación del programa no concibió una reestructuración del esquema regular de recolección de residuos y se pretendió únicamente que con campañas informativas a los usuarios y el establecimiento de "incentivos" a los recolectores voluntarios y no voluntarios de entregar los residuos separados se lograría conseguir los residuos separados [3]. Sin embargo, no existen todavía esquemas formales para la recolección diferenciada del residuo seco reciclable.</t>
  </si>
  <si>
    <t>En el municipio B existe recolección diferenciada, pero no así en el resto de la ciudad. El recolector de los contenedores es la empresa privada CAP. Los recicladores no pueden acceder a ellos.  [1] [2]
La Intendencia no quiere que los recicladores informales accedan a los residuos separados en fuente. [3] En el Digesto Departamental D1.899 se prohíbe extraer de los contenedores destinados a los residuos ningún material que se encuentre dentro de ellos. [4]</t>
  </si>
  <si>
    <t>No existe recolección diferenciada en toda la ciudad de Quito. La Ordenanza 332 compromete al Municipio a crear un plan de sectorización de los gestores ambientales calificados para garantizar su correcta distribución en el Distrito Metropolitano de Quito (Art.86) y a  implementar opciones de acopio, recolección y transporte en los lugares en los que el Municipio no pueda brindar el servicio de recolección diferenciada (Art.18). Además obliga al generador a separar sus residuos en la fuente (Art. 17) sea cual sea el tipo de recolección en su zona [1].                    
Se evidencia por parte del municipio la implementación de proyectos de recolección a pie de vereda con recicladores, sirviendo así a 19 barrios de la ciudad que representan 227,000 personas beneficiadas. Sin embargo, los recicladores de base que participan en estos proyectos recuperan tan sólo el 12% del material potencialmente reciclable [2].</t>
  </si>
  <si>
    <t>Los programas de separación en origen y recolección diferenciada impulsados por el municipio, no consideran la participación de los recicladores. Estos son llevados a cabo por el mismo municipio o por organizaciones de carácter comunitario que en ocasiones prestan el servicios de recolección diferenciada de reciclables apoyadas por el sistema de reciclaje municipal. (56)</t>
  </si>
  <si>
    <t xml:space="preserve">La Municipalidad de Santiago presta el servicio de recolección diferenciada de reciclables en instituciones públicas, empresas, universidades, barrios comerciales, tiendas, ferias y eventos. Para esto dispone de equipamiento básico para la separación en origen (puntos limpios, contenedores), un camión, un grupo de recicladores inscritos y rutas de recolección. El material reciclable recolectado se lleva al Punto de Reciclaje y Acopio Transitorio del municipio, ubicado en Parque Quinta Normal. Ahí se prepara para la venta a la empresa recuperadora (72).                                                 
Paralelamente existen otros sistemas impulsados por el municipio, de recolección diferenciada en la fuente, que no operan con participación de recicladores de base como el Programa Recicla Fácil (73), campañas de beneficencia y puntos limpios privados.  </t>
  </si>
  <si>
    <t>F27</t>
  </si>
  <si>
    <t>En su gran mayoría, los recicladores no tienen acceso a instalaciones para el almacenamiento y la clasificación de materiales. Algunos de ellos los venden directamente al intermediario al final del día, otros acumulan los materiales en sus viviendas a manera de protección contra el robo/hurto, con todas las consecuencias de salubridad que ello implica. Ciertas asociaciones mas organizadas y con mayor experiencia como Recicla de CAMSAT si tienen espacio de acopio. [1,2,3]</t>
  </si>
  <si>
    <t xml:space="preserve">Las cooperativas realizan las tareas en Centros Verdes [1], estos son espacios de trabajo comunitario donde se realiza la selección y recuperación de materiales reciclables, se acopian y enfardan los materiales, lo cual permite negociar mejores precios de venta.  Actualmente, en la Ciudad de Buenos Aires funcionan 8 Centros Verdes gestionados por 12 cooperativas de recicladores urbanos. A estos establecimientos llega todo el material recolectado por los recicladores y por los camiones que recogen los contenidos de los contenedores verdes que están dentro del circuito de RSU monitoreado por el Gobierno de la Ciudad de Buenos Aires.
Existen dos modalidades de trabajo en los centros verdes: a) trabajadores que recolectan en vía pública y luego venden los materiales recolectados diariamente de manera autónoma ya sea en la Ciudad de Buenos Aires o en municipios del área metropolitana y b) trabajadores que realizan la recolección de los residuos secos de los contenedores verdes recorriendo menor cantidad de cuadras, que acopian y comercializan sus materiales de manera asociada directamente a empresas recicladoras (en función de su productividad diaria)[2].
También se recolectan los residuos secos de grandes generadores (generadores especiales) [3], quienes están obligados a realizar la separación en origen.
</t>
  </si>
  <si>
    <t>La gran mayoría de los recicladores de base, los que operan en las calles, no disponen de instalaciones para almacenaje y clasificación [1,3,4]. Sin embargo, los 25-30 recicladores de base que operan en la Estación de Transferencia, tienen acceso a instalaciones donde almacenan y clasifican los residuos recuperables [2,4,5,6,7].</t>
  </si>
  <si>
    <t xml:space="preserve">Los recicladores no tienen acceso a instalaciones para el almacenamiento y la clasificación de materiales: hay ausencia de centros de acopio en Lima. Los recicladores informales realizan la clasificación y almacenamiento en el mismo punto donde obtienen el material y lo almacenan en su casa o en otro sitio que arriendan. Son escasas las organizaciones de recicladores formales que cuentan con el capital económico para tener su propio centro de almacenamiento.  [1]
</t>
  </si>
  <si>
    <t>Los recicladores de base que son parte del servicio de limpia realizan la separación en la vía pública y en los camiones, guardando los materiales recuperables en bolsas y costales que durante las rutas quedan colgados a los carritos de los barrenderos o a los camiones; a veces el material así transportado es almacenado temporalmente en espacios ocupados informalmente al interior de los centros de trabajo y/o en proximidad de las estaciones de transferencia; en otros casos, es transportado directamente a las bodegas de los intermediarios. Los recicladores de base llamados "pepenadores" reciben residuos procedentes de las estaciones de transferencia y cuentan con sus espacios de almacenamiento en las plantas de selección donde operan (que son espacios techados dotados, en algunos casos, con bandas transportadoras o mesas) [1] [2] [3] [4] [5] [6]</t>
  </si>
  <si>
    <t>Los recicladores tienen acceso a instalaciones para el almacenamiento y la clasificación de materiales. Sin embargo, hay que distinguir cuatro clases de clasificadores/recicladores en Montevideo:
1- Los que están trabajando dentro de las plantas de clasificación de la ley de envases. Estos disponen de lugares para la clasificación de los residuos y de espacio a cubierto para poder almacenar los fardos generados tras la compactación.[1]
2- Cooperativas que trabajan prestando servicios a empresas como por ejemplo centros comerciales, o a Conaprole (la empresa láctea estatal) donde el cliente le suministra un espacio dentro de sus instalaciones para la clasificación y almacenaje de los materiales. En estos casos normalmente el espacio es pequeño y deben vender a menudo,  o bien las cooperativas disponen de centros de acopio propios.[2] [3]
3- Personas individuales recuperan residuos en la calle y los llevan a su casa para la clasificación y almacenaje.[2] [3]
4- Recicladores individuales que trabajan en el vertedero de Montevideo (de nombre Felipe Cardoso) que almacenan allí mismo, a la intemperie, los materiales recuperados [2]</t>
  </si>
  <si>
    <t xml:space="preserve">La gran mayoría de recicladores de base de Quito almacenan, acopian y comercializan los residuos reciclables en espacios precarios usualmente dentro de las instalaciones de sus hogares. Pocas organizaciones logran arrendar predios para el almacenamiento de material, sin embargo, son precarios en términos de eficiencia técnica y seguridad laboral  [1] [4]. Las organizaciones de recicladores de base que trabajan coordinadamente con el municipio sí tienen acceso a infraestructura para almacenamiento y clasificación de materiales reciclables, son los CEGAM y hay 4 en toda la ciudad. Sin embargo, estas infraestructuras requieren mejoras para cumplir con los parámetros mínimos relacionados a eficiencia de procesos y seguridad laboral [1][5]. Los CEGAM trabajan con 4 organizaciones de recicladores que agrupan a 80 miembros en total [2][3]. La gran mayoría de recicladores organizados y no organizados que trabajan en Quito, no participan de estos procesos y deben financiar sus propios centros de acopio o entregar el material directamente a los intermediarios en las calles [4].
</t>
  </si>
  <si>
    <t>Los recicladores de base del cantón de San José realizan mayoritariamente su trabajo de acopio transitorio, separación y venta en la vía publica, generando un fuerte impacto en la estética urbana, especialmente en las zonas comerciales del centro de la ciudad. 
No existe registro de instalaciones para el almacenamiento y clasificación de los residuos reciclables por parte de los recicladores de base. (57)</t>
  </si>
  <si>
    <t>Los recicladores tienen acceso a instalaciones para el almacenamiento y la clasificación de materiales. Los materiales recolectados por las cooperativas son transportados a centros de reciclaje, los cuales a su vez son manejados por 22 cooperativas de recicladores registradas en La Autoridad Municipal de Limpieza Urbana (AmIurb). Cuando las cooperativas no dan abasto para todo el material, se cuenta con la colaboración de otras 48 cooperativas que no se encuentran registradas [1]. Aquellas cooperativas que tienen convenio con la municipalidad, cuentan con espacios alquilados por la municipalidad, adecuados y señalizados, para almacenar y clasificar el material que recuperan.  Mientras que aquellas que son independientes, realizan sus procesos de clasificación en espacios públicos como debajo de los puentes, donde también almacenan el material [2]. Adicionalmente, el PGIRS pretende destinar áreas nuevas para centros de reciclaje de residuos reciclables manejadas por cooperativas de recicladores para la prestación del servicio público [1].</t>
  </si>
  <si>
    <t>El acceso de los recicladores a instalaciones de almacenamiento se da a través del alquiler de espacios en la ciudad, no vía una potencial colaboración de la municipalidad mediante la cesión de esos espacios. El problema con estos lugares es que no están en zonas que permitan su funcionamiento como almacenes, hay quejas de los vecinos y el cierre de algunos centros de acopio al no disponer de los permisos necesarios para funcionar como tal a partir de lo indicado en la Ley 1333 del Medio Ambiente donde se indica qué procedimientos se deben seguir para la adecuación y legalización de los centros de gestión de residuos. [1]
No es fácil cumplir con la legislación, pues:
1- Los propietarios de los predios no les hacen factura por el alquiler
2- Los requisitos legales para la legalización son largos y costosos
3- Deben cumplir el Código de Urbanismo Urbano (CUO) que indica la ubicación de los espacios dedicados a actividad industrial y de equipamientos, que son los que permitirían la ubicación de los centros de acopio. [2]
En la planta de clasificación de Normandía sí hay espacio para el almacenamiento de los materiales seleccionados.</t>
  </si>
  <si>
    <t>Los recicladores participantes del programa de reciclaje municipal, cuentan con una pequeña infraestructura de acopio llamado Punto de Reciclaje y Acopio Transitorio, ubicado en el Centro Educativo Ambiental del Parque Quinta Normal. Esta es usada para el acopio transitorio y preparación de los residuos para su posterior venta. Se compone de un contenedor (de aproximadamente 36 m3 de capacidad) y bolsas de gran tamaño para acopio y transporte de materiales reciclables (llamadas 'Maxisacas'). Actualmente este equipamiento es utilizado por una sola recicladora del programa. El resto de los recicladores acopia mayormente en sus viviendas. El Punto de Reciclaje y Acopio Transitorio no cuenta con servicios básicos (agua, energía), aunque sí se accede a agua y servicios básicos para uso personal en las instalaciones del parque en el que se encuentra emplazado.</t>
  </si>
  <si>
    <t>F28</t>
  </si>
  <si>
    <t>El grado de “tecnificación” en la clasificación de material reciclable es bajo y la mayoría de los procesos son llevados a cabo de forma manual. Muy pocas organizaciones tienen acceso a un camión (que ayude en la recolección y venta) o prensa (para compactado). Por ejemplo, Recicla tiene camión y prensa. Pero es difícil saber con exactitud  para cada organización por el tema de las inundaciones, debilidad de las organizaciones y otros desafíos.[1,2]</t>
  </si>
  <si>
    <t xml:space="preserve">Se ha alcanzado un nivel alto en el pre-procesamiento de materiales, pero no en todos los centros ha sido de manera similar. Existen centros verdes con cintas de clasificación y prensas continuas por ejemplo y otros que no cuentan con equipos para clasificar y enfardar [1].
El caso de los centros verdes manejados por la Cooperativa El Amanecer de los Cartoneros, es un ejemplo de esto, el Centro Verde Barracas solo tiene una prensa pequeña y allí es donde se congregan los recuperadores que trabajan de manera autónoma y venden sus materiales diariamente (aprox. 2000 personas). El Centro Verde Parque Patricios en cambio cuenta con cinta de clasificación, pesaje y enfardadoras continuas, aunque por el espacio han llegado al límite de la capacidad de trabajo en 3 turnos. También esta cooperativa cuenta con tres líneas de microemprendimientos de fabricación de objetos con materiales reciclables, juguetes de cartón, vasos con botellas de vidrio, planchas de plástico trabajadas con calor para tapas de cuaderno o parecidos a textiles que se pueden coser, que se comercializan en ferias [2].
</t>
  </si>
  <si>
    <t>La gran mayoría de los recicladores de base, los que operan en las calles, no tiene ningún nivel de desarrollo técnico en su actividad [1,3,4]. Sin embargo, los 25-30 recicladores de base que operan en la Estación de Transferencia disponen de compactadoras, de agua para lavar los materiales y de básculas individuales.</t>
  </si>
  <si>
    <t>El nivel de tecnificación es bajo y por parte de las organizaciones de recicladores no se agrega valor, fuera de la recuperación [1][2][3]. Por ejemplo, se ha identificado que para mejorar el almacenamiento y la venta a la industria se requiere de una picadora: sin embargo sólo el 10% de los centros de acopio cuentan con una. Estos procesos finalmente terminan siendo llevados a cabo por intermediarios [1][2]. De igual forma,  la recolección se hace manualmente, en triciclo y en pocas ocasiones con camión [1]. Con respecto a la separación, ésta es totalmente manual, sólo en un centro de acopio en Santiago de Surco se cuenta con una banda transportadora [1].</t>
  </si>
  <si>
    <t>En el caso de los trabajadores de limpia, que recolectan el 90% de los materiales reciclables recuperados en la Ciudad, no existen actividades de pre-procesamiento; el material es recolectado manualmente y entregado a los pequeños centros de acopio ubicados en las colonias; los trabajadores no cuentan con equipamientos específicos para la mejoría de las condiciones operativas, higiénico-sanitarias o de protección personal [1, 2]. Los pepenadores, en cambio, cuentan con espacios denominados plantas de selección; las plantas cuentan con cierto grado de automación: se utilizan bandas neumáticas para la selección, hay cargadores frontales, líneas de compactación, maquinarias para moler, compactar y embolsar. Sin embargo, el nivel de automación y utilizo de las maquinarias puede variar mucho dependiendo de la fracción de residuos y de la organización de pepenadores, las cuales consisten en áreas de procesamiento donde se realiza la clasificación del material también gracias a bandas . De todas formas, se consideran insuficientes los equipamientos para higiene y protección personal. [1]</t>
  </si>
  <si>
    <t>Los procesos son de baja tecnificación: no se usa maquinaria y se realiza toda la clasificación de forma manual. Se parte de un material que está todo mezclado y no hay una preclasificación suficientemente desarrollada como para que puedan hacer una clasificación fina. [1] [2]
En las plantas de clasificación disponen de cintas transportadoras y de compactadoras del material, pero esas plantas son de propiedad municipal, no de los clasificadores que son empleados. No se han implicado en la consecución de la maquinaria, se la dieron y la usan. Pero no la usan correctamente, las cintas no están en uso, de hecho se usan como mesas de selección, no como cintas. No hay en Uruguay mucho conocimiento sobre el funcionamiento de plantas de clasificación, es necesario aplicar conocimiento a su funcionamiento. [3] [4]</t>
  </si>
  <si>
    <t>El nivel de desarrollo técnico de la clasificación y pre-procesamiento, observado en el sector de los recicladores de base del Cantón de San José, es precario y se desarrolla principalmente en la vía pública. No existe evidencia de tecnificación en los procesos, y no sería factible dada la ausencia de infraestructura para este tipo de procesos. (58)</t>
  </si>
  <si>
    <t xml:space="preserve">Para el caso de los recicladores informales en Sao Paulo, el nivel de tecnificación para la recolección de los materiales es bajo, ya que ellos acceden al material y lo clasifican manualmente [1]. Por su parte, las  cooperativas no cuentan con medios tecnificados, pues también es de tipo manual y solo se limita a la recolección y clasificación de los materiales , sin realizar procesos de transformación de los mismos [2]. Sin embargo, también existen intermediarios informales que cuentan con maquinaria precaria para el embalaje y picado [3]. 
Los únicos establecimientos que cuentan con un alto nivel técnico para la clasificación y procesamiento de materiales, son las 2 centrales mecanizadas de Sao Paulo, donde 62 recicladores de la cooperativa Coopercaps, trabajan como operarios. Estas centrales, inauguradas en 2014, tienen una capacidad de procesamiento de hasta 800 toneladas de residuos diariamente; el proceso de clasificación de residuos inicia con el desgarre de bolsas para obtener el material el cual es llevado a un "trommel" el cual separa por tamaño los residuos. Durante el procesamiento, la central tiene la capacidad para separar 13 tipos de materiales de residuos. Por ejemplo,  cuenta con un proceso de magnetismo y electricidad, que permite separar aquellos materiales metálicos de los demás materiales. Además, cuenta con lectores ópticos para separar los materiales por tipo y color, lo que permite una mayor ganancia en la venta de material procesado. Al final del proceso, hay una etapa de separación manual donde los recicladores realizan la clasificación final del material. El producto final es compactado y almacenado para su posterior comercialización. Estas centrales mecanizadas posicionan a Sao Paulo como una ciudad pionera en reciclaje en Latinoamérica [4].  
</t>
  </si>
  <si>
    <t xml:space="preserve">Las asociaciones de recicladores no realizan ningún proceso de transformación o procesamiento de los materiales recuperados en sus operaciones en la calle. Disponen de una cinta de selección en la planta de Normandía. Sí lo hace Arericruz, pero compactar los materiales acopiados es el único proceso industrial aplicado. [1]
</t>
  </si>
  <si>
    <t xml:space="preserve">El programa de reciclaje municipal, no cuenta con maquinarias para tecnificar el proceso de pre-procesamiento. Los procesos de clasificación, limpieza, compactación y enfardado se realizan manualmente (75).  </t>
  </si>
  <si>
    <t>F29</t>
  </si>
  <si>
    <t xml:space="preserve">Precios a recicladores [1,2]
Aluminio: Gs.3.000 guaraníes el kilo (US$0.53 el kilo)
Las botellas de plástico: Gs1.300 guaraníes el kilo  (US$0.23 el kilo)
Papel - Gs.1.000 el kilo  (US$0.17 el kilo)
Hul: Gs 500 el kilo  (US$0.09 el kilo)
Cartón: Gs350 el kilo  (US$0.06 el kilo)
Precio de pre-procesamiento [3]
PET: Gs800-1000 el kilo  (US$0.14-US$0.18 el kilo)
PEHD: Gs3600 el kilo  (US$0.64 el kilo)
Cobre, bronce: Gs.15.000-18.000 el kilo  (US$2.69-3.22 el kilo)
Chatarra de hierro: Gs350 el kilo  (US$0.06 el kilo)
Papel: Gs1500 el kilo  (US$0.26 el kilo)
Cartón: Gs550 el kilo  (US$0.09 el kilo)
</t>
  </si>
  <si>
    <t xml:space="preserve">Existen dos modalidades de comercialización por parte de los recuperadores:
- clasificación diaria y venta a intermediarios (acopiadores) de la Ciudad de Buenos Aires o de municipios cercanos.
- clasificación, enfardado, acopio y venta a empresas recicladoras directamente.  
Los recuperadores negocian de manera autónoma el precio de los materiales, ya sea recuperador - intermediario o  cooperativa - intermediario/empresa. 
El material que mayor ingreso le genera a los recuperadores son el papel, cartón y PET. 
Según datos de la cooperativa el Amanecer de los Cartoneros, existen socios que venden los materiales de manera autónoma diariamente a intermediarios y socios que comercializan los materiales de manera conjunta directamente a recicladores, los ratios (actuales) son los siguientes: papel blanco 1,28, cartón 1,4, PET cristal 2,2, aluminio 1,28, soplado (PEAD) 5,5 [1]. 
El circuito del reciclado entonces puede tener más de un intermediario como en el caso del papel y cartón [2], plásticos [3], metales [4] o tetrabrick [5].
A nivel nacional el Observatorio Nacional para la Gestión de Residuos Sólidos Urbanos [7] que depende del Ministerio de Ambiente de la Nación, realiza trimestralmente un relevamiento de precios de venta de materiales por parte de cooperativas o plantas de clasificación municipales en distintos lugares del país y compara los precios con los precios de compra de empresas recicladoras que releva el sitio web Conexión Reciclado proyecto de la Fundación Hábitat y Desarrollo [8]. Los ratios para algunos materiales según estos relevamientos para mayo de 2016 en el Área Metropolitana son papel blanco 1,47, PET cristal 1,47, aluminio 4,2, tetrabrick 2,6 y nylon 1,12.
</t>
  </si>
  <si>
    <t>En base a las obligaciones del Returnable Containers Act los productores, distribuidores e importadores de envases para bebidas carbonatadas, cervezas y licores están obligados a comprar sus envases vacíos aplicando los precios fijos establecidos por la ley: 5 centavos de Belice Dólar para los envases en plástico con capacidad hasta el medio litro; 10 centavos de Belice Dólar para los envases de plástico con capacidad superior a medio litro; 15 centavos de Belice Dólar para todos los envases de vidrio, metal, acero o aluminio incluyendo a las latas de cerveza [1]. Sin embargo, el mayor comprador (la empresa Bowen &amp; Bowen, que es el productor de Belikin Beer, el dueño de agua Kristal y el embotellador y distribuidor de los productos de Coca Cola Company) ofrece precios superiores para las botellas de vidrio con el fin de favorecer la constancia de su flujo en ingreso de retornables. Cabe decir que no todas las empresas cumplen con las obligaciones de compra impuestas por la ley (por ejemplo, parece que lo importadores no logren cumplir). Bajo el esquema de la ley, las empresas productoras, distribuidoras o importadoras de los envases garantizan al primer anillo compra total y precio fijo de las fracciones que les corresponden y sin importar cual sea el precio de mercado que tengan que sostener para reinsertarlas en las cadenas de valor; en el caso del vidrio, las botellas son reutilizadas directamente en las embotelladoras; en el caso del plástico la necesidad de exportar hace más crítica la sostenibilidad económica del mecanismo: por ejemplo, Bowen &amp; Bowen declara que en la fase actual, donde el precio internacional del PET para reciclar es muy bajo, su precio de venta de esta fracción es inferior al precio al cual compra por los recicladores de base; aún cuando el precio del PET es más favorable, Bowen &amp; Bowen no considera conveniente su actividad de compra y venta; lo compra solo porque es obligado a hacerlo [2] . No siempre los recicladores de base acceden directamente a las estaciones de compra formales: los recicladores de base de la Estación de Transferencia y los que viven en los barrios más alejados de la ciudad, a menudo acuden a micro-intermediarios informales que compran los materiales a la mitad del precio al cual lo pueden vender a los compradores formales. Los recicladores de base de la Estación de Transferencia seleccionan y venden también metales, cuyo precio a Belize Waste Recycling varia dependiendo de las fracciones(Cobre: 2.75 Belize Dólar por libra; Bronce: 1 Belize Dólar por libra; Aluminio: 0.3 Belize Dólar por libra; Radiadores: 0.75 por libra) [6,5]. En la ciudad no hay recolección y venta de papel y cartón, porque el mercado no hace sustentable este tipo de negocio [3,4,5,6]. En general, se considera que los materiales mas vendidos por los recicladores sean vidrio y PET; papel y cartón parecen ser completamente ausentes de las cadenas de valor.</t>
  </si>
  <si>
    <t xml:space="preserve">TIPO DE MATERIAL RECICLABLE PRECIO 1 kg (S/.) PRECIO 1 kg (S/.)
Papel blanco  0,45 0,52
Papel color 0,16 0,25
Papel couche 0,20 0,30
Papel periódico 0,15 0,25
Papel mixto 0,15 0,20
Cartón mixto 0,20 0,30
Vidrio mixto 0,10 0,12
Botella licor (unidad) 0,10 0,12
Plástico Pet 0,70 0.80/1.50
Plástico duro 1,00 1,20
Plástico Fill 1,00 1,20
PVC 1,00 1,20
Aluminio  2,30 3,00
Fierro 0,30 0,40
Latas / Hojalatas 0,25 0,30
Bronce 7,00 8,00
Acero 1,00 1,50
Plomo 1,50 2,00
Cobre 11,00 13,00
Chatarra 0,30 0,40
Tetrapack 0,10 0,15
La chatarra, es el material con mayor representación económica para los recicladores, debido a su peso, valor de aprovechamiento y valor en el mercado. [1]
</t>
  </si>
  <si>
    <t>Es difícil reconstruir con exactitud los márgenes de precio de cada eslabón de la cadena de reciclaje: los materiales son muchos (entre 20 y 30) ,obedecen a dinámicas de mercado diferentes y existen importantes fluctuaciones de precio. En agosto 2016 un trabajador de limpia declaró vender el PET a 3 pesos mexicanos por kg , el Cartón a 0.80 pesos por kg, el Papel a 0.30 pesos por kg, el PVC a 3 pesos por kg,  el vidrio a 0.3 pesos por kg - 5 pesos por costal, el  Aluminio a 10 pesos por kg. En el mismo mes, el titular de Recupera, empresa que maneja 5 centros de acopios y una planta de empaque que se provee por una pluralidad de pequeños centros de acopio, declaró comprar el Cartón a 1.30 pesos por kg y venderlo a 2 pesos, el Papel blanco a 3 pesos por kg para venderlo a 4.50 pesos, el Aluminio a 13 pesos para venderlo a 16 pesos, el Vidrio a 0.3 pesos para venderlo a 0.7*. Recupera vende a grandes intermediarios y, en algunos casos, directamente a la industria. El precio aplicado en cada eslabón depende del grado de valor agregado en términos logísticos, de almacenaje y de procesamiento/elaboración (clasificación, compactación, molido, etc..), y por supuesto de las fluctuaciones de precio determinadas por el mercado internacional. En el segmento de los trabajadores de limpia no existen eslabones internos: cada trabajador vende autónomamente a los centros de acopio lo que recolecta. En el segmento de los pepenadores, dependiendo de los gremios, los recicladores de base venden a sus líderes una o más fracciones, vendiendo autónomamente algunas fracciones. Centros de acopio y líderes de los pepenadores suelen mantener precios fijos hacia los recicladores de base para no arruinar la constancia del flujo en input y no provocar el colapso del sistema de recolección y selección primaria. De hecho, siendo bajos los ingresos de los actores del primer eslabón, es fácil romper el punto de equilibrio que necesitan para su sobrevivencia generando una interrupción de las operaciones; sin embargo el precio de compra a los recicladores de base disminuye cuando las fluctuaciones del precio del mercado internacional son demasiado importantes y los intermediarios no pueden o quieren almacenar los materiales o exponerse a perdidas o disminuir radicalmente sus márgenes [1,2,3,4].
18 pesos mexicanos = 1 USD</t>
  </si>
  <si>
    <t xml:space="preserve">Actualmente, octubre 2016, la relación estaría en (por Kg de material):
Plástico PET - 3 pesos uruguayos (0,11USD) [1] precio al que vende el reciclador de calle  al acopiador, y el acopiador lo vende al reciclador industrial a 8 pesos uruguayos (0,28USD). (Si la botella es transparente y compactada se paga 9 pesos uruguayos (0,32USD) [2])
Papel blanco - 2,5 pesos (0,09USD) a 8 pesos (0,28USD)
Cartón - 1,5 pesos (0,05 USD) a 4 pesos (0,14USD) [3]
Con respecto a la importancia del material para los recicladores, depende del grupo de recicladores.  El PET tiene mayor  precio por kg y una cierta facilidad en conseguirse. Pero en cuanto a mayores ingresos el papel es muy importante dado que se recupera más cantidad. </t>
  </si>
  <si>
    <t>En el Ecuador, el residuo reciclable con mayor valor comercial es el PET, ya que desde el año 2012 entra en aplicación la Ley de Fomento Ambiental dónde se incluye un impuesto redimible de US$ 0.02 a cada botella de PET, lo que equivale a un promedio de comercialización regulado por la normativa a nivel nacional de US$ 0.70/Kg [1]. Es importante mencionar, que adicionalmente al impuesto redimible, el precio de comercialización de la materia prima de PET por parte de las empresas recicladoras es en promedio de US$ 0.78/Kg [2].   Para el análisis de esta pregunta, se ha considerado dos casos representativos de organizaciones de recicladores en la ciudad de Quito: i) Organización formal de recicladores que trabajan con municipio a través de los CEGAM y comercializan directamente con la industria recicladora, y, ii) organización formal de recicladores que comercializan el material con intermediarios.     
i) Las Empresas Recicladoras compran a la organización de recicladores a US$ 0.73/Kg  [3] , y a los intermediaros a US$ 0.78/Kg, es decir, que el ratio es 1.07.   ii) Los intermediarios compran a la organización de recicladores a  US$ 0.60/Kg[4], es decir, que el ratio es de 1.3. La organización de recicladores que trabaja de manera coordinada con el Municipio tiene menos desigualdad con el intermediario que las organizaciones de recicladoras que no cuentan con apoyo municipal. Principalmente se puede deducir que el beneficio de organizaciones del caso (i) se debe a la cantidad y agregación de valor (compactación) de residuos comercializados por mes, y al poder negociación con la industria.</t>
  </si>
  <si>
    <t>El precio del material depende de la cantidad. A mayor cantidad, mayor precio. Un reciclador de tamaño pequeño puede recibir 10 colones por el Kg. de cartón. El siguiente eslabón, podría alcanzar los 100 colones por Kg. Diferencias similares se pueden encontrar en el mercado del PET.(59) (60)</t>
  </si>
  <si>
    <t xml:space="preserve">El papel y plástico tipo HDPE, LDPE, PP, PET y PS son los materiales que representan el 79,26% de los ingresos de los recicladores [1] .
Para el caso del papel, el reciclador lo vende al intermediario por US$0,33/Kg, el cual, tras los diferentes procesos de clasificación y limpieza, lo comercializa por US$2,32 [1].
</t>
  </si>
  <si>
    <t>Aquí hay dos puntos de vista:
1- Recicladores - Comentan que la diferencia del valor que a ellos les pagan y el que luego los acopiadores venden se incrementa en alrededor de un 10 a un 20% en la transacción. Destacar que la cadena de valor del reciclaje en Santa Cruz no es muy amplia dada la cercanía de las empresas transformadoras. Así:
Precio de 1kg de PET, a los recicladores:   0,35US$     el acopiador lo vende a 0,39US$
1kg de papel a los recicladores: 0,21US$ el acopiador lo vende a 0,25US$ [1] [2]
2- El punto de vista de las empresas es otro. Si bien están de acuerdo con la línea de los valores indicados, comentan que depende de muchas variables como por ejemplo la época del año, de quien transporta los materiales, del precio del petróleo, de las cantidades y del estado de limpieza, de las necesidades que tenga el acopiador o el transformador final. Por lo que no es posible determinar un incremento de valor, varía cada vez que se realiza una operación de compra-venta.[3]</t>
  </si>
  <si>
    <t>Cifras levantadas por el "Catastro Sociolaboral de Recicladores de la Región Metropolitana" (2015) llevado a cabo por Fundación Casa de La Paz y Movimiento de Recicladores de Chile en 4 comunas de la Región Metropolitana, muestran proporciones de precios entre intermediario y empresa de preprocesamiento de 2,6 para el cartón; 3,33 para el papel y 2,5 para el PET (76).</t>
  </si>
  <si>
    <t>F30</t>
  </si>
  <si>
    <t xml:space="preserve">En Paraguay actualmente existen plantas procesadoras de papel, vidrio, plástico, metales. Este proceso genera material de consumo tanto para la industria nacional como a nivel de exportación. [1,2,3,4,5,6,7,8]
Las empresas Brassur, Seis A Sacei,  El Chatarrero SA, Me­talpar SA y Puro Metales se dedican al reciclaje de metales (cobre, hierro y acero). [5,8]
La empresa CORESA se dedica al reciclaje de botellas de PET recolectadas de industrias y principalmente de recicladores informales. CORESA exporta el total de su producción a diferentes mercados para la fabricación de productos varios como fibras y láminas de PET. [2]
El grupo Cysa a través de su marca Cartones Yaguareté procesa hoy unos cuatro  millones de kilos de papel para su fábrica [3,7]
La empresa FyF y la Fábrica Paraguaya de Vidrios se dedican al reciclaje de vidrios a través de toda una red de acopiadores en varios puntos del país. [4]
</t>
  </si>
  <si>
    <t>Excepto para el Aluminio, todos los materiales reciclables cuentan con una industria transformadora en el país [1].
En el caso del PET Enka cuenta con tecnología moderna cuya inversión fue de 35 millones de dólares. Con esta maquinaria se llevan a cabo procesos de peletización. Existen en Colombia otras industrias que realizan nuevos envases y tienen permisos del Instituto de Vigilancia de Medicamentos y Alimentos y la Food and Drugs Agency [2].
En el caso del vidrio la industria se encuentra concentrada prácticamente en la Cristalería PELDAR SA (Owen Illinois) que produce principalmente envases, vidrios de seguridad, vidrio plano y vidrio para farmacia y droguería [3][4].
La chatarra es utilizada por empresas como DIACO en generación de productos de acero, esta empresa tiene unidades de recolección y procesamiento en las principales ciudades del país o en municipios cercanos a las mismas [3] [4].
El papel se vende a empresas como Kimberly, Familia, Fibras Nacionales y Propal [3]. Entre todas reciben el 45% del papel puesto en el mercado de Colombia e incluso tienen la necesidad de importar más [5].</t>
  </si>
  <si>
    <t xml:space="preserve">En Argentina existen plantas industriales para reciclar muchos materiales, papel, cartón, vidrio, plástico, tetrabrick, metales, maderas, textiles, entre otros [1]. 
Existen aproximadamente 2.795 empresas transformadoras plásticas que reciclaron 223.000 toneladas de material post consumo (154.000 domestico y 69.000 industrial) toneladas de material en 2013 [2], de esta información se infiere un promedio de aproximadamente 420 t/d de reciclado de plásticos post consumo de origen doméstico. Existe una cámara exclusiva de empresas recicladoras de plástico que promueve el reciclado de plásticos y las condiciones que posibiliten una actividad rentable y sustentable.[3].
En el caso de los envases de tetrabrick, la empresa Tetra Pak 
no compra reciclado, el envase está elaborado siempre con cartulina virgen por un tema de protección de alimentos, varias papeleras compran más de 600 toneladas mensuales [4]. La empresa Tetra Pak trabaja con 3 papeleras y 3 empresas que producen tejas, placas y chapas [5] .
Existen 28 empresas fabricantes de pulpa de celulosa y papel en Argentina que se encuentran asociadas a la Asociación de Fabricantes de Celulosa y Papel (AFCP) [6]. 
El reciclado del hierro también es muy importante, el consumo de chatarra ferrosa se estima en 700.000 t/año [7].  
</t>
  </si>
  <si>
    <t xml:space="preserve">El nivel de desarrollo de la industria transformadora nacional es muy bajo. Las únicas plantas industriales nacionales que recuperan residuos son las embotelladoras que reutilizan las botellas de vidrio. Los demás materiales tienen que ser exportados y, dependiendo de la fracción, su mercado puede ser ausente (como en el caso del papel, del cartón y de muchas categorías de plástico) o alternado (como el PET, cuyas fluctuaciones en el precio internacional paralizan cíclicamente la cadena de valor y cuyo flujo de recolección es mantenido artificialmente solo gracias a los efectos del Returnable Containers Act); tienen más estabilidad de mercado los residuos de metal cuyo precio promedio suele mantenerse en niveles altos.  La debilidad del sector nacional del reciclaje es atribuible a la debilidad de la industria nacional, a la falta de economías de escala (volúmenes demasiado bajos) y a las grandes distancias que separan los anillos de la cadena de valor [1,2]. </t>
  </si>
  <si>
    <t xml:space="preserve">Existen plantas para todos los materiales reciclables. Para el papel se encuentran Kimberly Clark, Trupal y Papelera Panamericana; en el caso del vidrio se encuentra la multinacional Owens Illinois; en el caso del plástico se encuentran distintos compradores los cuales tienen distintos tipos de tecnología y; en el caso de los metales se encuentran Aceros de Arequipa, Siderperú y el Grupo Klaus Brass [1]
</t>
  </si>
  <si>
    <t>En el país existen plantas industriales para el papel, cartón, vidrio, plástico y metales. En el reciclado de papel y cartón se  encuentran más de 15 industrias que pueden recuperar el papel, de hecho el país debe realizar importaciones de papel para incorporar en sus procesos [1,5] ; en el reciclaje del vidrio se encuentra la industria Vitro que cuenta con ocho centros de reciclaje en Aguascalientes, Baja California Sur, Baja California Norte, Colima, Jalisco, Nayarit, Sonora, Sinaloa y Zacatecas [2]; en el caso del plástico existen 15 industrias recicladoras de PET que durante el 2015 reciclaron el 60% del material que se recicla (el restante se exporta) [3]; por último para los metales en el país existen más de 51 empresas que realizan actividades de siderurgia , en cuya producción incorporan un 37% del total producido [4]. El desarrollo de la industria recicladora es muy cambiante dependiendo de la fracción de material reciclable, hay fracciones que cuentan con capacidad de reciclaje en industrias nacionales y otras que son prevalentemente exportadas.</t>
  </si>
  <si>
    <t>En Costa Rica existen empresas transformadoras de vidrio, cartón y algunos plásticos como el polietileno de alta densidad que se utiliza para la fabricación de madera plástica.
Hace unos años se instaló una planta de transformación de PET que por problemas de abastecimiento no pudo continuar operando. Esto se da porque hay aspectos de escala que no permiten tener plantas en el país. 
Hay procesos de transformación que si bien no están en el país, sí están en la región Centroamericana, lo que facilita la logística por la cercanía geográfica. Es el caso del papel, hojalata, hierro, aluminio, PET.(61)</t>
  </si>
  <si>
    <t xml:space="preserve">Existen plantas industriales para todos los materiales:
PLASTICO 
 - Unnafibras Textil Ltda. proporciona fibras de poliéster a partir de botellas de PET recicladas[1].
- Resilider: Transformadora de polímeros plásticos[2]
PAPEL y CARTON
- Ramenzoni: primera planta de reciclaje de papel en San Pablo, Brasil.[3]
CHATARRA
- Latasa: empresa recicladora de Aluminio de San Pablo, Brasil [4]
- Grupo Metalis:  empresa recicladora de Aluminio de San Pablo, Brasil [5]
VIDRIO
-Owens Illinois, multinacional productora de vidrio[6].
</t>
  </si>
  <si>
    <t>En la ciudad de Santa Cruz hay diversas plantas de transformación de materiales, si bien algunas han ido cerrando y la transformación se ha trasladado a otros lugares (por ejemplo, la papelera Kimberly cerró su línea de reciclado de papel de Santa Cruz). En Santa Cruz básicamente se transforma el plástico PET y otros plásticos para la producción de tuberías de conducción de agua.
En la ciudad de Cochabamba, al norte de Santa Cruz, se envía el vidrio y el papel.
El cartón básicamente se exporta a Paraguay y Brasil, así como también PET dado que comúnmente los precios son más altos. 
No existen plantas de transformación para los metales, estos se destinan a la exportación, principalmente a Europa, Brasil y Perú. [1] [2] [3]</t>
  </si>
  <si>
    <t xml:space="preserve">El mercado de reciclaje se ha ido en consolidando en los últimos años. Por un lado ya existen materiales con altas tasas de recuperación: papel y cartón (82%), metal (43%), vidrio (54%). Por otro lado hay mercado para ciertos materiales pero no llegan a tasas de recuperación significativas, como el plástico (12%). Acorde con el auge de las material primas recicladas, se han instalado en el país plantas transformadoras para los siguientes materiales: papeles y cartones, hojalata, aluminio, plásticos y vidrio. En lo casos de plásticos y vidrio, se está teniendo que importar materia prima reciclada desde otros países, dada la baja disponibilidad de los materiales reciclados, en el país. </t>
  </si>
  <si>
    <t>F31</t>
  </si>
  <si>
    <t>Actualmente no se permite la contratación con agrupaciones de recicladores de base en el sistema de gestión de residuos del municipio. Si bien la municipalidad cobra en cuanto a impuestos el 100% por el servicio de recolección de basura, realiza solo el 80% del trabajo ya que los recicladores ayudan en la selección, recolección y disposición de los materiales reciclados. Ciertas organizaciones de la sociedad civil y empresas del sector privado se encuentran en este momento desarrollando un proyecto a ser presentado a la municipalidad que contemple una reducción de impuestos para aquellas empresas que tengan acuerdos de reciclaje con asociaciones. [1]</t>
  </si>
  <si>
    <t xml:space="preserve">Sí se permite la contratación de los recicladores siempre y cuando cumplan con los requerimientos establecidos en el Decreto 596 de 2016, el objeto de esta norma es definir el esquema operativo de la actividad de aprovechamiento y "la transitoriedad para el cumplimiento de las obligaciones que deben atender los recicladores de oficio y las organizaciones de recicladores de oficio que estén en proceso de formalización como personas prestadoras de la actividad de aprovechamiento en el servicio público de aseo" (subrayado fuera del texto). [1].  
Sin embargo, conviene señalar que de acuerdo con lo indicado por la Ley de 142 de 1994 una de las formas de prestación del servicio público de aseo es la libre competencia, lo cual significa que una empresa o una organización de recicladores que cumpla con los requisitos del artículo 15 ibídem (o los preceptos del Decreto 596 de 2011) puede suscribir un Contrato de Condiciones Uniforme con un Usuario y ser su prestador del servicio de aseo, sin necesidad de establecer un contrato con el municipio [2]. Así, en Bogotá el componente de aprovechamiento se encuentra en libre competencia por lo cual la organización de recicladores puede prestar el servicio público en cualquier parte de la ciudad, siempre y cuando se acoja el régimen de transición establecido en el Decreto 596 de 2016 [3].
</t>
  </si>
  <si>
    <t>Existen en la Ciudad de Buenos Aires esquemas de recolección diferenciada de residuos y los mismos involucran a los recuperadores a través de contratos con 12 cooperativas [1]. Las cooperativas ganaron el Concurso Público [2] que se encuentra vigente.
Las cooperativas que trabajan por contrato actualmente son:
- El Amanecer de los Cartoneros (Centro Verde Barracas y Centro Verde Parque Patricios)
- El Álamo (Centro Verde Constituyentes)
- Cooperativa del Oeste (Centro Verde Soldati)
- Cooperativa de Recuperadores Urbanos del Oeste (Centro Verde Varela)
- Cartoneros del Sur (planta propia)
- El Trébol
- Alelí (Centro Verde Chilavert)
- Reciclando Trabajo y Dignidad
- Baires Cero (Centro Verde Chilavert)
- Cooperativa Primavera
- Cooperativa El Ceibo (Centro Verde Retiro Norte)
- Cooperativa Madreselva (Centro Verde Núñez)</t>
  </si>
  <si>
    <t xml:space="preserve">Sí se permite la contratación [1][2][3]. Anualmente se levanta una convocatoria para que se inserten organizaciones al programa de segregación y existen algunas que llevan ya mucho tiempo[3]. Incluso hay un requerimiento en este sentido en el Programa de Incentivos a la Mejora de la Gestión Municipal, para que la recolección selectiva se realice a través de recicladores [2] [4]. Sin embargo no existen contratos explícitos entre organizaciones y los municipios como sucede con el servicio de recolección de residuos no reciclables [1] [2]. </t>
  </si>
  <si>
    <t xml:space="preserve">El sistema de gestión de residuos suele hacer contrataciones directas e individuales con las organizaciones de los pepenadores, que son constituidas como asociaciones civiles; los resultados de las contrataciones son registrados en acuerdos y minutas. La contratación acontece también con el Sindicato (Sección Uno del SUTGDF) que representa los trabajadores de limpia, aunque la actividad de recuperación de reciclables, que es llevada a cabo informalmente, no es oficialmente objeto de las negociaciones; sin embargo, el tema del reciclaje (que tiene influencia en el esquema operativo y económico del servicio) es puesto informalmente en las mesas y contribuye al equilibrio global de los acuerdos. En general, se considera que los esquemas de contratación formales e informales entre Gobierno de la CDMX y los recicladores de base tienen fuertes similitudes cualitativas con ciertos esquemas de contratación implementados en países europeos entre instituciones locales y empresas que llevan a cabo la recolección selectiva de fracciones con alto valor de mercado [1,2,3] .  </t>
  </si>
  <si>
    <t>En Quito, los servicios enmarcados en la Gestión Integral de Residuos Sólidos son brindados por dos empresas públicas municipales, la  Empresa Pública Metropolitana de Aseo (EMASEO) y la Empresa Pública Metropolitana de Gestión Integral de Residuos Sólidos (EMGIRS EP), razón por la cual, la tercerización de servicios son escasos, y al momento no se cuenta con participación de recicladores de base en la prestación de los mismos [1][2][3].</t>
  </si>
  <si>
    <t>El programa de reciclaje municipal del cantón de San José, contrata a su propio personal para operar el sistema. En ocasiones apoya a organizaciones comunitarias para la prestación del servicio de recolección de residuos reciclables, pero ésta no es una tarea contratada: las organizaciones ganan lo que reciben por la venta del material. Dado el bajo nivel de precios y la ausencia de separación en origen masiva,  en el cantón, esta modalidad ha desmotivado la participación de este tipo de organizaciones en el servicio.
No existe contratación de organizaciones de recicladores en el sistema municipal de reciclaje, aunque a futuro, se contempla la posibilidad de contar con iniciativas de reciclaje articuladas con el sector de recicladores de base.  (62)</t>
  </si>
  <si>
    <t xml:space="preserve">Se permite  la contratación con agrupaciones de recicladores de base en el sistema de gestión de residuos del municipio y se aplica. El artículo 24 de la Ley 11.445 de 2007 señala que la contratación de la recolección selectiva, procesamiento y comercialización de residuos sólidos urbanos reciclables puede ser llevada a cabo por asociaciones o cooperativas de recicladores reconocidos por el poder público, cuando cumplan con el uso de herramientas y elementos adecuadas a  las normas técnicas, ambientales y sanitarias.[1] 
Desde el año 2002 en San Pablo, se han llevado a cabo convenios con organizaciones de recicladores para la gestión de Centros de Reciclaje (Centrais de Triagem) y la recolección selectiva[2]. </t>
  </si>
  <si>
    <t xml:space="preserve">Hasta el momento no se ha contratado a agrupaciones de recicladores de base en el sistema de gestión de residuos municipal, aunque sí se han firmado convenios entre el municipio y el Movimiento de Recicladores de Chile para la implementación de iniciativas de reciclaje inclusivo en eventos masivos. </t>
  </si>
  <si>
    <t>F32</t>
  </si>
  <si>
    <t>Sí existen mecanismos de pago periódico. Sin embargo los mismos responden a un cargo variable según las cantidades de materiales aprovechables entregadas por el reciclador en los centros de acopio que la Unidad Administrativa de Servicios Públicos ha autorizado [1].
Este pago, viene por encargo del Auto 275 de 2010, pero regulariza mediante el Decreto 596 de 2010 [2] [3] [4]. La actualización del PGIRS contempla acompañar a las organizaciones de recicladores para que cumplan con lo indicado en el Decreto [5].</t>
  </si>
  <si>
    <t xml:space="preserve">La licitación de Residuos Reciclables [1] en su Art. N° 33 se compromete a implementar el PROGRAMA DE INCENTIVO MENSUAL (PIM): al cumplimiento de normas para cada recuperador afectado a las tareas aquí descriptas, que se imputarán en forma individual a cada recuperador a cuenta y orden de la cooperativa.
Actualmente el gobierno de la Ciudad proporciona a los recuperadores subsidio en dos categorías, Recuperador Urbano que recibe $ 4.000.- (aprox. u$ 266.-) y Recuperador Ambiental (asociado a los contenedores verdes) que recibe $ 7.700 (aprox. u$ 513,-), del total en sistema, aproximadamente un 60% cobra el subsidio mayor [2].
Los recuperadores que trabajan en las cooperativas que están contratadas por la ciudad, reciben subsidios mensuales diferenciados, quienes realizan tareas en calle (cuidan las campanas verdes) reciben $6.400.- (aprox. u$ 426,-), quienes realizan tareas dentro de la cooperativa reciben $3.200.- (u$ 212), Cooperativa El Álamo y $4.300 (u$ 286) Cooperativa Trabajo y Dignidad. La cooperativa recibe financiamiento para camiones con chofer y vales de combustible para la logística, vestimenta y elementos de seguridad para sus asociados, aunque insuficiente [3,4].
Existen dos tipos de incentivos (subsidios mensuales) otorgados por el Gobierno de la Ciudad de Buenos Aires, a partir de octubre recibieron un aumento del 20%, uno de aproximadamente $4,000.- (aprox. u$ 266.-) que lo reciben los trabajadores que están asociados a una cooperativa pero que venden los materiales recolectados diariamente de manera autónoma ya sea en la Ciudad de Buenos Aires o en municipios del área metropolitana y otro incentivo de aproximadamente $7.700-. (aprox. u$ 513,-) que lo reciben los recuperadores que realizan la recolección de los residuos secos de los contenedores verdes, estos últimos realizan un recorrido de 4 cuadras aproximadamente y los primeros realizan recorridos mayores ya que su ingreso proviene de su productividad diaria [5].
En gran medida, todo el sistema de inclusión de la ciudad se apoya en la existencia de estos incentivos, individuales, bancarizados y ligados al presentismo y no a la productividad. Puede no ser suficiente, pero al no poder compararse con algo similar, el sistema es muy avanzado, puede y debería expandirse y se podría pensar en su universalidad en los casos de las personas que realizan tareas de recolección y que cumplan con ciertos requisitos, pero es muy positivo [6]. 
</t>
  </si>
  <si>
    <t xml:space="preserve">El segmento mayoritario de los recicladores de base es constituido por empleados públicos que trabajan para la municipalidad en calidad de "limpiadores" (cleaners) o "barrenderos" (sweepers/chippers); el pago periódico fijo que la municipalidad les reconoce por su servicio integra los ingresos informales derivantes por la recolección y venta de los materiales reciclables [1,2,3]. Los demás segmentos de recicladores de base (recicladores de calle no integrados con el sistema de recolección formal y recicladores activos en la Estación de Transferencia) no reciben ningún pago periódico fijo [4.5,6,7]. </t>
  </si>
  <si>
    <t>No existe pago por la actividad e incluso algunas municipalidades tienen incentivo en que las organizaciones de recicladores lleven a cabo esta labor debido a que se ahorran este costo [1][2]. La remuneración que perciben los recicladores está únicamente ligada a la venta del material [2][3].</t>
  </si>
  <si>
    <t>Entre los 29.000 trabajadores de limpia los (choferes, macheteros y barrenderos") 14.144 son asalariados, cerca de 5.000 son "eventuales" y cerca de 10.000 son "voluntarios" (no reciben ningún salario) [3]; el sistema de ingresos de esta población es complementado por venta de materiales reciclables y propinas; además existe un incentivo de 50 pesos por tonelada de orgánico separada que es distribuido entre los trabajadores (cuyo pago no es constante). Los aproximadamente 3.500 pepenadores viven exclusivamente de la venta de los materiales reciclables y no reciben ningún pago fijo; sin embargo reciben algunos beneficios proporcionados por sus gremios (en parte gracias a los márgenes comerciales de los gremios mismos, en parte como fruto de la negociación entre gremios e instituciones publicas), entre los beneficios hay asignaciones de viviendas populares,  servicios sanitarios, pago de luz y agua, pago de impuestos, etc..). [1],[2]</t>
  </si>
  <si>
    <t>No existen mecanismos de pago periódico fijo para los recicladores de base por servicios prestados. El municipio no tiene un sistema de reconocimiento financiero por el servicio brindado a los recicladores, sin embargo, se cuenta con un apoyo municipal (infraestructura para acopio y clasificación y/o transporte de los residuos reciclables) a ciertas organizaciones de recicladores que trabajan en los CEGAM y proyectos de pie de vereda [1][2][3][4].</t>
  </si>
  <si>
    <t>El municipio no paga a actores externos por servicios de recolección de reciclables. Lo único que ha hecho, específicamente con organizaciones comunitarias que se han dedicado a tarea de recolección selectiva, es facilitar su trabajo con apoyo en sensibilización, contactos con empresa compradoras de materiales reciclables y en ocasiones facilitando implementos para el trabajo. 
Los recicladores de base no se consideran aún como aliados de los sistemas de reciclaje municipal. Recién se está cambiando la visión y apenas se está planteando la necesidad de caracterizar mejor las cadenas probadas de recuperación que operan en el cantón. (63)</t>
  </si>
  <si>
    <t>No existe un mecanismo de pago periódico a los recicladores por servicios prestados (79). El programa de reciclaje municipal, está empezando a implementar una modalidad piloto de pago por servicios a recicladores específicamente en un nuevo barrio comercial que se integra al programa de reciclaje municipal. Esta modalidad contempla el pago mensual de un monto de dinero por generador comercial, que es transferido a los recicladores (80)</t>
  </si>
  <si>
    <t>F33</t>
  </si>
  <si>
    <t>Si bien los recicladores llevan a cabo múltiples actividades económicas (trabajo informal como jornaleros, venta de productos según la temporada, etc.), ya sea de forma parcial o debido a la alta fluctuación de los precios de materiales reciclables, estas actividades económicas no son parte de un programa estructurado de diversificación de ingresos sino que se llevan a cabo de manera ad hoc [1].</t>
  </si>
  <si>
    <t>Desde el Distrito sólo se ha enfocado los apoyos y las actividades al reciclaje, por ahora no se contempla que lleven a cabo actividades distintas [1]. Desde las organizaciones de recicladores, si bien se ha pensado en diversificar las actividades para mejorar los ingresos, debido a la carga que implica la promoción ante las autoridades gubernamentales para la protección de los derechos de los recicladores no se ha avanzado en el tema [2].</t>
  </si>
  <si>
    <t xml:space="preserve">Existe un grupo de mujeres llamadas Promotoras Ambientales que ya no realizan recolección de residuos y que realizan tareas de concientización y capacitación en las zonas de trabajo, dirigidas a encargados de edificios e instituciones, este programa no estaba en el pliego, fue impulsado por el Movimiento de Trabajadores Excluidos (MTE) y el gobierno accedió y en el caso de la Cooperativa El Amanecer de los cartonerosa el cupo es de 15 trabajadoras [1]. </t>
  </si>
  <si>
    <t>No existen programas formales de diversificación de los servicios prestados por los recicladores de base aunque, en términos concretos, muchos recicladores de base diversifican su actividad informal de recolección y venta de materiales reciclables con actividades formales de limpia/barrido que son pagadas por el Ciudad de Belice Council [1,2,3]</t>
  </si>
  <si>
    <t>No existen programas de diversificación para las actividades que llevan a cabo los recicladores [1][2]. Algunos realizan manualidades con los materiales que reciclan, pero principalmente su trabajo tiene que ver con la recuperación de materiales [2]</t>
  </si>
  <si>
    <t>No existen programas formales de diversificación de los servicios prestados por los recicladores [1].</t>
  </si>
  <si>
    <t>No existen programas de diversificación de los servicios prestados por recicladores de base en la planificación de los proyectos/programas municipales [1][2][3][4].</t>
  </si>
  <si>
    <t>En vista de la crisis que se ha generado en las organizaciones comunitarias que emprendían iniciativas de reciclaje con fines de generación de ingresos, con motivo de la baja generalizada de precios de los materiales reciclables, el municipio está favoreciendo su diversificación hacia servicios de aseo en eventos, lo que permite complementar los escasos ingresos que estas organizaciones general por la recuperación de residuos reciclables.
No existe una iniciativa similar que incluya a los recicladores de base.(64)</t>
  </si>
  <si>
    <t>No existen programas documentados de diversificación de servicios prestados por recicladores, en otras áreas. Sí existe un aprovechamiento del servicio de los recicladores en distintas modalidades: puerta a puerta, retiros programados, retiro de residuos voluminosos, los que se consideran como 'diversificación del servicio'. Se trata de una diversificación de las posibilidades de recuperación de residuos, que se adaptan al sistema que el municipio busca implementar para brindar un sistema integral de gestión de residuos a los usuarios de la comuna.(81)</t>
  </si>
  <si>
    <t>F34</t>
  </si>
  <si>
    <t>Los recicladores se encuentran ganando entre Gs400.000 a Gs600.000 (US$ 72-107) mensualmente (reportado 2013). El salario mínimo en el 2013 era Gs.1.658.232 (US$297). El mismo fue ajustado en Marzo de 2014 a Gs.1.824.055 (US$327), el cual sigue vigente hasta la fecha. [1,2,3,4,5]</t>
  </si>
  <si>
    <t xml:space="preserve">El ingreso medio promedio de un recuperador se compone de la suma del incentivo mensual que recibe del Gobierno de la Ciudad de Buenos Aires y del ingreso de la venta de los materiales recuperados por la cooperativa que se divide de manera equitativa entre sus miembros.
El promedio actual de ingreso mensual se puede calcular en $4.000.- (incentivo) más $3000.- (aprox. de ganancia por la venta diaria de los materiales recuperados) para los recuperadores que trabajan de manera autónoma que supone un total aproximado de $7.000.- (u$ 466.-) y de $ 7.700.- (incentivo) más aprox. $2.000.-/$4.000.- ($3.000.- promedio) que supone un total de $ 10.700.- (u$ 713.-) [1].
El salario mínimo vital y móvil desde el 1° de junio de 2016 es de $ 6.810.- (aprox. u$ 454.-)[2]. Cabe aclarar que la canasta Básica Alimentaria (CBA)para una familia tipo (2 adultos y 2 menores) es de $ 5.176 (aprox. u$ 345.-) para no caer en la indigencia y la Canasta Básica Total (CBT) es de $ 12.789 (aprox. u$ 852.-) [3]
En función de lo mencionado, existen dos valores de porcentaje entre el ingreso promedio y el salario mínimo, 103% para recuperadores que cobran un incentivo menor y otro de 157% para trabajadores que reciben un incentivo mayor. </t>
  </si>
  <si>
    <t xml:space="preserve">No se puede estimar un porcentaje global entre ingreso promedio del sector de los recicladores de base y salario mínimo nacional. De hecho, no se conoce número y modo de trabajo del segmento de los recicladores de base que operan en las calles sin integración en el esquema de recolección formal; en el caso de los recicladores de base que operan en las calles integrando su actividad informal al esquema de recolección formal, se pueden estimar sus ingresos (un salario formal entre 300 y 400 Belice Dólares por quincena [1,2] más un ingreso por venta de materiales reciclables muy variable y que se posiciona probablemente alrededor de los 200 Belice Dólares por quincena[2]); sin embargo no se sabe cual es su horario de trabajo total (que corresponde al horario de su contrato formal más una incógnita de tiempo representada por su actividad informal); si el total de horas de trabajo de este segmento fuera de 50 por semana, su ganancia probablemente correspondería al 165% del salario mínimo. En el caso de los 25-30 recicladores de base activos en la Estación de Transferencia, se estiman ingresos diarios que dependiendo de las condiciones del mercado fluctúan entre los 20 Belize Dólares (75% del salario mínimo si trabajaran 8 horas al día) y los 40 Belize Dólares  (150% del salario mínimo si trabajaran 8 horas al día) [3,4]. En Belize el salario mínimo es de 3.3 Belice Dólares (1.65 USD) por hora </t>
  </si>
  <si>
    <t>Está entre el 37% y el 50%[1]</t>
  </si>
  <si>
    <t>Entre los 29.000 trabajadores de limpia los (choferes, macheteros y barrenderos") 14.144 son asalariados; el 90% de ellos es retribuido en base a 3 niveles: el 40% de los trabajadores tiene el nivel 10 y gana 5.391 pesos mensuales (420 dólares), el 30% tiene el nivel 2 y gana 2.074 pesos (160 dólares), el 20% tiene el nivel 8 y gana 4.924 pesos (380 dólares).
Además hay cerca de 10,000 voluntarios, que son parte del equipaje de los camiones o trabajan en la barrida sin ser pagados por el Gobierno y que ganan sólo gracias a los ingresos informales;  cerca de 5.000 son "eventuales"(con nivel de retribución muy variable) [1]. La existencia de los ingresos informales y de trabajadores que no reciben ningún salario ("voluntarios") hace muy difícil estimar un ingreso promedio de los recicladores. De todas formas, es posible estimar que la gran mayoría de los trabajadores de limpia tenga ingresos globales (suma entre ingresos formales e informales) dentro de un rango entre 3.000 pesos mensuales (170 dólares) y 20.000 pesos mensuales(1.100 dólares).    [2]
Entre los pepenadores, las únicas fuentes de ingreso son representadas por la venta de los materiales reciclables; su ingreso es muy variable y depende de  su horario de trabajo (en el Frente Único de Pepenadores no existe horario fijo y los pepenadores se presentan espontáneamente en los 4 turnos de selección) y de su productividad . El vocero de la Unión de Pepenadores asegura que el ingreso promedio de los pepenadores de su gremio es de 50 pesos mexicanos por día (el 68% del salario mínimo, que es fijado en 73 pesos mexicanos por día [3,4].</t>
  </si>
  <si>
    <t>En enero de 2016 se estableció que el salario mínimo mensual en Uruguay sería de 11.150 pesos uruguayos (397US$) [1].  El ingreso medio de los clasificadores es de entre 10.000 a 12.000 pesos uruguayos (entre 356USD a 428USD) si bien es muy variable.[2] [3]
Cabe distinguir nuevamente: 
- Los recicladores que están trabajando en las plantas de clasificación: tienen un mínimo de ingreso de 18.000 pesos (641USD), es decir aproximadamente 1,5 veces el salario mínimo.
- Los recicladores que trabajan en la informalidad: tiene un ingreso cerca del salario mínimo, incluyendo los que están en el vertedero de Montevideo (Felipe Cardoso).
- Los recicladores que están trabajando en cooperativas:  pueden llegar a tener un ingreso de unos 20.000 pesos uruguayos (713USD), casi dos veces el salario mínimo y algunas que son algo más grandes pueden llegar hasta los 27.500 pesos uruguayos (981USD) casi dos veces y media el salario mínimo. Aunque hay que descontar aproximadamente un 20% de ese salario en costes sociales a cargo de los cooperativistas. [4]</t>
  </si>
  <si>
    <t>El salario mínimo mensual para un trabajador no calificado en Costa Rica es de 288.386 colones (USD 519). (65)
No existen cifras disponibles de ingresos de recicladores en el cantón, para realizar este cálculo. Sin embargo, haciendo un cálculo estimativo, un reciclador que trabaja en el centro de San José recuperando 200 kg de cartón al día, trabajando 20 días al mes, a un precio de 10 colones el kg. (USD 0,02), podría obtener un ingreso de 40.000 colones al mes (USD 72). Esto representa un 14% del sueldo mínimo. (66)</t>
  </si>
  <si>
    <t>Teniendo en cuenta que el salario mínimo nacional de Bolivia para 2016 es de 1.805Bs (251US$) [1] y que los ingresos mensuales de los recicladores se estiman, si bien son muy variables, en unos 1500-1600 Bs (208-222US$) el resultado es que cubren aproximadamente el 85% del salario mínimo.
Destacar que los trabajadores de la planta de Normandía (50 personas) ingresan alrededor de  2.700 Bs (375US$) 
Las personas (36) que realizan la recolección diferenciada, contratados por la empresa concesionaria cobran 2.200 Bs (306US$) pero estos tienen además  beneficios sociales y de salud.</t>
  </si>
  <si>
    <t xml:space="preserve">Según cifras por comuna del "Catastro Sociolaboral de Recicladores de la Región Metropolitana" (2015) llevado a cabo por Fundación Casa de La Paz y Movimiento de Recicladores de Chile, los recicladores encuestados en la Comuna de Santiago tiene un ingreso promedio de CLP 192.667 (USD 287) (82). El sueldo mínimo mensual para trabajadores mayores de 18 años y hasta 65 años es de CLP 257.500 (USD 383,8) (83). Esto quiere decir que el ingreso promedio del reciclador en la comuna de Santiago es un 75% del ingreso mínimo.  </t>
  </si>
  <si>
    <t>F35</t>
  </si>
  <si>
    <t>El trabajo infantil si existe pero se concentra principalmente en los hijos de recicladores. En Asunción, muchos de los recicladores trabajan como núcleos familiares. Muchas veces los hijos acompañan a los padres en las tareas de reciclaje, ya sea porque los padres no tienen un lugar seguro donde puedan dejar a sus hijos o porque los mismos los ayudan en las tareas, agilizando el proceso. Lon niños son de todas las edades, los mas pequeños va en los carros, los mas grandes van ayudando a hacer la selección y recolección en calle. Muchos van a la escuela pero también trabajan. Los programas que existen en este sentido son los provistos por las ONGs que trabajan con estas asociaciones y no por el municipio o por el estado [1,2,3]</t>
  </si>
  <si>
    <t>Existe trabajo infantil en la cadena de manejo de residuos  sobre todo en la calle pero va disminuyendo progresivamente. Debido a que las políticas nacionales para evitar el trabajo infantil fueron fuertes y la sensibilización a los recicladores sobre la importancia de la educación de los niños la situación de hoy  con respecto a treinta años atrás ha mejorado en 90%. Adicionalmente, las asociaciones de recicladores, como la Asociación de Recicladores de Bogotá, cuentan con jardines infantiles con todos los servicios para niños de 0 a 14 desde 1995. Gracias a estas políticas, hoy existen jóvenes que ya cuentan con grado universitario [1].
Por otra parte, también son muy beneficiosos los hogares de paso y centros de atención de integral del Estado, ya que allí los recicladores pueden dejar a sus hijos mientras trabajan. En general la oferta de lugares para cuidar a los niños es buena [1].</t>
  </si>
  <si>
    <t xml:space="preserve">Existen todavía menores que trabajan en vía pública solos o acompañando a sus padres, que forman parte del diferencial de recuperadores (entre 3.500-4.500) que trabajan sin estar asociados a cooperativas [1].  
Sin embargo, la licitación de Residuos Reciclables [2] en su Art. N° 33 se compromete a implementar gradualmente el PROGRAMA DE ERRADICACIÓN DEL TRABAJO INFANTIL (PETI): llevar adelante políticas públicas de erradicación de trabajo infantil y la instalación de una guardería infantil por Centro Verde que se encuentre en funcionamiento y los que en el futuro se construyan. Una de las condiciones para la firma de los contratos con el gobierno fue la erradicación del trabajo infantil, esto se logró en el caso de los trabajadores que se encuentran asociados en las cooperativas, ya que no pueden trabajar menores de 16 años y madres con niños. 
No se han instalado guarderías en los centros verdes, en el caso del Movimiento de Trabajadores Excluidos (MTE) / Cooperativa El Amanecer de los Cartoneros existen 2 guarderías, una ubicada fuera de la ciudad en la localidad de donde residen la mayor parte de los recuperadores  con vacantes para 200 niños y una en la ciudad de Buenos Aires con 80 vacantes, aunque en ambas existe lista de espera [1]. 
</t>
  </si>
  <si>
    <t xml:space="preserve">No se conocen las características del segmento de los recicladores de base que operan en las calles sin integración en el esquema de recolección formal. En el caso de los recicladores de base que operan en las calles integrando su actividad informal al esquema de recolección formal, es observable que los titulares del contrato con la municipalidad a menudo desempeñan su actividad informal gracias al ayuda de sus familiares incluyendo, a veces, sus hijos menores. En el caso de los recicladores de base activos en la Estación de Transferencia, no se registra la participación al trabajo de menores de edad. </t>
  </si>
  <si>
    <t>En las Asociaciones no se permite trabajo infantil. Sin embargo, en el sector informal si hay niños que trabajan [1].</t>
  </si>
  <si>
    <t xml:space="preserve">Existe el trabajo infantil en la cadena de reciclaje. Sin embargo, el trabajo infantil en el reciclaje informal ha disminuido considerablemente en los últimos 40 años gracias a que el gobierno ha realizado programas extensivos para evitarlo [1]. Además de las regulaciones que ya se han establecido, se requiere mayor vigilancia para eliminarlo totalmente [1] [2]. </t>
  </si>
  <si>
    <t>Desde el año 2011 se erradica el trabajo infantil en basurales (vertederos) en el Ecuador [1]. El Art. 11 de la Ordenanza 332 especifica la prohibición del trabajo infantil en la cadena de manejo de residuos y compromete al municipio en la creación de la políticas para su erradicación [2]. Sin embargo, se evidencia la presencia de niños y niñas en las calles de Quito, ya que acompañan a sus madres durante las labor de recolección de residuos reciclables [3][4][5].  Al momento no se cuenta con programas y/o proyectos que brinden el apoyo para el cuidado de menores mientras sus madres se encuentran trabajando [5].   Se evidencia el aumento de trabajo infantil en la cadena de reciclaje en la ciudad de Quito desde la implementación del sistema de contenerización, ya que por las dimensiones y características técnicas del contendor se dificulta la labor de recuperación de residuos reciclables por parte de adultos [3][4].    Se evidencia un desconocimiento de la existencia de proyectos/programas de erradicación de trabajo infantil del municipio  [1][4][5].</t>
  </si>
  <si>
    <t>Aunque el sector del reciclaje informal en el cantón no está estudiado, no hay evidencia de trabajo infantil asociado a este sector en el cantón.(67)</t>
  </si>
  <si>
    <t>Las asociaciones de recicladores indican que hay niños que más que participar activamente en los procesos de recolección y selección de materiales reciclables, ayudan cuando están en casa en la selección y lo hacen de forma esporádica. [1] [2]
Otras fuentes indican que sí existe trabajo infantil en todos los procesos de recolección y clasificación de residuos reciclables de la ciudad [3]</t>
  </si>
  <si>
    <t>No existen cifras comunales sobre trabajo infantil en el sector de reciclaje informal. Cifras levantadas por el Catastro Socio Laboral de Recicladores en 4 comunas de la Región Metropolitana, muestran que un 4% de los recicladores declara trabajar en compañía de personas menores de edad (84). Si bien fue una tendencia –incentivada por las dificultades de dejar solos a los hijos durante largos períodos de tiempo- ya no es una práctica representativa del sector. (85)</t>
  </si>
  <si>
    <t>F36</t>
  </si>
  <si>
    <t>No hay un enfoque de género en las condiciones de trabajo para las mujeres, quienes mucha veces se enfrentan a situaciones de acoso sexual y maltrato. Tampoco existen medidas de protección para las mujeres embarazadas o en lactancia así como tampoco hay programas de guardería, lo que muchas veces implica que las mujeres deben salir a recolectar acompañadas de sus hijos. [1,2]</t>
  </si>
  <si>
    <t>El nivel de enfoque de género en las condiciones de trabajo es mediano. Las instalaciones tienen baños, aunque no todos están diferenciados. Existen medidas de protección para mujeres embarazadas o en lactancia (90 días mínimo). En el caso del Movimiento de Trabajadores Excluidos (MTE) / Cooperativa El Amanecer de los Cartoneros tiene 2 guarderías, una ubicada fuera de la ciudad en la localidad de donde proviene la mayor parte de los recuperadores que trabajan allí, con vacantes para 200 niños y una en la ciudad de Buenos Aires con 80 vacantes, aunque en ambas existe lista de espera. Las 11 restantes cooperativas no cuentan con guarderías. 
No existen programas de capacitación dirigidos especialmente a mujeres y la violencia de género es uno de los problemas más graves que afecta a sus socias, desde la Federación Argentina de Cartoneros y Recicladores (FACYR) abordan en la medida de lo posible la problemática [1].</t>
  </si>
  <si>
    <t xml:space="preserve">No se observó ningún enfoque de genero, ni entre los recicladores de base activos en las calles, ni en los recicladores de base activos en la Estación de Transferencia (aunque en esta ultima se registra la presencia de un baño separado para las mujeres). </t>
  </si>
  <si>
    <t xml:space="preserve">No hay lineamientos claros en las organizaciones para que las actividades se lleven a cabo con enfoque de género. El trabajo de hombres y mujeres es igual, salvo que hayan actividades que impliquen levantamiento de materiales  pesados  [1]. </t>
  </si>
  <si>
    <t>En los "centros de trabajo" de los trabajadores de limpia hay baños separados entre hombres y mujeres [1,2], sin embargo el número de centros de trabajo ha disminuido y su uso por parte de los trabajadores ha disminuido [1]. Según la Comisión de Derechos Humanos del Distrito Federal las instalaciones de los informales carecen de baños, por tanto no existe diferenciación de estas instalaciones para hombres y mujeres [2]; no se evidenciaron: medidas para evitar el acoso sexual, programas de capacitación en relación con el tema de género, medidas de protección para mujeres embarazadas o en lactancia ni programas de guarderías [3]; programas de protección de la mujer son vigentes solo para la cuota de mujeres que trabajan en el servicio de limpia y que son incluidas en la plantilla salarial bajo las condiciones del contrato colectivo para los trabajadores de gobierno.</t>
  </si>
  <si>
    <t>El nivel en enfoque de género en recicladores en Quito es bajo, no se cuenta con sistemas, programas y/o proyectos relacionados con el tema [1][2][3].  Considerando la alta presencia de mujeres dentro de la cadena de reciclaje (70%) y su significativa presencia en cargos directivos de organizaciones de recicladores, algunas dirigentas buscaron capacitaciones sobre liderazgo, violencia de género y acoso sexual cuando tuvieron problemas familiares al empezar a liderar sus organizaciones, pues debían viajar y asistir a reuniones fuera de sus horarios normales de trabajo [1]. En organizaciones de recicladores que laboran en las calles, existe un desconocimiento sobre la temática de género, y por ende sobre programas y/o proyectos al respecto [4].</t>
  </si>
  <si>
    <t>Dada la situación de informalidad y poco conocimiento de los recicladores de base en el cantón, un número no determinado de recicladoras trabaja en la informalidad, sin protección alguna.(68)</t>
  </si>
  <si>
    <t>El nivel de enfoque de género en las condiciones de trabajo, es bajo, ninguno de los criterios se cumple. Dentro de algunas asociaciones de reciclaje se evidencia se evidencia una alta desigualdad y súper-explotación de mujeres así como discriminación racial y ausencia de algunas facilidades o beneficios a madres cabeza de hogar [1][2]. Sin embargo, existen algunas organizaciones en las que existen mujeres líderes, quienes se dedican más a las funciones administrativas de las cooperativas [3].</t>
  </si>
  <si>
    <t>Se está trabajando en la construcción de baños y duchas en la planta de Normandía, ahora hay uno solo para todos. Y hay algunas sensibilizaciones, en temática de violencia de género, pero ciertamente no hay un enfoque organizado en las condiciones de trabajo de las recicladoras de las asociaciones [1]</t>
  </si>
  <si>
    <t>De los 7 recicladores inscritos en el programa de reciclaje municipal, 3 son mujeres (43%). De este grupo, las únicas que acceden regularmente al Punto de Reciclaje y Acopio Transitorio son dos mujeres. No cuentan con servicios higiénicos en el Punto de Reciclaje, pero sí en el parque en el que se encuentra emplazado. No existen mecanismos establecidos  para abordar temas o problemáticas de género, ni medidas de protección para mujeres embarazadas o en lactancia. Fuera del programa municipal de reciclaje, un número no determinado de recicladoras trabaja en la informalidad, sin protección alguna.</t>
  </si>
  <si>
    <t>F37</t>
  </si>
  <si>
    <t xml:space="preserve">Desde la creación de la Coordinación Ecológica Área Metropolitana Sociedad del Estado (CEAMSE)[1] en 1976, la Ciudad de Buenos Aire no dispone los residuos en el ámbito geográfico de la ciudad.  Actualmente los residuos de la ciudad son dispuestos junto a 37 otros distritos en el relleno sanitario del Complejo Ambiental Norte III de la CEAMSE ubicado en el Municipio de San Martín en la Provincia de Buenos Aires. 
</t>
  </si>
  <si>
    <t>En Ciudad de Belice ya no existen vertederos a cielo abierto autorizados, por lo tanto no existen planes para su cierre. Cabe decir que el plan de cierre del vertedero a cielo abierto de 3 mile George Price Highway, empezado en 2008 y terminado en 2013, se caracterizó por la inclusión en el nuevo sistema de los recicladores de base que se encontraban en el sitio (hoy operan en la Estación de Transferencia de 3 mile George Price Highway) [1,2,3,4].</t>
  </si>
  <si>
    <t>En Lima no existen botaderos a cielo abierto por lo cual esta opción no le aplica. Sin embargo, en Perú, en general, no hay programas para cierres de botaderos con inclusión de recicladores[1].</t>
  </si>
  <si>
    <t xml:space="preserve">Actualmente en la Ciudad de México no existen vertederos a cielo abierto ya que los mismos son prohibidos por la Norma Mexicana Oficial 083 de 2003 emitida por SEMARNAT [1]. A nivel nacional esta norma no provee alternativas para los recicladores que se encuentren laborando en dichos lugares [1] [2]. Sumado a lo anterior, la modificación de la Norma 083 prevé la prohibición del trabajo de los recicladores informales en el frente de trabajo en el relleno sanitario y no otorga alternativas para los mismos [4].Sin embargo, en los últimos 70 años los pepenadores siempre lograron negociar la ubicación en un nuevo vertedero cuando la autoridad local le imponía desalojar un vertedero donde estaban enraizados [5]. La Unión de Pepenadores hace 15 años y el Frente Único de Pepenadores y la Asociación de Selectores a partir de 2012, se movieron desde un vertedero a una planta de selección. Sin embargo, al menos en el caso del Frente Único de Pepenadores, las condiciones del cambio no fueron consideradas favorables por los informales [5] y durante la negociación hubo resistencias  [3]. 
</t>
  </si>
  <si>
    <t>En Montevideo hay un relleno sanitario en funcionamiento. Se conocen diversos vertederos incontrolados de diversas dimensiones, en los que se trabaja para ir cerrando, pero se abren otros nuevos. [1] [2]</t>
  </si>
  <si>
    <t>El último vertedero cerrado en el cantón es el vertedero Rio Azul, cuyo cierre técnico ocurre el año 2007. En ese vertedero había gran cantidad de recicladores, pero el proceso de cierre no contempló acciones de integración de los recicladores en los sistemas de gestión de residuos municipales. No se sabe que ocurrió con esos recicladores. (69)</t>
  </si>
  <si>
    <t xml:space="preserve"> En San Pablo no existen vertederos de residuos a cielo abierto [1]. </t>
  </si>
  <si>
    <t xml:space="preserve">Según el "Reporte sobre la Gestión de Residuos Sólidos 2014 en la Región Metropolitana" (2014), en la Región Metropolitana aproximadamente el 98% de los residuos sólidos domiciliarios y afines, son eliminados en instalaciones autorizadas según la normativa nacional. De estas instalaciones cuatro son rellenos sanitarios (en los que se vierte el 98,8% de los residuos de la Región  Metropolitana) y una es un vertedero controlado que recibe un 1,2% restante. En el caso del Municipio de Santiago, los residuos son dispuestos en el Relleno Sanitarios Loma Los Colorados, que recibe el 53,1% de todos los residuos dispuesto en la Región Metropolitana (87). No existen actualmente procesos de cierre de vertederos que consideren planes de inclusión de recicladores. El año 2015 Intendencia Metropolitana y Secretaría Regional Ministerial de Medio Ambiente, lanzaron una campaña para erradicar 11 vertederos ilegales identificados en la Región Metropolitana (88). En dichos vertederos, no está acreditada la presencia de recicladores de base y no existen planes de inclusión en esta campaña (89). </t>
  </si>
  <si>
    <t>F38</t>
  </si>
  <si>
    <t xml:space="preserve">La gran mayoría de los recicladores informales de Asunción trabajan de forma individual recolectado material de las calles. Los mismos no cuentan con la infraestructura, equipamiento ni materiales necesarios para su labor. [1,2] En los últimos cinco años la municipalidad ha venido realizando el canje de caballos (utilizados para estirar los carros utilizados para reciclar) por motocarros (carros motorizados). Gracias a aportes de Itaipu Binacional y la municipalidad, los recicladores que entregan sus animales pueden acceder a un crédito para la compra de motocarros, aportando cuotas mensuales de unos 210.000 guaraníes ($38) por 12 meses. 
</t>
  </si>
  <si>
    <t xml:space="preserve">Los recicladores, si bien no de la misma manera, cuentan con baños (no en todos los casos están diferenciados), comedores, vestuarios (no en todos los casos), y reciben equipamiento (aunque a veces no en las cantidades que se requieren). El traslado desde los lugares de trabajo es financiado por el gobierno a través de la cooperativa El Amanecer de los Cartoneros en el caso de los trabajadores que viven en Villa Fiorito (Municipio de Lomas de Zamora) y Villa Caraza (Lanús), si hay niños que vienen al colegio o a guarderías también. Existen lugares para clasificar y acopiar materiales, no hay residuos peligrosos en los espacios de trabajo, y tienen acceso a la salud (obra social) y se hacen operativos de vacunación (antitetánica y gripe)[1]. </t>
  </si>
  <si>
    <t xml:space="preserve">En base a la observación directa, se evalúa que el segmento de los recicladores de base que operan en las calles sin integración en el esquema de recolección formal, no tiene herramientas de trabajo adecuadas. La mayoría de los recicladores informales operan en la calle.
En el caso de los recicladores de base que operan en las calles con integración en el esquema formal,  la municipalidad entrega solo las herramientas que corresponden a su actividad formal (playeras oficiales, bolsas, etc...); los recicladores de base suelen integrarlas con otras herramientas que compran autónomamente (rastrillos, bicicletas, etc...). 
Los recicladores que operan en la Estación de Transferencia, en cambio, son equipados con guantes, botas y otros equipamientos de protección personal por la Autoridad Nacional sobre Gestión de Residuos Sólidos - BSWAMA y de herramientas y equipamientos de trabajo por PASA Belize Ltd. (licitatoria de las operaciones de la Estación de Transferencia). </t>
  </si>
  <si>
    <t>Algunos recicladores formalizados realizan sus actividades con elementos de protección personal que son suministrados por el gobierno [1], el cual entrega uniformes y otras herramientas para incentivarlos también a la formalización [2]. Bajo la normativa las organizaciones están obligadas a suministrar elementos de protección personal a los recicladores, sin embargo ellos esto es muy costoso y por esta razón todas las organizaciones no lo tienen [2]. Para acceder al material, se transportan en  medios de transporte como triciclos no motorizados, motos, moto furgoneta que tienen mayor capacidad, y son adquiridos por las mismas organizaciones, mientras que aquellos recicladores no formalizados emplean las carretillas de tracción humana que ellos mismos conducen. Algunas organizaciones cuentan con centros de acopio donde pueden realizar la clasificación y almacenamiento del material, sin embargo, la mayoría de los recicladores no cuentan con espacios para realizar esta actividad, por lo que la llevan a cabo en el mismo punto donde obtienen el material. Un programa que lleva a cabo la municipalidad metropolitana está orientada a la aplicación de vacunas a aquellos recicladores que están vinculados con el esquema de aseo, no existen beneficios adicionales en materia de salud a los recicladores, teniendo en cuenta que el sistema de salud en Perú es gratuito para los ciudadanos. Los recicladores no tienen acceso a residuos peligrosos. [1]</t>
  </si>
  <si>
    <t xml:space="preserve">Los recicladores informales no tienen acceso a herramientas de trabajo adecuada, los barrenderos y los macheteros (voluntarios o en plantilla)  realizan las actividades sin equipos, sin capacitación y en bajas condiciones de higiene y seguridad; [1,4]. En la etapa de recolección los recicladores llevan a cabo la separación sobre los vehículos de recolección y en la vía pública [2]; no todos los barrenderos y macheteros reciben carrito para transportar los residuos, uniforme o elementos de protección personal, a menudo los elementos usados son proporcionados por ellos mismos [1], a menudo cuando desean adquirir el carrito y herramientas de barrido deben pagar por estos implementos cerca de 250 pesos [3] . También en el caso de los pepenadores, la Comisión de Derechos Humanos encontró graves defectos en términos de equipamiento. 
</t>
  </si>
  <si>
    <t xml:space="preserve">El acceso a herramientas de trabajo adecuadas depende del grupo de clasificadores:   hay que diferenciar entre  los clasificadores de las plantas de selección, los que trabajan en cooperativas y el resto de recicladores individuales. Para los dos primeros grupos cabe destacar que se dispone de duchas separadas por sexos, comedor y sala de capacitación; se dispone de elementos de protección personal (y se suelen usar). A su vez, existen lugares en los que separar y almacenar los materiales, así como se dispone de procedimientos de seguridad. 
Para los recicladores que realizan sus tareas de forma individual en la calle, que son la mayoría, no tienen acceso a dichas herramientas. [1] [2] </t>
  </si>
  <si>
    <t>La mayoría de los recicladores de base de la ciudad de Quito no tienen acceso a las herramientas de trabajo adecuadas [1][2][3]. Sin embargo, las organizaciones de recicladores de base que trabajan de forma coordinada con el municipio tienen acceso a transporte, uniforme, guantes y un sitio seguro para acopiar y clasificar el material [4][5]. En ninguno de los casos, las organizaciones de recicladores tienen acceso a servicios de salud, vacunas o seguridad social [1][2][3][4][5].</t>
  </si>
  <si>
    <t>El programa de reciclaje municipal cuenta con herramientas adecuadas para el trabajo. Este programa facilita además apoyo para que organizaciones comunitarias realicen su trabajo con equipamiento adecuado. 
Sin embargo los recicladores de base, que operan sistemas informales de reciclaje en el cantón, en general realizan su trabajo con herramientas básicas, tales como carros manuales y herramientas para cortar y enfardar: no acceden a equipamiento del municipio realizando la tarea de recuperación de residuos, sin las condiciones mínimas de seguridad.(70)</t>
  </si>
  <si>
    <t xml:space="preserve">Los recicladores de base que participan  del Programa de Reciclaje Inclusivo Municipal, cuentan con las herramientas básicas para trabajar, que aporta el programa municipal de reciclaje: un camión de 1.500 Kg de capacidad, 2 motos de carga de 400 Kg de capacidad, 'maxisacas' (bolsas de gran tamaño para acopio de materiales reciclables) (90)(91). 
Sin embargo el programa de reciclaje aun tiene una cobertura muy baja de recicladores y el nivel es aún de baja tecnificación, sobretodo en la gestión de acopio, separación y preparación para la venta.  
Fuera del programa, la gran mayoría de los recicladores que trabajan en la comuna lo hacen de manera informal, por lo que en general no cuentan con las herramientas, equipamiento, infraestructura ni procedimientos adecuados. Según el "Catastro Sociolaboral de Recicladores de la Región Metropolitana" (2015) llevado a cabo por Fundación Casa de La Paz y Movimiento de Recicladores de Chile, de los recicladores encuestados en la comuna de Santiago, un 70,3% utiliza vehículos a tracción humana (triciclos, carretones, carros de supermercado), 7,1% utiliza sólo bolsas o sacos que transportan a pie y un 11,9% utiliza camioneta o camión (92).   </t>
  </si>
  <si>
    <t>G2</t>
  </si>
  <si>
    <t>[1] Congreso de la Nación Paraguaya, "LEY Nº 3956
GESTIÓN  INTEGRAL DE LOS RESIDUOS SÓLIDOS EN LA REPÚBLICA DEL PARAGUAY" publicada el 28 de Diciembre de 2009 [http://www.bacn.gov.py/MzIwOA==&amp;ley-n-3956] 
[2] Flores, Laura Emilce. Dirección General de Salud Ambiental, Ministerio de Salud Publica y Bienestar Social. 8 de Septiembre de 2016</t>
  </si>
  <si>
    <t>[1] Ministerio del Medio Ambiente. Política Nacional de Residuos Sólidos publicada en julio de 1998.
[2] Ministerio de Ambiente, Vivienda y Desarrollo Territorial. Superintendencia de Servicios Públicos Domiciliarios. Comisión de Regulación de Agua Potable y Saneamiento Básico.  Departamento Nacional de Planeación. CONPES 3530 - Lineamientos y estrategias para fortalecer el servicio público de aseo en el marco de la gestión integral de residuos sólidos. Publicado en Junio de 2008.
[3] Departamento Nacional de Planeación, Ministerio de Ambiente y Desarrollo Sostenible, Ministerio de Vivienda, Ciudad y Territorio, Comisión de Regulación de Agua Potable y Saneamiento Básico, Departamento Nacional de Estadística.  Política Nacional para la Gestión Integral de Residuos Sólidos. BORRADOR. Publicado en agosto de 2016.
[4]  Marín, Carolina. Asesora de la dirección de desarrollo sectorial del Viceministerio de Agua y Saneamiento Básico del Ministerio de Vivienda, Ciudad y Territorio. 3 de octubre de 2016. 
[5] Ministerio de Vivienda, Ciudad y Territorio. "Decreto 596 de 2016" Publicado en abril de 2016.
[6]  Gutiérrez, Juan Carlos. Gerente de Ekored. 20 de septiembre de 2016.
[7] Comisión de Regulación de Agua Potable y Saneamiento Básico - CRA. "Resolución CRA 720 de 2015". Publicada en julio de 2015. 
[8]  Comisión de Regulación de Agua Potable y Saneamiento Básico - CRA. "Comentarios al proyecto de Resolución CRA 620 de 2014". Publicada en junio de 2014.</t>
  </si>
  <si>
    <t xml:space="preserve">[1] Honorable Congreso de la Nación Argentina. "Ley Nacional N° 25.916: Gestión de Residuos Domiciliarios" http://servicios.infoleg.gob.ar/infolegInternet/anexos/95000-99999/98327/norma.htm
[2] Consejo Federal del Medio Ambiente. "Resolución N° 92 / 2004: Presupuestos Mínimos de Protección Ambiental" http://www.cofema.gob.ar/?aplicacion=normativa&amp;IdNorma=184&amp;IdSeccion=32
[3] Secretaría de Ambiente y Desarrollo Sustentable de la Nación. 2005. "Estrategia Nacional para la Gestión de Residuos Sólidos Urbanos". http://observatoriorsu.ambiente.gob.ar/institucional/5/la-estrategia-nacional-para-la-gestion-integral-de-residuos-solidos-urbanos 
</t>
  </si>
  <si>
    <t>[1] Environmental Protection Act - Chapter 328. 
[2] Public Health Act - Chapter 40. 
[3] Solid Waste Management Authority Act - Chapter 224. 
[4] Entrevista a Lumen Cayetano - Senior Consultant of BSWAMA. 31 agosto 2016. 
[5] Returnable Containers Act (No 12 of 2009).</t>
  </si>
  <si>
    <t>[1] Presidencia del Consejo de Ministros. Ley general No. 27314 de residuos sólidos, publicada en julio de 2014. 
[2] Ministerio de Ambiente; Ministerio de Salud. Ley No. 29419  que regula la actividad de los recicladores, publicada en junio de 2010. 
[3] De la Cruz, Carolina. Coordinadora Programa de segregación en la fuente. Municipalidad Metropolitana de Lima. 5 de octubre de 2016.
[4] De la Torre, Eduardo. Coordinador Programa Basura Cero y Pro-Reciclador. Ciudad Saludable. 20 de septiembre de 2016.
[5] Paucar, Justo. Líder Reciclador. Los Tigres de las 200 millas. 5 de octubre de 2016.
[6]Huiman, Alberto. CEO Perú Waste Innovation. 20 de septiembre de 2016.
[7]Presidencia del Consejo de Ministros. Ley No. 29332 que crea el plan de incentivos a la mejora de la gestión municipal, publicada en 2009.</t>
  </si>
  <si>
    <t>[1] Senado y Cámara de Representantes de la República Oriental del Uruguay. Ley 17.849 de Uso de Envases no Retornables. 2004 https://legislativo.parlamento.gub.uy/temporales/leytemp254638.htm
[2] Ministerio de Vivienda Ordenamiento Territorial y Medio Ambiente. Decreto 260/007 de Uso de Envases no Retornables. 2007 http://www.mvotma.gub.uy/ciudadania/item/10004900-decreto-260-007-envases.html
[3] http://www.montevideo.gub.uy/servicios-y-sociedadempresas/regulacion-alimentaria/actualizacion-de-normativa/limpieza/plan-de-gestion-de-envases
[4] Noticia sobre el avance en la creación de una ley nacional de gestión de residuos. Mayo 2016 http://www.efe.com/efe/america/cono-sur/uruguay-avanza-hacia-la-creacion-de-una-ley-nacional-para-gestion-residuos/50000553-2925252#</t>
  </si>
  <si>
    <t>[1 ] AM 061 modificación del Texto Unificado de Legislación Secundaria, Medio Ambiente, Libro VI-TULAS, 2015 Art.3 Gestor de residuos y/o desechos.- Persona natural o jurídica, pública o privada, que se encuentra registrada para la gestión total o parcial de los residuos sólidos no peligrosos o desechos especiales y peligrosos, sin causar daños a la salud humana o al medio ambiente.  
[2]  Asamblea Nacional del Ecuador. ¨Informe para Primer Debate del Proyecto de Código Orgánico del Ambiente¨  publicado el 16 de julio de 2105.  [http://www.asambleanacional.gob.ec/es/multimedios-legislativos/38792-proyecto-de-codigo-organico-del]</t>
  </si>
  <si>
    <t>(1) Asamblea Legislativa de la República de Costa Rica. "Ley No 8839 para la Gestión Integral de Residuos". 2010.   [http://www.ley8839.go.cr]                                                           
(2) Ministerio de Salud. "Reglamento General a la Ley para la Gestión Integral de Residuos", publicada el 19 de marzo de 2013                                                                                                    
(3) Ministerio de Salud. "Plan Nacional para la Gestión Integral de Residuos 2016-2021". Publicado en marzo de 2016                                                                                                       
(4) Ministerio de Salud. "Estrategia Nacional de Separación, Recolección y Valorización de Residuos (ENSRV) 2016-2021", publicada en Abril de 2016.                                                            
(5) Alaniz, Álvaro y Colombina Schaeffer. 2016. “Políticas Públicas para el Reciclaje Inclusivo en 18 países de Latinoamérica.” Documento de Trabajo. Programa de Incidencia, Red Latinoamericana y El Caribe de Recicladores</t>
  </si>
  <si>
    <t xml:space="preserve">[1] Congreso Nacional. Ley 12305 de 2010 sobre la Política Nacional de Residuos Sólidos. Publicada en agosto de 2010. 
[2 ]Presidente de la República. Decreto 7405 de 2010 sobre  Inclusión Social de Recicladores. Publicado en diciembre de 2010.
[3] Asamblea Legislativa Do Estado Do Sao Paulo. Lei No. 12.300 de 16 de Março de 2006. Publicado en Marzo 16 de 2006. [http://www.al.sp.gov.br/repositorio/legislacao/lei/2006/lei-12300-16.03.2006.html]
4] Rizpah Bensen et Al. Selective waste collection in the Sao Paulo Metropolitan Region: Impacts of the National Solid Waste Policy. Publicado en 2014.
[5] Simão Pedro. Pró-Catadores SP: um avanço extraordinário na relação da Cidade com seus catadores. Publicado en 2016. [http://www.cartacapital.com.br/sustentabilidade/pro-catadores-sp-avanco-na-relacao-da-cidade-com-seus-catadores]
</t>
  </si>
  <si>
    <t>[1] Asamblea Legislativa Plurinacional "LEY DE GESTIÓN INTEGRAL DE RESIDUOS" Ley número 755 aprobada el 28 de octubre de 2015. http://www.mmaya.gob.bo/uploads/Ley_755_Gestion_Integral_Residuos.pdf 
[2] Ministerio de Medio Ambiente y Agua. "Programa plurinacional de gestión integral de residuos sólidos". Dirección general de gestión integral de residuos sólidos. 2011 http://www.mmaya.gob.bo/redcompostaje/files/biblioteca/05%20PLANIF%20NORMATIVA/01%20PNGIRS.pdf
[3] Servicio Nacional para la Sostenibilidad de los Servicios básicos (SENASBA) Amplia fuente de información sobre gestión de residuos en Santa Cruz. http://senasba.gob.bo/index.php?option=com_content&amp;view=article&amp;id=199:gestion-integral-de-residuos-solidos
[4]* Gutiérrez, Vladimir. Director de Gestión de Residuos Sólidos, Ministerio de Medio Ambiente y Agua (MMAyA) 07 de octubre de 2016
 Al no estar aprobado el reglamento no existe un enlace a su versión electrónica oficial. Se espera que lo esté en los próximos días.</t>
  </si>
  <si>
    <t>G3</t>
  </si>
  <si>
    <t>[1] Junta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
[2] Flores, Laura Emilce. Dirección General de Salud Ambiental, Ministerio de Salud Publica y Bienestar Social. 8 de Septiembre de 2016
[3] Rotela, Eduardo. Director Fundación Avina. 6 de Septiembre de 2016</t>
  </si>
  <si>
    <t>[1]  Ministerio de Vivienda, Ciudad y Territorio. Ministerio de Ambiente y Desarrollo Sostenible. "Resolución 754 de 2014" publicada en noviembre de 2014.
[2] Marín, Carolina. Asesora de la dirección de desarrollo sectorial del Viceministerio de Agua y Saneamiento Básico del Ministerio de Vivienda, Ciudad y Territorio. 3 de octubre de 2016. 
[3] González, Carolina. Asesora de la Subdirección de Aprovechamiento de la Unidad Administrativa Especial de Servicios Públicos  UAESP. 20 de septiembre de 2016. 
[4] Unidad Administrativa Especial de Servicios Públicos - UAESP. " Plan de Gestión Integral de Residuos Sólidos - PGIRS". Publicado en septiembre de 2016. [http://www.uaesp.gov.co/images/1Actualizacion%20PGIRS%20VF%20-%20300916.pdf]
[5]  Ruiz, Silvio. Líder de la Asociación de Recicladores de Bogotá. 20 de septiembre de 2016.</t>
  </si>
  <si>
    <t xml:space="preserve">[1] Legislatura de la Ciudad Autónoma de Buenos Aires. "Ley N° 992 / 02:  http://www.buenosaires.gob.ar/areas/leg_tecnica/sin/normapop09.php?id=31157&amp;qu=c&amp;ft=0&amp;cp=&amp;rl=1&amp;rf=0&amp;im=&amp;ui=0&amp;printi=&amp;pelikan=1&amp;sezion=796791&amp;primera=0&amp;mot_toda=&amp;mot_frase=&amp;mot_alguna= 
[2] Municipalidad de la Ciudad de Buenos Aires. "Ordenanza N° 33.581 / 77 http://www.buenosaires.gob.ar/areas/leg_tecnica/sin/normapop09.php?id=30267&amp;qu=c&amp;ft=0&amp;cp=&amp;rl=1&amp;rf=1&amp;im=&amp;ui=0&amp;printi=&amp;pelikan=1&amp;sezion=1094565&amp;primera=0&amp;mot_toda=&amp;mot_frase=&amp;mot_alguna=
[3] Municipalidad de la Ciudad de Buenos Aires. "Ordenanza N° 39.874 / 77 http://www.buenosaires.gob.ar/areas/leg_tecnica/sin/normapop09.php?id=29123&amp;qu=c&amp;ft=0&amp;cp=&amp;rl=1&amp;rf=1&amp;im=&amp;ui=0&amp;pelikan=1&amp;sezion=2860089&amp;primera=0&amp;mot_toda=&amp;mot_frase=&amp;mot_alguna=
[4] Legislatura de la Ciudad Autónoma de Buenos Aires. "Ley N° 1854 / 05: Gestión Integral de Residuos Sólidos Urbanos". http://www.buenosaires.gob.ar/areas/leg_tecnica/sin/normapop09.php?id=81508&amp;qu=c&amp;ft=0&amp;cp&amp;rl=1&amp;rf&amp;im&amp;ui=0&amp;pelikan=1&amp;sezion=1094340&amp;primera=0&amp;mot_toda&amp;mot_frase&amp;mot_alguna  
[5]  Gobierno de la Ciudad Autónoma de Buenos Aires. "Boletin Oficial N° 3988: Resolución N.º 978 / MAYEPGC / 12" publicado el 5 de septiembre de 2012. 
[http://boletinoficial.buenosaires.gob.ar/documentos/boletines/2012/09/20120905.pdf]
[6] Buenos Aires Ciudad. Ministerio de Ambiente y Espacio Público. "Concurso Público para la contratación del Servicio Público de Higiene Urbana - Fracción Secos" [http://www.buenosaires.gob.ar/areas/med_ambiente/archivos/secos_final.pdf]
[7] Gobierno de la Ciudad Autónoma de Buenos Aires. "Boletin Oficial N° 3483: Decreto N.º 636 /10" publicado el 17 de agosto de 2010. 
[http://boletinoficial.buenosaires.gob.ar/documentos/boletines/2010/08/20100817].pdf]
 </t>
  </si>
  <si>
    <t>[1] Belize City Council Act - Chapter 85. 
[2] Entrevista a Peter Cohen, consultor; 8 septiembre 2016.</t>
  </si>
  <si>
    <t>1] Concejo Metropolitano de Lima. Ordenanza No. 1854 para promover, impulsar y regular el reciclaje de los residuos sólidos en la provincia de Lima, publicada en diciembre de 2014.
[2] De la Cruz, Carolina. Coordinadora Programa de segregación en la fuente. Municipalidad Metropolitana de Lima. 5 de octubre de 2016.
[4] Municipalidad Metropolitana de Lima. Plan Integral de Gestión Ambiental de Residuos 2015 - 2025. Publicado en 2014. 
[5] De la Torre, Eduardo. Coordinador Programa Basura Cero y Pro-Reciclador. Ciudad Saludable. 20 de septiembre de 2016
[6] Paucar, Justo. Líder Reciclador. Los Tigres de las 200 millas. 5 de octubre de 2016.</t>
  </si>
  <si>
    <t>[1] Intendencia Municipal de Montevideo. Presentación del Plan Director de Limpieza y los componentes de socialización http://www.montevideo.gub.uy/servicios-y-sociedad/limpieza/plan-director
[2] Intendencia Municipal de Montevideo. Plan Director de Limpieza. 2015 (Revisión y actualización del Plan de 2011) http://www.montevideo.gub.uy/sites/default/files/Propuesta%20para%20PDL%202015%28WEB%29_0.pdf
[3] Intendencia Municipal de Montevideo. Recolección, transporte y disposición final de residuos no domiciliarios. Diciembre  2012 http://www.montevideo.gub.uy/asl/sistemas/Gestar/resoluci.nsf/WEB/Numero/5383-12
[4] Beledo, Leticia. Asesora de la División Limpieza de la Intendencia de Montevideo. 26 de octubre de 2016</t>
  </si>
  <si>
    <t xml:space="preserve">[1] Ordenanza Metropolitana Nº 332, publicado el 12 de agosto de 2010.   [http://www.quitoambiente.gob.ec/ambiente/images/Secretaria_Ambiente/Documentos/calidad_ambiental/normativas/ordm_332_sis_gest_int.pdf.] 
[2] Plan Maestro de Gestión Integral de Residuos del Distrito Metropolitano de Quito, publicado en 2016  .  [http://www.quitoambiente.gob.ec/ambiente/index.php/politicas-y-planeacion-ambiental/residuos-solidos/plan-maestro-gestion-integral]  </t>
  </si>
  <si>
    <t>(6) Asamblea Legislativa de la República de Costa Rica. "Ley No 8839 para la Gestión Integral de Residuos". 2010.   [http://www.ley8839.go.cr]                                                           
(7) Municipalidad de San José. "Plan Municipal de Gestión Integral de Residuos Sólidos del Cantón de San José". Publicado en diciembre de 2011    [https://www.msj.go.cr/informacion_ciudadana/ambiente/SiteAssets/docs/PMGIRS_MSJ_2012%20incluido%20PDM%20modificado%20e%20indicadores%209abril2013.pdf]</t>
  </si>
  <si>
    <t>[1] ASAMBLEAIA LEGISLATIVA DO ESTADO DE SAO PAULO. LEI NO. 12.300 DE 16 DE MARÇO DE 2006. Publicado en Marzo 16 de 2006. [http://www.al.sp.gov.br/repositorio/legislacao/lei/2006/lei-12300-16.03.2006.html] 
[2]Congreso Nacional. Ley 12305 de 2010 sobre la Política Nacional de Residuos Sólidos. Publicada en agosto de 2010. 
[2]  Prefeitura Municipal Da Cidade de Sao Paulo - Secretaria de Servicios. PGIRS 2014. 
[3] Gomes Prol Otero, Gabriela. Coordinadora técnica. Abrelpe. 13 de octubre de 2016
[4] Perfeitura de Sao Paulo. Central manual de triagem processa 110 toneladas de recicláveis por mês. Publicado en 2016.
[5]Prefeitura de Sao Paulo. Coleta seletiva chegará a todos os distritos de São Paulo. Publicado en 2016.
[6] Carletti, Camile. Coordinadora de proyectos sociaambientales. Reciclazaro. 25 octubre de 2016.</t>
  </si>
  <si>
    <t>(5) Ministerio del Interior. "Ley Nº 18.695 Orgánica Constitucional de Municipalidades", publicada el 31 de marzo de 1998.   [https://www.leychile.cl/Navegar?idNorma=30077&amp;idParte=&amp;idVersion=]   y                  [https://www.leychile.cl/Navegar?idNorma=197482&amp;idParte=&amp;idVersion=]                                                                                              
(6) Municipalidad de Santiago. "Ordenanza Nº 77 Aseo en la Comuna", del 23 de Julio de 1998 [http://www.munistgo.info/aseo/wp-content/uploads/2015/09/orden_771.pdf]                                  
(7) Municipalidad de Santiago, Plan de Desarrollo Comunal 2014-2016, 2014 [http://www.observatoriosantiago.cl/plan-de-desarrollo-comunal-pladeco/                                                                            
(8) Municipalidad de Santiago, Subdirección Medio Ambiente. "Política Ambiental Municipal" abril del 2013.       [https://issuu.com/fundacionbasura/docs/pol__tica_ambiental_municipal_por_u]</t>
  </si>
  <si>
    <t>G4</t>
  </si>
  <si>
    <t>[1] Entrevista a Dion Leslie - Sanitation Councelor of Belize City; 1 septiembre 2016</t>
  </si>
  <si>
    <t>[1] Paucar, Justo. Líder Reciclador. Los Tigres de las 200 millas. 5 de octubre de 2016.
[2] De la Torre, Eduardo. Coordinador Programa Basura Cero y Pro-Reciclador. Ciudad Saludable. 20 de septiembre de 2016.
[3] Huiman, Alberto. CEO Perú Waste Innovation. 20 de septiembre de 2016.
[4]De la Cruz, Carolina. Coordinadora Programa de segregación en la fuente. Municipalidad Metropolitana de Lima. 5 de octubre de 2016.</t>
  </si>
  <si>
    <t xml:space="preserve">[1] Secretaria del Medio Ambiente. Programa de gestión integral de los residuos sólidos para el Distrito Federal (2009-2014), publicado el 04 de noviembre de 2009.
[2] Comisión de Derechos Humanos del Distrito Federal. Recomendación 7/2016, publicado en junio de 2016. [http://cdhdfbeta.cdhdf.org.mx/2016/07/recomendacion-72016/]
[3] Secretaria de Medio Ambiente. Plan de Gestión Integral de Residuos Sólidos 2016-2010, publicado en 2016.
</t>
  </si>
  <si>
    <t>[1] Arias, Verónica. Secretaria de Ambiente de la Secretaría de Ambiente. 10 de octubre de 2016.  
[2] Ordenanza Metropolitana Nº 332 publicada el 12 de agosto de 2010. [http://www.quitoambiente.gob.ec/ambiente/images/Secretaria_Ambiente/Documentos/calidad_ambiental/normativas/ordm_332_sis_gest_int.pdf.] 
[3] Programa de Recolección Diferenciada de la Empresa Pública Metropolitana de Aseo (EMASEO). [http://www.emaseo.gob.ec/gestion-ambiental/reciclaje/],  Información de Centros de Educación y Gestión Ambiental de la Empresa Pública Metropolitana de Gestión Integral de Residuos Sólidos (EMGIRS). [http://www.emgirs.gob.ec/index.php/noticiasep/260-centros-de-educacion-y-gestion-ambiental-promueven-el-reciclaje]  
[4] Plan Maestro de Gestión Integral de Residuos del Distrito Metropolitano de Quito 2016-2015 publicado en el 2016. [http://www.quitoambiente.gob.ec/ambiente/index.php/politicas-y-planeacion-ambiental/residuos-solidos/plan-maestro-gestion-integral] 
[5] Guanoluisa, Laura. Presidenta de Red Nacional de Recicladores del Ecuador (RENAREC). 22 de septiembre de 2016.</t>
  </si>
  <si>
    <t xml:space="preserve">(8) Ministerio de Salud. "Estrategia Nacional de Separación, Recolección y Valorización de Residuos (ENSRV) 2016-2021", publicada en Abril de 2016.   
(9) Ordeñana, Emperatriz. Directora Departamento Servicios Ambientales. 12 de octubre de 2016                                              
(10) Valerín, Álvaro. Encargado Centro de Recuperación de Materiales Valorizable, Municipio San José. 14 de octubre de 2016.             </t>
  </si>
  <si>
    <t>[1] Puesta en marcha de la planta de reciclaje de Santa Cruz. Nota de prensa municipal del 3 de mayo de 2016 http://www.gmsantacruz.gob.bo/index.php/noticias/aseo-emacruz/item/1099-gestion-integral-del-aseo-urbano-pone-en-marcha-la-primera-planta-de-reciclaje-del-pais
[2] Entrega de diplomas a los recicladores (llamados vecinos ecológicos) de la planta de selección del vertedero municipal. Nota de prensa municipal del 17 de mayo de 2016 http://www.gmsantacruz.gob.bo/index.php/noticias/aseo-emacruz/item/1164-gobierno-municipal-entrega-certificados-a-vecinos-ecologicos</t>
  </si>
  <si>
    <t xml:space="preserve">(9) Entrevista con Exequiel Estay, Movimiento Nacional de Recicladores de Chile (MNRCH). 23 de Septiembre de 2016.
(10) Friz, José. 2011. "Iniciativas Municipales de Reciclaje de Residuos."Documento de trabajo Área Municipal Nº1". Centro de Políticas Púbicas Pontificia Universidad Católica de Chile  [http://puentesuc.cl/wp-content/uploads/2012/04/Iniciativas-de-reciclaje-municipal-de-residuos-solidos-J.M-Friz.pdf]                                                                                    
(11) Municipalidad de Santiago. "Plan de Desarrollo Comunal 2014-2020"                    [http://www.observatoriosantiago.cl/plan-de-desarrollo-comunal-pladeco/]                                                                                                
(12)Municipalidad de Santiago, Subdirección Medio Ambiente. "Política Ambiental Municipal" abril del 2013.       [https://issuu.com/fundacionbasura/docs/pol__tica_ambiental_municipal_por_u]                                                                         
(13) Entrevista con Donatella Fucaro, Subdirección de Medio Ambiente, Municipalidad de Santiago. 22 de Septiembre de 2016.
(14) Entrevista con Mayling Yuen, Fundación Casa de La Paz. 27 de Septiembre de 2016 .       
(15) Entrevista a Daniela Núñez, Recicladora de base, Programa de Reciclaje Inclusivo Municipal. 4 de Octubre de 2016    </t>
  </si>
  <si>
    <t>G5</t>
  </si>
  <si>
    <t>[1] Municipalidad de Asunción. 2016. [http://www.asuncion.gov.py/page/1?s=presupuesto]
[2] Flores, Laura Emilce. Dirección General de Salud Ambiental, Ministerio de Salud Publica y Bienestar Social. 8 de Septiembre de 2016
[3] Junta Municipal de Asuncion. 2015. ORDENANZA GENERAL DE PRESUPUESTO PARA EL AÑO 2.016.- ORD. Nº 600/15 [http://190.52.177.238/add/consulta2/resumen_ord.asp?numero=600&amp;anio=2015]
[4]Lopez, Oscar. 2015. La mitad del dinero de 2016 irá a pago de funcionarios. ABC Color [http://www.abc.com.py/edicion-impresa/politica/la-mitad-del-dinero-de-2016-ira-a-pago-de-funcionarios-1427705.html]</t>
  </si>
  <si>
    <t>[1] Entrevista a Dion Leslie - Sanitation Councelor of Belize City; 1 septiembre 2016. 
[2] Entrevista a Peter Cohen, consultor; 8 septiembre 2016.
[3] Belize City Council, Financial Reports [http://www.belizecitycouncil.org/public-meetings]</t>
  </si>
  <si>
    <t>[1] De la Cruz, Carolina. Coordinadora Programa de segregación en la fuente. Municipalidad Metropolitana de Lima. 5 de octubre de 2016.</t>
  </si>
  <si>
    <t xml:space="preserve">[1] Secretaría del medio ambiente del Distrito Federal. Tercer informe de Gobierno, publicado en 2015. [http://data.sedema.cdmx.gob.mx/sedema/images/archivos/noticias/tercer-informe-sedema/tercer-informe-sedema.pdf]  
[2]Secretaria de Medio Ambiente. Plan de Gestión Integral de Residuos Sólidos 2016-2010, publicado en 2016.[http://www.sedema.cdmx.gob.mx/storage/app/media/programas/residuos-solidos/pgirs.pdf]
[3] Ortiz, Ricardo. Subdirector de Análisis y Proyectos Especiales de Semarnat. 26 de Agosto de 2016.
[4] Secretaría de Medio Ambiente y Recursos Naturales. "Lineamientos para el otorgamiento de apoyos de la SEMARNAT para proyectos de residuos sólidos urbanos y de manejo especial", publicado en 2013.                                                                                                                                                                                                                            
[5] Entrevista a Trabajador de Limpia con más de 40 años de experiencia en el sector; 23 de agosto 2016. Entrevistas a Pablo Tellez, líder del Frente Único de Pepenadores (8 de septiembre 2016) y Cuauhtemoc Gutierrez, responsable comunicación de la Unión de Pepenadores del D.F. Rafael Gutierrez Moreno (9 de septiembre de 2016).
</t>
  </si>
  <si>
    <t>[1] Secretaría Genera de Planificación del Distrito Metropolitano de Quito. [http://gobiernoabierto.quito.gob.ec/?page_id=990] 
[2] Arias, Verónica. Secretaria de Ambiente de la Secretaría de Ambiente. 10 de octubre de 2016. 
[3] Peña, Cecilia. Directora de Desarrollo Empresarial de EMASEO . 3 de octubre de 2016.  
[4] Riera, Fernando. Gerente de EMGIRS. 28 de septiembre de 2016. 
[5] Jácome, Evelyn (23 de septiembre 2016) "Tres proyectos de reciclaje en Quito están en marcha" El Comercio, pp:A2</t>
  </si>
  <si>
    <t xml:space="preserve">(11) Ordeñana, Emperatriz. Directora Departamento Servicios Ambientales. 12 de octubre de 2016                                              
(12) Valerín, Álvaro. Encargado Centro de Recuperación de Materiales Valorizable, Municipio San José. 14 de octubre de 2016.                                                                      </t>
  </si>
  <si>
    <t>[1] Congreso Nacional. Ley 12305 de 2010 sobre la Política Nacional de Residuos Sólidos. Publicada en agosto de 2010.
[2] Presidente de la República. Ley 12465 de 2011 sobre Ley de Presupuesto de 2012. Publicada en  agosto de 2011. 
[3] Prefeitura Municipal Da Cidade de Sao Paulo - Secretaria de Servicios. PGIRS 2014
[4] Perfeitura de Sao Paulo. Central manual de triagem processa 110 toneladas de recicláveis por mês. Publicado en 2016.
[5] Simão Pedro. Pró-Catadores SP: um avanço extraordinário na relação da Cidade com seus catadores. Publicado en 2016. [http://www.cartacapital.com.br/sustentabilidade/pro-catadores-sp-avanco-na-relacao-da-cidade-com-seus-catadores]</t>
  </si>
  <si>
    <t xml:space="preserve">(16) Entrevista con Donatella Fucaro, Subdirección de Medio Ambiente, Municipalidad de Santiago. 22 de Septiembre de 2016.
(17) Municipalidad de Santiago, Subdirección Medio Ambiente. "Política Ambiental Municipal" abril del 2013.       [https://issuu.com/fundacionbasura/docs/pol__tica_ambiental_municipal_por_u]   
(18) Entrevista a Daniela Núñez, Recicladora de base, Programa de Reciclaje Inclusivo Municipal. 4 de Octubre de 2016                                                                                                  
(19) Entrevista Mauricio Mery, Programa de Reciclaje Municipal Santiago,  4 de Octubre de 2016. 
(20) Entrevista con Mayling Yuen, Fundación Casa de La Paz. 27 de Septiembre de 2016 .                                                                   </t>
  </si>
  <si>
    <t>G6</t>
  </si>
  <si>
    <t>[1] Junta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t>
  </si>
  <si>
    <t>[1] Ministerio de Vivienda, Ciudad y Territorio. "Decreto 596 de 2016" Publicado en abril de 2016.</t>
  </si>
  <si>
    <t>[1] Entrevista a Lumen Cayetano - Senior Consultant of BSWAMA. 31 agosto 2016 . 
[2] Entrevista a Dion Leslie - Sanitation Councelor of Belize City; 1 septiembre 2016</t>
  </si>
  <si>
    <t xml:space="preserve">[1]  Ministerio de Ambiente; Ministerio de Salud. Ley No. 29419  que regula la actividad de los recicladores, publicada en junio de 2010
[2] Concejo Metropolitano de Lima. Ordenanza No. 1854 para promover, impulsar y regular el reciclaje de los residuos sólidos en la provincia de Lima, publicada en diciembre de 2014.
[3]Huiman, Alberto. CEO Perú Waste Innovation. 20 de septiembre de 2016.
</t>
  </si>
  <si>
    <t>[1]  Honorable Asamblea Legislativa del Distrito Federal II Legislatura. Ley de Residuos Sólidos del Distrito Federal, publicada el 18 de noviembre de 2015. [www.aldf.gob.mx/archivo-2cdc95f688b0f9cdc82b670897acdd.pdf]
[2] Secretaria del Medio Ambiente y Recursos Naturales. Proyecto de Modificación de la Norma Oficial Mexicana 083 de 2003, Especificaciones de protección ambiental para la selección del sitio, diseño, construcción, operación, monitoreo, clausura y obras complementarias de un sitio de disposición final de residuos sólidos urbanos y de manejo especial, publicada el 04 de agosto de 2016.
[3] Entrevista a trabajador de limpia con mas de 40 años de experiencia; entrevista a Víctor Hugo Acosta, Subdirector de Limpia de la Delegación Miguel Hidalgo
[4] JICA, 1999, Estudio sobre el manejo de los residuos sólidos para la Ciudad de México
Agencia de Cooperación Internacional del Japón, Gobierno del Distrito Federal. México, D.F.; Entrevista a trabajador de limpia con mas de 40 años de experiencia.                                                                                      
[5] Espinoza, Tania. Coordinadora para Latinoamérica del Programa de Leyes de WIEGO y Consejera de la Comisión de Derechos Humanos de la Ciudad de México. 08 de agosto de 2016.                                                                                                                                                                                                                                                                       
[6] Luppi, Pietro. Ciudad de México: El funcionamiento informal del servicio de la recolección y separación de la fracción orgánica. 2013
[7] Fernández, Jorge. Director de la Asociación Mexicana de Empresas Ambientales. 16 de Agosto de 2016.
[8] Catálogo Único de Trámites y Servicios. Servicio de limpia. Disponible en [http://www.tramitesyservicios.df.gob.mx/wb/TyS/servicio_de_limpia]</t>
  </si>
  <si>
    <t>[1] Unión de Clasificadores de Residuos Urbanos Sólidos (UCRUS - PIT-CNT) Nota de prensa del llamado al 3er encuentro de clasificadores de Uruguay. Abril 2016 
http://ucrus-pit-cnt.weebly.com/comunicados.html
[2] Soutera, Federico. Dirección General de Medio Ambiente (DINAMA) Ministerio de Vivienda, Ordenamiento Territorial y Medio Ambiente. 26 de octubre de 2016</t>
  </si>
  <si>
    <t>[1] Asamblea Nacional del Ecuador. “Informe para Primer Debate del Proyecto de Código Orgánico del Ambiente” publicado el 16 de julio de 2105. [http://www.asambleanacional.gob.ec/es/multimedios-legislativos/38792-proyecto-de-codigo-organico-del], 
Ordenanza Metropolitana Nº 332, publicado el 12 de agosto de 2010.   [http://www.quitoambiente.gob.ec/ambiente/images/Secretaria_Ambiente/Documentos/calidad_ambiental/normativas/ordm_332_sis_gest_int.pdf.], 
Plan Maestro de Gestión Integral de Residuos del Distrito Metropolitano de Quito, publicado en 2016. [http://www.quitoambiente.gob.ec/ambiente/index.php/politicas-y-planeacion-ambiental/residuos-solidos/plan-maestro-gestion-integral] 
[2] Iniciativa Regional para el Reciclaje Inclusivo. 2015. Reciclaje Inclusivo y Recicladores de Base en el Ecuador. [http://reciclajeinclusivo.org/wp-content/uploads/2016/04/Reciclaje-Inlcusivo-y-Recicladores-de-base-en-EC.pdf] 
[3] Superintendencia de la Economía Popular y Solidaria. 2016. "11 Agrupaciones de Recicladores de Ecuador están legalizadas". [http://www.seps.gob.ec/noticia-medio?11-agrupaciones-de-recicladores-de-ecuador-ya-estan-legalizadas]</t>
  </si>
  <si>
    <t>(13) Ministerio de Salud. "Estrategia Nacional de Separación, Recolección y Valorización de Residuos (ENSRV) 2016-2021", publicada en Abril de 2016.   
(14) Instituto Nacional de Aprendizaje. [http://infoweb.ina.ac.cr/cursos/ConsultasINA.aspx?view=4]
(15) Ministerio del Trabajo. Lista de Salarios Primer Semestre 2016" diciembre 2015. [http://www.mtss.go.cr/temas-laborales/salarios/Lista_salarios-I-Semestre_2016.pdf]</t>
  </si>
  <si>
    <t>[1]Ministerio do Trabalho o Emprego. Classi cação
Brasileira de Ocupações. Publicado en 2010</t>
  </si>
  <si>
    <t>[1] Asamblea Legislativa Plurinacional de Bolivia. 2011. "Anteproyecto de Ley de Reciclador/Recicladora" http://globalrec.org/wp-content/uploads/2014/03/Ley-del-reciclador-Recicladora.-Bolivia-2011.pdf
[2] Fundación PAP. 2012. "Ley del Reciclador - Recicladora fue aprobada en detalle por Diputados",28 de noviembre http://www.pap-scz.org/index.php?c=&amp;articulo=Ley-del-Reciclador---Recicladora-fue-aprobada-en-detalle-por-Diputados&amp;cat=355&amp;pla=3&amp;id_articulo=17
[3] Tamayo, Neida. Presidenta y Rivero, Karina Secretaria de la asociación "Red de Recolectores Santa Cruz Santa Cruz de Santa Cruz". 7 y 8 de octubre de 2016
[4] Ministerio de Medio Ambiente y Agua. "DIagnóstico de la gestión de residuos en el Departamento de Santa Cruz" 2011 http://senasba.gob.bo/media/imagen/art14ago1410.pdf</t>
  </si>
  <si>
    <t xml:space="preserve">(21) Ministerio de Medio Ambiente. "Ley 20.920 Marco para la Gestión de Residuos, la Responsabilidad Extendida del Productor y Fomento al Reciclaje". Publicada el 1 de Julio de 2016    [http://portal.mma.gob.cl/wp-content/uploads/2015/06/Ley-REP-Ley-No20920.pdf]
(22) Ministerio del Medio Ambiente. "Política de Inclusión de Recicladores 2016-2020", publicado el 8 de agosto de 2016.    [http://portal.mma.gob.cl/wpcontent/uploads/2015/03/Acuerdo-No11-Politica-Inclusion-Recicladores-de-Base.pdf] 
(23) Municipalidad de Santiago, Subdirección Medio Ambiente. "Política Ambiental Municipal" abril del 2013. [https://issuu.com/fundacionbasura/docs/pol__tica_ambiental_municipal_por_u]  
(24) Entrevista con Donatella Fucaro, Subdirección de Medio Ambiente, Municipalidad de Santiago. 22 de Septiembre de 2016.   
(25) Entrevista con Mayling Yuen, Fundación Casa de La Paz. 27 de Septiembre de 2016.
(26) Entrevista a Daniela Núñez, Recicladora de base, Programa de Reciclaje Inclusivo Municipal. 4 de Octubre de 2016   </t>
  </si>
  <si>
    <t>G7</t>
  </si>
  <si>
    <t xml:space="preserve">[1] Corte Constitucional. "Auto 275 de 2011". Publicado en diciembre de 2011. 
[2] Ministerio de Vivienda, Ciudad y Territorio. "Decreto 596 de 2016" Publicado en abril de 2016.
[3] Marín, Carolina. Asesora de la dirección de desarrollo sectorial del Viceministerio de Agua y Saneamiento Básico del Ministerio de Vivienda, Ciudad y Territorio. 3 de octubre de 2016. </t>
  </si>
  <si>
    <t>[1] Entrevista a Dion Leslie - Sanitation Councelor of Belize City; 1 septiembre 2016.</t>
  </si>
  <si>
    <t xml:space="preserve">[1] Honorable Asamblea Legislativa del Distrito Federal II Legislatura. Ley de Residuos Sólidos del Distrito Federal, publicada el 18 de noviembre de 2015. [www.aldf.gob.mx/archivo-2cdc95f688b0f9cdc82b670897acdd.pdf]
[2] Secretaría del Medio Ambiente. Aviso por el cual se dan a conocer los lineamientos generales y mecanismos aplicables al procedimiento de registro y autorización de los establecimientos mercantiles y de servicios relacionados con la recolección, manejo transporte, tratamiento, reutilización, reciclaje y disposición final de los residuos sólidos de la competencia local., publicado el 8 de julio de 2015. [http://centro.paot.org.mx/centro/normas_a/2015/GODF_08_07_2015.pdf]
[3]  Secretaría del Medio Ambiente. Norma ambiental para el distrito federal NADF-025-AMBT-2013, que establece los criterios y especificaciones técnicas bajo los cuales se deberá realizar la separación, clasificación, recolección selectiva y almacenamiento de los residuos del Distrito Federal.
</t>
  </si>
  <si>
    <t>[1] Funcionamiento del sistema de plantas de clasificación de Montevideo.  http://www.montevideo.gub.uy/servicios-y-sociedadempresas/regulacion-alimentaria/actualizacion-de-normativa/limpieza/plan-de-gestion-de-envases
[2] Secretaría General de la Intendencia Municipal de Montevideo. Resolución 2528/14. 2014 http://www.montevideo.gub.uy/asl/sistemas/gestar/resoluci.nsf/9c58528e7d7b0c24832579430045924a/b79e2e696bfd2ae183257d1700637538?OpenDocument
[3] Noticia prohibición de acceso de los recicladores al centro de la ciudad. 2014. http://www.elpais.com.uy/informacion/ciudad-vieja-prohibida-hurgadores.html
[4] Soria, Sergio. Integrante de la Comisión Directiva de la Cooperativa Unión de Aglomerado de Polietileno (UCAP) 25 de octubre de 2016</t>
  </si>
  <si>
    <t>[1] Ordenanza Metropolitana Nº 332, publicado el 12 de agosto de 2010. [http://www.quitoambiente.gob.ec/ambiente/images/Secretaria_Ambiente/Documentos/calidad_ambiental/normativas/ordm_332_sis_gest_int.pdf.] 
[2] Peña, Cecilia. Directora de Desarrollo Empresarial de EMASEO. 3 de octubre de 2016. 
[3] Riera, Fernando. Gerente de EMGIRS. 28 de septiembre de 2016.</t>
  </si>
  <si>
    <t xml:space="preserve">(16) Rudin, Victoria, Susy Lobos. ACEPESA. 27 septiembre de 2016                                                                                                                                                 
(17) Valerín, Álvaro. Encargado Centro de Recuperación de Materiales Valorizable, Municipio San José. 14 de octubre de 2016.                                                                                                     
 </t>
  </si>
  <si>
    <t xml:space="preserve">[1] Aparicio, Vidal. Presidente de la Fundación Participación Ciudadana  Alivio de la Pobreza (FPAP)  05 de octubre de 2016
[2] AVINA et al. 2014. "Gestión de residuos sólidos urbanos con inclusión de recicladores en Bolivia. Su vinculación con el sector público".
http://pasocierto.com/assets/dd8-bo_recolectores_servicio-p%C3%BAblico_bolivia.pdf
</t>
  </si>
  <si>
    <t xml:space="preserve">(27) Municipalidad de Santiago, Subdirección Medio Ambiente. "Política Ambiental Municipal" abril del 2013.       [https://issuu.com/fundacionbasura/docs/pol__tica_ambiental_municipal_por_u] 
(28) Entrevista con Donatella Fucaro, Subdirección de Medio Ambiente, Municipalidad de Santiago. 22 de Septiembre de 2016.    
(29) Entrevista con Mayling Yuen, Fundación Casa de La Paz. 27 de Septiembre de 2016.
(30) Entrevista con Exequiel Estay, Movimiento Nacional de Recicladores de Chile (MNRCH). 23 de Septiembre de 2016.   </t>
  </si>
  <si>
    <t>G8</t>
  </si>
  <si>
    <t>[1] Entrevista a Dion Leslie - Sanitation Councelor of Belize City; 1 septiembre 2016. 
[2] Entrevista a Lumen Cayetano - Senior Consultant of BSWAMA. 31 agosto 2016. 
[3] Entrevista a Peter Cohen, consultor, 8 septiembre 2016. 
[4] Entrevista a Reynaldo Hernandez, representante de PASA BELIZE Ltd; 30 agosto 2016.</t>
  </si>
  <si>
    <t>[1] Ministerio del Medio Ambiente. Decreto supremo 005 de 2010. Publicado en noviembre de 2010.
[2]De la Cruz, Carolina. Coordinadora Programa de segregación en la fuente. Municipalidad Metropolitana de Lima. 5 de octubre de 2016.
[3] Paucar, Justo. Líder Reciclador. Los Tigres de las 200 millas. 5 de octubre de 2016 
[4] Innovation and Technology for Development Center. Negocios Inclusivos a través del reciclaje. Sin fecha específica.</t>
  </si>
  <si>
    <t>[1] Nota de prensa de la Intendencia Municipal de Montevideo acerca de la presentación del informe sobre los clasificadores de Montevideo. Mayo 2013 http://www.montevideo.com.uy/contenido/Hay-3188-clasificadores-en-Montevideo-200891?plantilla=1149
[2] Beledo, Leticia. Asesora de la División Limpieza de la Intendencia de Montevideo. 26 de octubre de 2016</t>
  </si>
  <si>
    <t>[1] Arias, Verónica. Secretaria de Ambiente de la Secretaría de Ambiente. 10 de octubre de 2016. 
[2] Secretaría de Ambiente. 2014. "Informe Final: Censo a Gestores Ambientales de Menor Escala en la Ciudad de Quito". 
[3] Iniciativa Regional para el Reciclaje Inclusivo. 2015. Reciclaje Inclusivo y Recicladores de Base en el Ecuador. [http://reciclajeinclusivo.org/wp-content/uploads/2016/04/Reciclaje-Inlcusivo-y-Recicladores-de-base-en-EC.pdf]</t>
  </si>
  <si>
    <t>(18) Programa de Competitividad y Medio Ambiente (CYMA). "Plan Municipal de Gestión Integral de Residuos Sólidos". 2007.[http://ley8839.go.cr/blog/seleccion-documentos/presol-plan-de-accion/]                                                                                                                                                                                                                   
(19) Valerín, Álvaro. Encargado Centro de Recuperación de Materiales Valorizable, Municipio San José. 14 de octubre de 2016.                                                                                                       
(20) Ordeñana, Emperatriz. Directora Departamento Servicios Ambientales. 12 de octubre de 2016  
(21) Asociación Centroamericana para la Economía, Salud y Ambiente (ACEPESA) y Fundación Aliarse. 2013. "Inclusión Económica y Social de los Recicladores de Liberia". Documento de Trabajo .</t>
  </si>
  <si>
    <t>[1] Amorin, Davi. Representante de comunicaciones. Movimiento Nacional dos Catadores de Materiais Reciclaveis. 13 de octubre de 2016. 
[2] Movimento Nacional dos Catadores de Materiais Recicláveis. Mulheres são maioria entre Catadores de Materiais Recicláveis. Publicado en 2013.
[3]Instituto de Pesquisa Econômica Aplicada.Situação Social das Catadoras e dos Catadores de Material Reciclável e Reutilizável. Publicado en 2013.</t>
  </si>
  <si>
    <t xml:space="preserve">(31) Entrevista con Exequiel Estay, Movimiento Nacional de Recicladores de Chile (MNRCH). 23 de Septiembre de 2016.     
(32) Entrevista con Mayling Yuen, Fundación Casa de La Paz. 27 de Septiembre de 2016.  
(33)  Fundación Casa de La Paz y Movimiento Nacional  de Recicladores de Chile. 2015. Catastro Socio Laboral de Recicladores de la Región Metropolitana. Santiago, Chile. </t>
  </si>
  <si>
    <t>G9</t>
  </si>
  <si>
    <t xml:space="preserve">[1] Municipalidad de Asunción. 2016. Convocatoria de Licitaciones. Municipalidad de Asunción [http://www.asuncion.gov.py/licitaciones]
[2] Dirección Nacional de Contrataciones Publicas. 2016. Licitaciones de Municipalidad de Asunción. Dirección Nacional de Contrataciones Publicas [https://www.contrataciones.gov.py/convocantes/municipalidad-asuncion/licitaciones/2016.html]  </t>
  </si>
  <si>
    <t xml:space="preserve">[1] Entrevista a Dion Leslie - Sanitation Councelor of Belize City; 1 septiembre 2016. 
[2] Entrevista a Lumen Cayetano - Senior Consultant of BSWAMA. 31 agosto 2016. 
[3] Entrevista a Peter Cohen, consultor, 8 septiembre 2016. 
[4] Entrevista a Reynaldo Hernandez, representante de PASA BELIZE Ltd; 30 agosto 2016. 
[5] Entrevista a Robert Prahiam, reciclador de base de la Estación de Transferencia de 3 mile George Price Highway; 31 agosto 2016. 
[6] Análisis de campo.                                                                                                                
</t>
  </si>
  <si>
    <t xml:space="preserve">[1] Honorable Asamblea Legislativa del Distrito Federal II Legislatura. Ley de Residuos Sólidos del Distrito Federal, publicada el 18 de noviembre de 2015. [www.aldf.gob.mx/archivo-2cdc95f688b0f9cdc82b670897acdd.pdf]
[2] Víctor Hugo Acosta, Subdirector de Limpia de la Delegación Miguel Hidalgo; 5 de septiembre 2016.                 
[3]  Entrevista a trabajador de limpia con 40 años de experiencia; 23 de agosto 2016.                                         
[4]Entrevistas a Pablo Tellez, líder del Frente Único de Pepenadores (8 de septiembre 2016) y Cuauhtemoc Gutiérrez, responsable comunicación de la Unión de Pepenadores del D.F. Rafael Gutiérrez Moreno (9 de septiembre de 2016).  http://www.buholegal.com/listaacuerdos/df/?juzgado=85&amp;tipo=expediente&amp;noexpediente=426/1999                                                                                                                         
</t>
  </si>
  <si>
    <t xml:space="preserve">[1] Arias, Verónica. Secretaria de Ambiente de la Secretaría de Ambiente. 10 de octubre de 2016.  
[2] Guerrero, Fabián. Gerente de REPAPERS. 28 de septiembre de 2016.  
[3] Riera, Fernando. Gerente de EMGIRS. 28 de septiembre de 2016. 
[4] Guanoluisa, Laura. Presidenta de RENAREC. 22 de septiembre de 2016. </t>
  </si>
  <si>
    <t xml:space="preserve">(22) Municipalidad de San José. "Diagnóstico sobre la Gestión de los Residuos Sólidos en el Cantón de San José". Febrero 2011.                                                                                                   
(23) Valerín, Álvaro. Encargado Centro de Recuperación de Materiales Valorizable, Municipio San José. 14 de octubre de 2016. </t>
  </si>
  <si>
    <t xml:space="preserve">(34) Convenio Ilusitre Municipalidad Santiago y Empresa Metropolitana de Disposición y Tratamiento de Basuras . 2015 http://transparencia.munistgo.cl/web2/file/tei/PORTAL/CONVENIOS/Convenio%202016/marzo/623%20-%20EMERES%20Convenio%20colaboracion.pdf  
(35) Municipalidad de Santiago, Dirección de Aseo. "Programa Santiago Recicla Fácil". 2015 http://www.munistgo.info/aseo/santiago-recicla-facil/
(36) Convenio Movimiento de Recicladores de Chile e Ilustre Municipalidad de Santiago. 2013 [http://transparencia.munistgo.cl/web2/file/tei/PORTAL/CONVENIOS/Convenio%202013/MOVIMIENTO%20DE%20RESICLADORES%20DE%20CHILE%20-%20modelos%20de%20reciclaje%20a%20nivel%20comunal.pdf]    
(37) Municipalidad de Santiago, Subdirección Medio Ambiente. "Política Ambiental Municipal" abril del 2013.       [https://issuu.com/fundacionbasura/docs/pol__tica_ambiental_municipal_por_u]                                                                        
(38) Entrevista con Donatella Fucaro, Subdirección de Medio Ambiente, Municipalidad de Santiago. 22 de Septiembre de 2016.                                                  </t>
  </si>
  <si>
    <t>G10</t>
  </si>
  <si>
    <t>[1] Rotela, Eduardo. Director Fundación Avina. 6 de Septiembre de 2016
[2] Fundación Avina. Sin fecha. Se aprueba en Asunción una política para la gestión integral e inclusiva de residuos. Fundación Avina [http://www.avina.net/avina/ver-impactos/se-aprueba-en-asuncion-una-politica-para-la-gestion-integral-e-inclusiva-de-residuos/]</t>
  </si>
  <si>
    <t xml:space="preserve">[1] Marín, Carolina. Asesora de la dirección de desarrollo sectorial del Viceministerio de Agua y Saneamiento Básico del Ministerio de Vivienda, Ciudad y Territorio. 3 de octubre de 2016. 
[2]  Ruiz, Silvio. Líder de la Asociación de Recicladores de Bogotá. 20 de septiembre de 2016.
[3] González, Carolina. Asesora de la Subdirección de Aprovechamiento de la Unidad Administrativa Especial de Servicios Públicos  UAESP. 20 de septiembre de 2016. </t>
  </si>
  <si>
    <t xml:space="preserve">[1] Legislatura de la Ciudad Autónoma de Buenos Aires. "Ley N° 1854 / 05: Gestión Integral de Residuos Sólidos Urbanos". [http://www.buenosaires.gob.ar/areas/leg_tecnica/sin/normapop09.php?id=81508&amp;qu=c&amp;ft=0&amp;cp&amp;rl=1&amp;rf&amp;im&amp;ui=0&amp;pelikan=1&amp;sezion=1094340&amp;primera=0&amp;mot_toda&amp;mot_frase&amp;mot_alguna]
[2] Grassi, Luis S. 2011. "Inserción de los Recuperadores Urbanos en el ámbito de la Ley N° 1854 y su Decreto Reglamentario N° 639/07 en la Ciudad de Buenos Aires". In Francisco M. Suarez y Pablo J. Schamber eds., Recicloscopio II: Miradas sobre recuperadores, políticas públicas y subjetividades en América Latina. Buenos Aires: Ediciones CICCUS.
[3] Movimiento de Trabajadores Excluidos: Cartoneros. [http://www.cartoneando.org.ar/content/ley-basura-cero] 
[4] Comisión Técnica de Asesoramiento "Análisis y Recomendaciones para el Cumplimiento de la Ley 1854" [http://www.greenpeace.org/argentina/Global/argentina/image/2013/contaminacion/basura/prev_BasuraCero_informe_001.pdf]
[4] Gobierno de la Ciudad Autónoma de Buenos Aires. "Decreto N° 639 / 07" [http://www.buenosaires.gob.ar/areas/leg_tecnica/sin/normapop09.php?id=98735&amp;qu=c&amp;ft=0&amp;cp=&amp;rl=1&amp;rf=&amp;im=&amp;ui=0&amp;printi=1&amp;pelikan=1&amp;sezion=1094565&amp;primera=0&amp;mot_toda=&amp;mot_frase=&amp;mot_alguna=]
</t>
  </si>
  <si>
    <t xml:space="preserve">[1] Entrevista a Dion Leslie - Sanitation Councelor of Belize City; 1 septiembre 2016. 
[2] Entrevista a barrendera empleada en el servicio de limpia de Belize City; 29 agosto 2016. </t>
  </si>
  <si>
    <t>[1] Espinoza, Tania. Coordinadora para Latinoamérica del Programa de Leyes de WIEGO y Consejera de la Comisión de Derechos Humanos de la Ciudad de México. 08 de agosto de 2016.
[2]  Entrevista a trabajador de limpia con 40% años de experiencia; Entrevistas a Pablo Tellez, líder del Frente Único de Pepenadores (8 de septiembre 2016) y Cuauhtemoc Gutiérrez, responsable comunicación de la Unión de Pepenadores del D.F. Rafael Gutiérrez Moreno (9 de septiembre de 2016).
[3] Fernández, Jorge. Director de la Asociación Mexicana de Empresas Ambientales. 16 de Agosto de 2016.
[4] Ortiz, Ricardo. Subdirector de Análisis y Proyectos Especiales de Semarnat. 26 de Agosto de 2016.</t>
  </si>
  <si>
    <t>[1] Presentación de los talleres de discusión del Plan Director de Limpieza de la ciudad. http://www.montevideo.gub.uy/servicios-y-sociedad/limpieza/plan-director</t>
  </si>
  <si>
    <t>[1] Peña, Cecilia.  Directora de Desarrollo Empresarial de EMASEO. 3 de octubre de 2016. 
[2] Guanoluisa, Laura. Presidenta de RENAREC. 22 de septiembre de 2016.  
[3] Arias, Verónica. Secretaria de Ambiente de la Secretaría de Ambiente. 10 de octubre de 2016.</t>
  </si>
  <si>
    <t xml:space="preserve">(24) Municipalidad de San José. "Plan Municipal de Gestión Integral de Residuos Sólidos del Cantón de San José". Publicado en diciembre de 2011    [https://www.msj.go.cr/informacion_ciudadana/ambiente/SiteAssets/docs/PMGIRS_MSJ_2012%20incluido%20PDM%20modificado%20e%20indicadores%209abril2013.pdf]                        
(25) Programa de Competitividad y Medio Ambiente (CYMA). "Manual para la elaboración de planes Municipales de Gestión Integral de Residuos Sólidos". Octubre de 2008. [https://www.giz.de/expertise/downloads/gtz2008-manual-abfallwirtschaftsplan-costa-rica.pdf]                                               
(26) Municipalidad de San José. "Diagnóstico sobre la Gestión de los Residuos Sólidos en el Cantón de San José". Febrero 2011. </t>
  </si>
  <si>
    <t xml:space="preserve">[1] Prefeitura Municipal Da Cidade de Sao Paulo - Secretaria de Servivios. PGIRS 2014. Publicado en 2014.
[2] Guimarães da Silva, Anderson. Coordinador. Serviço Franciscano de Solidariedade Sefras Reciclagem - Recifran. 26 de octubre de 2016.
'[3] Amorin, Davi. Representante de comunicaciones. Movimiento Nacional dos Catadores de Materiais Reciclaveis. 13 de octubre de 2016. 
[4] Carletti, Camile. Coordinadora de proyectos sociaambientales. Reciclazaro. 25 octubre de 2016.
</t>
  </si>
  <si>
    <t xml:space="preserve">(39) Municipalidad de Santiago. "Ordenanza Nº 77 Aseo en la Comuna", del 23 de Julio de 1998 [http://www.munistgo.info/aseo/wp-content/uploads/2015/09/orden_771.pdf]         
(40) Municipalidad de Santiago, Plan de Desarrollo Comunal 2014-2016, 2014                  [http://www.observatoriosantiago.cl/plan-de-desarrollo-comunal-pladeco/                         
(41) Municipalidad de Santiago, Subdirección Medio Ambiente. "Política Ambiental Municipal" abril del 2013.       [https://issuu.com/fundacionbasura/docs/pol__tica_ambiental_municipal_por_u]  
(42) Entrevista con Exequiel Estay, Movimiento Nacional de Recicladores de Chile (MNRCH). 23 de Septiembre de 2016.     </t>
  </si>
  <si>
    <t>G11</t>
  </si>
  <si>
    <t>[1]Ruiz Ríos, Albina. 2014. Levantamiento de Información de Experiencias de Formación a Recicladores y Funcionarios Gubernamentales. BID FOMIN
[2]Abbate, Jorge. Director Ejecutivo, geAm. 29 de Agosto de 2016
[3] Flores, Laura Emilce. Dirección General de Salud Ambiental, Ministerio de Salud Publica y Bienestar Social. 8 de Septiembre de 2016
[4] Municipalidad de Asunción. 2016. Concurso Intercolegial de Reciclaje fue lanzado en el CPJ. Municipalidad de Asunción [http://www.asuncion.gov.py/gestion-ambiental/concurso-intercolegial-de-reciclaje-fue-lanzado-en-el-cpj]
[5] Molinas, A., Britez, F., y Bogado, L. 2014. Primer Informe: Avances de las Estrategias de Gestión para lograr una Asunción, Capital Verde. Municipalidad de Asunción [http://www.better-cities.eu/bulletin/wp-content/uploads/2014/08/3_4_1_Asunci%C3%B3n-Capital-Verde.pdf]</t>
  </si>
  <si>
    <t>[1] Unidad Administrativa de Servicios Públicos. "Quiénes somos". Publicado en febrero de 2016 [http://pagdll.uaesp.gov.co/index.php/quienes-somos]
[2]González, Carolina. Asesora de la Subdirección de Aprovechamiento de la Unidad Administrativa Especial de Servicios Públicos  UAESP. 20 de septiembre de 2016. 
[3] Unidad Administrativa Especial de Servicios Públicos - UAESP. "Plan de Gestión Integral de Residuos Sólidos - PGIRS. Actualización". Publicado en septiembre de 2016. [http://www.uaesp.gov.co/images/1Actualizacion%20PGIRS%20VF%20-%20300916.pdf]
[4] Gutiérrez, Juan Carlos. Gerente de Ekored. 20 de septiembre de 2016.</t>
  </si>
  <si>
    <t xml:space="preserve">[1] Entrevista a Dion Leslie - Sanitation Councelor of Belize City; 1 septiembre 2016. </t>
  </si>
  <si>
    <t>[1] De la Cruz, Carolina. Coordinadora Programa de segregación en la fuente. Municipalidad Metropolitana de Lima. 5 de octubre de 2016.
[2]Ministerio de Medio Ambiente. Sexto informe de manejo de residuos sólidos de Perú. Publicado en 2013.
[3] Instituto de Ciencias de la Naturaleza, Territorio y Energías Renovables de la Pontificia Universidad Católica del Perú. Guía para la formalización e recicladores. Publicado en 2011.</t>
  </si>
  <si>
    <t>[1] Alarcón, Pablo. Director General del Grupo TAAF. Agosto 25 de 2016.                                                                                                                                                                                             
[2] Entrevista a trabajador de limpia con 40 años de experiencia; 23 de agosto 2016.</t>
  </si>
  <si>
    <t xml:space="preserve">(27) Municipalidad de San José. “Diagnóstico sobre la Gestión de los Residuos en el Cantón de San José”. Febrero 2011                 
(28) Valerín, Álvaro. Encargado Centro de Recuperación de Materiales Valorizable, Municipio San José. 14 de octubre de 2016. </t>
  </si>
  <si>
    <t>[1] Prefeitura Municipal Da Cidade de Sao Paulo - Secretaria de Servicios. PGIRS 2014. 
[2] Soler, Fabricio. FELSBERG Advogados. 14 de octubre de 2016. 
[3] PEPSICO Brasil. PepsiCo promove a capacitação de catadores e a formação da Rede Zona Sul de Comercialização em SP. Publicado en 2014. [http://www.pepsico.com.br/pepsico-promove-a-capacitacao-de-catadores-e-a-formacao-da-rede-zona-sul-de-comercializacao-em-sp]</t>
  </si>
  <si>
    <t xml:space="preserve">(43) Entrevista con Donatella Fucaro, Subdirección de Medio Ambiente, Municipalidad de Santiago. 22 de Septiembre de 2016. 
(44) Municipalidad de Santiago, Subdirección Medio Ambiente. "Política Ambiental Municipal" abril del 2013.       [https://issuu.com/fundacionbasura/docs/pol__tica_ambiental_municipal_por_u] 
(45) Entrevista con Exequiel Estay, Movimiento Nacional de Recicladores de Chile (MNRCH). 23 de Septiembre de 2016.     
(46) Entrevista con Mayling Yuen, Fundación Casa de La Paz. 27 de Septiembre de 2016.                                                                                             </t>
  </si>
  <si>
    <t>G12</t>
  </si>
  <si>
    <t>[1]Pereira, Liliana. 2016. Cuando el dolor recorre las calles. Ejempla [https://ejempla.com/actualidad/cuando-el-dolor-recorre-las-calles]
[2]ABC Color. 2014. Pretenden ayudar a carreros. ABC Color [http://www.abc.com.py/nacionales/pretenden-ayudar-a-carreros-1215690.html]
[3] Jiménez, Yasmina. 2014. Cateura, el ultimo eslabón en la cadena de reciclaje. El País [http://www.elmundo.es/america/2014/05/11/536e444e22601db6748b456e.html]</t>
  </si>
  <si>
    <t xml:space="preserve">[1] Entrevista a Lumen Cayetano - Senior Consultant of BSWAMA. 31 agosto 2016. 
[2] Entrevista a Peter Cohen, consultor; 8 septiembre 2016. 
[3] Entrevista a Reynaldo Hernandez, representante de PASA BELIZE Ltd; 30 agosto 2016. 
[4] Entrevista a Robert Prahiam, reciclador de base de la Estación de Transferencia de 3 mile George Price Highway; 31 agosto 2016. 
[5] Análisis de campo.  </t>
  </si>
  <si>
    <t xml:space="preserve">[1] De la Cruz, Carolina. Coordinadora Programa de segregación en la fuente. Municipalidad Metropolitana de Lima. 5 de octubre de 2016.
[2] Pérez Vélez, Hernán R. Gestión y manejo de residuos sólidos en la Municipalidad Metropolitana de Lima. Marzo 31 de 2016.
</t>
  </si>
  <si>
    <t>[1] Semarnat. Programa Nacional para la Prevención Integral de los Residuos (2009-2012), publicado en diciembre de 2008.
[2] Espinoza, Tania. ¿Qué derechos laborales tienen los trabajadores informales del servicio de limpia en la ciudad de México?: el caso de los trabajadores voluntarios y pepenadores. 2013. Revista electrónica Métodhos 05: 85-121. 
[3] Secretaria de Medio Ambiente. Plan de Gestión Integral de Residuos Sólidos 2016-2010, publicado en 2016.
[4] Ortiz, Ricardo. Subdirector de Análisis y Proyectos Especiales de Semarnat. 26 de Agosto de 2016.</t>
  </si>
  <si>
    <t>[1] Video del tercer encuentro de clasificadores del Programa Uruguay Recicla. 2009 http://www.mides.gub.uy/innovaportal/v/10700/3/innova.front/programa-uruguay-clasifica---ministerio-de-desarrollo-social-mides---focem
[2] Ministerio de Desarrollo Social (MIDES) Información de qué es el programa Uruguay Clasifica http://www.mides.gub.uy/innovaportal/v/34137/3/innova.front/uruguay-clasifica-puc
[3] Soutera, Federico. Dirección General de Medio Ambiente (DINAMA) Ministerio de Vivienda, Ordenamiento Territorial y Medio Ambiente. 26 de octubre de 2016</t>
  </si>
  <si>
    <t xml:space="preserve">(29) Ordeñana, Emperatriz. Directora Departamento Servicios Ambientales. 12 de octubre de 2016.                                               
(30) Jenny Molina, Grupo de Reciclaje Manos Unidas, Distrito de Hatillo. 14 de octubre de 2016.                                                          
(31) Valerín, Álvaro. Encargado Centro de Recuperación de Materiales Valorizable, Municipio San José. 14 de octubre de 2016. </t>
  </si>
  <si>
    <t>[1] Simao Pedro. Pró­Catadores SP: um avanço extraordinário na relação da Cidade com seus catadores. Publicado en 2016.
[2] Autoridade Municipal de Limpieza Urbana. Pontos de Entrega Voluntária (PEV's). Publicado en 2016. [http://www.prefeitura.sp.gov.br/cidade/secretarias/servicos/amlurb/coleta_seletiva/index.php?p=43479]
[3] Autoridade Municipal de Limpieza Urbana. Programa de Coleta Seletiva. Publicado en 2016. 
[4] Carletti, Camile. Coordinadora de proyectos sociaambientales. Reciclazaro. 25 octubre de 2016.
[5] Soler, Fabricio. FELSBERG Advogados. 14 de octubre de 2016.
[6] Governo Federal. Gestao de resídulos sólidos com incluçao social e económica de catadores de materiais recicláveis:
O Desenvolvimento Sustentável na Prática. Publicado en 2015.</t>
  </si>
  <si>
    <t xml:space="preserve">(47)  Municipalidad de Santiago, Subdirección de Medio Ambiente. "Política de Reciclaje Comunal Inclusivo Municipal". 2016.
(48) Entrevista con Mayling Yuen, Fundación Casa de La Paz. 27 de Septiembre de 2016           
(49) Entrevista con Donatella Fucaro, Subdirección de Medio Ambiente, Municipalidad de Santiago. 22 de Septiembre de 2016.      </t>
  </si>
  <si>
    <t>G13</t>
  </si>
  <si>
    <t>[1] Abbate, Jorge. Director Ejecutivo, geAm. 29 de Agosto de 2016.</t>
  </si>
  <si>
    <t xml:space="preserve">[1] Buenos Aires Ciudad. "Ciudad Verde" [http://www.buenosaires.gob.ar/ciudadverde/separacion] </t>
  </si>
  <si>
    <t>[1] Returnable Containers Act (No 12 of 2009). 
[2] Entrevista a barrendera empleada en el servicio de limpia de Belize City; 29 agosto 2016. 
[3] Análisis de campo. 
[4] Entrevista a Hilly Martinez, Responsable de Comunicación de Bowen &amp; Bowen; 29 agosto 2016.</t>
  </si>
  <si>
    <t>[1] Paucar, Justo. Líder Reciclador. Los Tigres de las 200 millas. 5 de octubre de 2016
[2] Huiman, Alberto. CEO Perú Waste Innovation. 20 de septiembre de 2016.</t>
  </si>
  <si>
    <t>[1] Secretaría del medio ambiente del Distrito Federal. EL mercado de trueque, una alternativa de educación ambiental para la valorización de los residuos sólidos en la Ciudad de México (2012). Disponible en http://martha.org.mx/una-politica-con-causa/wp-content/uploads/2013/09/20-Mercado-de-Trueque.pdf
[2] Secretaría del medio ambiente del Distrito Federal.  Resultados del mercado de Trueque 2016. Disponible en http://data.sedema.cdmx.gob.mx/mercadodetrueque/index.php?option=com_content&amp;view=category&amp;id=38&amp;Itemid=30
 [3] Luppi, Pietro. Ciudad de México: El funcionamiento informal del servicio de la recolección y separación de la fracción orgánica.
[4] Fernández, Jorge. Director de la Asociación Mexicana de Empresas Ambientales. 16 de Agosto de 2016.
[5] Castillo, Héctor. Coordinador de la Unidad de Estudios Sobre la Juventud. 29 de agosto de 2016.  
[6] Entrevista a Edgar Báez. Titular de Recupera; 23 de agosto 2016.</t>
  </si>
  <si>
    <t>[1] Arias, Verónica. Secretaria de Ambiente de la Secretaría de Ambiente. 10 de octubre de 2016. 
[2] Peña, Cecilia. Directora de Desarrollo Empresarial de EMASEO. 3 de octubre de 2016. 
[3] Empresa Pública Metropolitana de Aseo. [http://www.emaseo.gob.ec] 
[4] Empresa Pública Metropolitana de Gestión Integral de Residuos Sólidos. [http://www.emgirs.gob.ec]          
[5] Secretaría de Ambiente. [http://www.quitoambiente.gob.ec]</t>
  </si>
  <si>
    <t xml:space="preserve">(32) Ministerio de Salud. "Plan Nacional para la Gestión Integral de Residuos 2016-2021". Publicado en marzo de 2016               
(33) Valerín, Álvaro. Encargado Centro de Recuperación de Materiales Valorizable, Municipio San José. 14 de octubre de 2016. </t>
  </si>
  <si>
    <t xml:space="preserve">(50) Municipalidad de Santiago, Subdirección Medio Ambiente. "Política Ambiental Municipal" abril del 2013.       [https://issuu.com/fundacionbasura/docs/pol__tica_ambiental_municipal_por_u]
(51) Entrevista con Donatella Fucaro, Subdirección de Medio Ambiente, Municipalidad de Santiago. 22 de Septiembre de 2016.  </t>
  </si>
  <si>
    <t>G14</t>
  </si>
  <si>
    <t>[1] Municipalidad de Asunción. 2016. Municipalidad de Asunción. [http://www.asuncion.gov.py/]
[2] Abbate, Jorge. Director Ejecutivo, geAm. 29 de Agosto de 2016.
[3] Rotela, Eduardo. Director Fundación Avina. 6 de Septiembre de 2016
[4]Flores, Laura Emilce. Dirección General de Salud Ambiental, Ministerio de Salud Publica y Bienestar Social. 8 de Septiembre de 2016</t>
  </si>
  <si>
    <t xml:space="preserve">[1] Unidad Administrativa Especial de Servicios Públicos - UAESP. "Plan de Gestión Integral de Residuos Sólidos - PGIRS. Actualización". Publicado en septiembre de 2016. [http://www.uaesp.gov.co/images/1Actualizacion%20PGIRS%20VF%20-%20300916.pdf]
[2] González, Carolina. Asesora de la Subdirección de Aprovechamiento de la Unidad Administrativa Especial de Servicios Públicos  UAESP. 20 de septiembre de 2016. 
[3] Marín, Carolina. Asesora de la dirección de desarrollo sectorial del Viceministerio de Agua y Saneamiento Básico del Ministerio de Vivienda, Ciudad y Territorio. 3 de octubre de 2016. </t>
  </si>
  <si>
    <t>[1] Buenos Aires Ciudad. "Ciudad Verde" [http://www.buenosaires.gob.ar/ciudadverde] 
[2] Legislatura de la Ciudad Autónoma de Buenos Aires. "Ley N° 992 / 02 [http://www.buenosaires.gob.ar/areas/leg_tecnica/sin/normapop09.php?id=31157&amp;qu=c&amp;ft=0&amp;cp=&amp;rl=1&amp;rf=0&amp;im=&amp;ui=0&amp;printi=&amp;pelikan=1&amp;sezion=796791&amp;primera=0&amp;mot_toda=&amp;mot_frase=&amp;mot_alguna=]
[3] Coordinación Ecológica Área Metropolitana Sociedad del Estado (CEAMSE) [http://www.ceamse.gov.ar/quienes-somos/]
[4] Gobierno de la Ciudad Autónoma de Buenos Aires. "Decreto N° 639/GCABA/07: Reglamentación Ley N° 1854/05" [http://www.buenosaires.gob.ar/areas/leg_tecnica/sin/normapop09.php?id=98735&amp;qu=c&amp;ft=0&amp;cp=&amp;rl=1&amp;rf=&amp;im=&amp;ui=0&amp;pelikan=1&amp;sezion=1094340&amp;primera=0&amp;mot_toda=&amp;mot_frase=&amp;mot_alguna=]
[5] Legislatura de la Ciudad Autónoma de Buenos Aires. "Ley N° 1854 / 05: Gestión Integral de Residuos Sólidos Urbanos". [http://www.buenosaires.gob.ar/areas/leg_tecnica/sin/normapop09.php?id=81508&amp;qu=c&amp;ft=0&amp;cp&amp;rl=1&amp;rf&amp;im&amp;ui=0&amp;pelikan=1&amp;sezion=1094340&amp;primera=0&amp;mot_toda&amp;mot_frase&amp;mot_alguna
[6] Fundación Ambiente y Recursos Naturales. "PEDIDO DE INFORMACIÓN SOBRE RESIDUOS EN LA CIUDAD DE BUENOS AIRES" [http://farn.org.ar/archives/17880]</t>
  </si>
  <si>
    <t>[1] Entrevista a Dion Leslie - Sanitation Councelor of Belize City; 1 septiembre 2016.
[2]  Belize City Council, Environmental Sanitation Department wbsite. [http://www.belizecitycouncil.org/sanitation-department]
[3] Belize Solid Waste Management Authority - BSWAMA,Waste Quantitites. [http://belizeswama.com/statistical-data/waste-quantities/\</t>
  </si>
  <si>
    <t>[1]De la Cruz, Carolina. Coordinadora Programa de segregación en la fuente. Municipalidad Metropolitana de Lima. 5 de octubre de 2016.</t>
  </si>
  <si>
    <t>[1] Secretaría del medio ambiente del Distrito Federal.  Resultados del mercado de Trueque 2016. Disponible en http://data.sedema.cdmx.gob.mx/mercadodetrueque/index.php?option=com_content&amp;view=category&amp;id=38&amp;Itemid=30
[2] Secretaría de Ambiente de la Ciudad de México. "Inventario de Residuos Sólidos", publicado en 2015.
[3] Berthier Castillo, Héctor. Coordinador de la Unidad de Estudios Sobre la Juventud de la Universidad Nacional Autónoma de México. 29 de agosto de 2016.
[4] Fernández, Jorge. Director de la Asociación Mexicana de Empresas Ambientales. 16 de Agosto de 2016.                                                                                               
[5] Secretaría de Medio Ambiente de la Ciudad de México. "Inventario de Residuos Sólidos", publicado en 2015.                                                                                          
[6] Luppi, Pietro. Ciudad de México: El funcionamiento informal del servicio de la recolección y separación de la fracción orgánica. 2013</t>
  </si>
  <si>
    <t>(34) Valerín, Álvaro. Encargado Centro de Recuperación de Materiales Valorizable, Municipio San José. 14 de octubre de 2016.                                                                                                     
(35) Municipalidad de San José. “Diagnóstico sobre la Gestión de los Residuos en el Cantón de San José”. Febrero 2011 
(36) Municipalidad de San José, "Boletín Informativo del Observatorio Municipal Nº 12", octubre de 2014 [https://www.msj.go.cr/informacion_ciudadana/Boletines/Bolet%C3%ADn%20Informativo%20Observatorio%20No.%2012%20Octubre%202014.pdf]</t>
  </si>
  <si>
    <t xml:space="preserve">[1] Autoridade Municipal de Limpieza Urbana. Indicadores de AMLURB. [http://www.prefeitura.sp.gov.br/cidade/secretarias/servicos/acesso_a_informacao/index.php?p=185706]
[2] Gomes Prol Otero, Gabriela. Coordinadora técnica. Abrelpe. 13 de octubre de 2016
[3] Amorin, Davi. Representante de comunicaciones. Movimiento Nacional dos Catadores de Materiais Reciclaveis. 13 de octubre de 2016. </t>
  </si>
  <si>
    <t xml:space="preserve">(51) Municipalidad de Santiago, Subdirección Medio Ambiente. "Política Ambiental Municipal" abril del 2013.       [https://issuu.com/fundacionbasura/docs/pol__tica_ambiental_municipal_por_u]
(52) Entrevista con Donatella Fucaro, Subdirección de Medio Ambiente, Municipalidad de Santiago. 22 de Septiembre de 2016.
(53) Entrevista con Exequiel Estay, Movimiento Nacional de Recicladores de Chile (MNRCH). 23 de Septiembre de 2016.   </t>
  </si>
  <si>
    <t>G15</t>
  </si>
  <si>
    <t xml:space="preserve">[1] Municipalidad de Asunción. 2016. Concurso Intercolegial de Reciclaje fue lanzado en el CPJ. Municipalidad de Asunción [http://www.asuncion.gov.py/gestion-ambiental/concurso-intercolegial-de-reciclaje-fue-lanzado-en-el-cpj]
[2] Municipalidad de Asunción. 2016. Jornada de Fiscalización y Concenciazion Ambiental. Municipalidad de Asunción [http://www.asuncion.gov.py/campanas/operacion-2430/operacion-2430-continua-con-jornada-de-fiscalizacion-y-concientizacion-ambiental]
</t>
  </si>
  <si>
    <t>[1]De la Cruz, Carolina. Coordinadora Programa de segregación en la fuente. Municipalidad Metropolitana de Lima. 5 de octubre de 2016.
[2] Ruiz Ríos, Albina. Presidenta y fundadora de Ciudad Saludable. Publicado en 2014.
[3] Innovation and Technology for Development Center. Negocios Inclusivos a través del reciclaje. Sin fecha específica.</t>
  </si>
  <si>
    <t>(37) Ordeñana, Emperatriz. Directora Departamento Servicios Ambientales. 12 de octubre de 2016                                               
(38) Municipalidad de San José. “Diagnóstico sobre la Gestión de los Residuos en el Cantón de San José”. Febrero 2011</t>
  </si>
  <si>
    <t>[1] Amorin, Davi. Representante de comunicaciones. Movimiento Nacional dos Catadores de Materiais Reciclaveis. 13 de octubre de 2016. 
[2] Soler, Fabricio. FELSBERG Advogados. 14 de octubre de 2016. 
[3] Prefeitura de Sao Paulo. Projeto SP Cidade Gentil divulga importância da coleta seletiva e da reciclagem. Publicado en 2016. [http://www.capital.sp.gov.br/portal/noticia/10699#ad-image-0]
[4] Prefeitura de Sao Paulo. Novas sacolinhas são instrumento de educação ambiental. Publicado en 2014. [http://www.capital.sp.gov.br/portal/noticia/5516#ad-image-0]</t>
  </si>
  <si>
    <t xml:space="preserve">(54) Municipalidad de Santiago, Aseo Municipal. http://www.munistgo.info/aseo/                                       
(55) Municipalidad de Santiago, Aseo Municipal, Reciclaje. http://www.munistgo.info/aseo/servicios/reciclaje/      
(56) Municipalidad de Santiago, Subdirección Medio Ambiente. "Política Ambiental Municipal" abril del 2013.       [https://issuu.com/fundacionbasura/docs/pol__tica_ambiental_municipal_por_u]                                                                                                                                                                                 (57) Entrevista con Donatella Fucaro, Subdirección de Medio Ambiente, Municipalidad de Santiago. 22 de Septiembre de 2016.                            </t>
  </si>
  <si>
    <t>G16</t>
  </si>
  <si>
    <t>[1]Giménez Caballero, Edgar. 2016. Gestión de Residuos en Albergues del Municipio de Asunción. Situación ante las inundaciones del Río Paraguay en el primer trimestre del 2016. 
[2] Pan American Health Organization. 2012. Análisis Marco Legal Ambiental Comparativo Paraguay - Brasil 2012. Pan American Health Organization [http://www.paho.org/par/index.php?option=com_docman&amp;view=download&amp;category_slug=contaminacion&amp;alias=453-contaminacion-analisis-marco-legal-ambiental-comparativo-paraguay-brasil-diciembre-2012&amp;Itemid=253]
[3] Giménez Caballero, Edgar. Coordinación Área de Salud. Investigación para el Desarrollo. 30 de Agosto de 2016
[4]unta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t>
  </si>
  <si>
    <t xml:space="preserve">[1] Ministerio de Ambiente, Vivienda y Desarrollo Territorial. "Decreto 4741 de 2005". Publicado en diciembre de 2005. 
[2] González, Carolina. Asesora de la Subdirección de Aprovechamiento de la Unidad Administrativa Especial de Servicios Públicos  UAESP. 20 de septiembre de 2016. </t>
  </si>
  <si>
    <t xml:space="preserve">[1] Legislatura de la Ciudad Autónoma de Buenos Aires. "Ley N° 2214 / 06: Residuos Peligrosos" [http://www2.cedom.gob.ar/es/legislacion/normas/leyes/ley2214.html]
[2] Buenos Aires Ciudad [http://www.buenosaires.gob.ar/tramites/residuos-peligrosos]
[3] Entrevista con Alicia Montoya, Responsable Técnica Cooperativa El Álamo. 22 de septiembre de 2016.
[4] Buenos Aires Ciudad http://www.buenosaires.gob.ar/noticias/campana-de-recepcion-de-aparatos-electricos-y-electronicos-en-desuso
[5] Buenos Aires Ciudad. Agencia de Protección Ambiental [http://www.buenosaires.gob.ar/agenciaambiental/residuos/pilas-recargables]
[6] Legislatura de la Ciudad Autónoma de Buenos Aires. "Ley N° 1854 / 05: Gestión Integral de Residuos Sólidos Urbanos". [http://www.buenosaires.gob.ar/areas/leg_tecnica/sin/normapop09.php?id=81508&amp;qu=c&amp;ft=0&amp;cp&amp;rl=1&amp;rf&amp;im&amp;ui=0&amp;pelikan=1&amp;sezion=1094340&amp;primera=0&amp;mot_toda&amp;mot_frase&amp;mot_alguna
 </t>
  </si>
  <si>
    <t>[1] Environmental Protection Act - Chapter 328. 
[2] Diagnosis and Action Plan for Solid Waste Management, Belize City - Final Report; Marcelo Eduardo Rosso, 2016.</t>
  </si>
  <si>
    <t>[1] Presidencia del Consejo de Ministros. Ley general No. 27314 de residuos sólidos, publicada en julio de 2014. 
[2] De la Cruz, Carolina. Coordinadora Programa de segregación en la fuente. Municipalidad Metropolitana de Lima. 5 de octubre de 2016.
[3] De la Torre, Eduardo. Coordinador Programa Basura Cero y Pro-Reciclador. Ciudad Saludable. 20 de septiembre de 2016.</t>
  </si>
  <si>
    <t xml:space="preserve">[1] Ministerio del Ambiente [http://www.ambiente.gob.ec/sistema-de-gestion-de-desechos-peligrosos-y-especiales/]
[2] Peña, Cecilia.  Directora de Desarrollo Empresarial de EMASEO. 3 de octubre de 2016. 
[3] Salgado, Laura. 2016 "Instructivo de aplicación de Responsabilidad Extendida del Productor" presentado en el evento de socialización del Primer Borrador del Instructivo de aplicación de Responsabilidad Extendida del Productor, 20 de septiembre de 2016, Quito.  
[4] Guanoluisa, Laura. Presidenta de RENAREC. 22 de septiembre de 2016. </t>
  </si>
  <si>
    <t xml:space="preserve">(39) Municipalidad de San José. “Diagnóstico sobre la Gestión de los Residuos en el Cantón de San José”. Febrero 2011                 
(40) Municipalidad de Sa José, Departamento de Gestión Ambiental. "Compendio de Reglamentos en Materia Ambiental". [https://www.msj.go.cr/informacion_ciudadana/ambiente/SiteAssets/docs/Compendio%20de%20Leyes%20y%20Reglamentos%209dic09.pdf]
(41) Municipalidad de San José. "Plan Municipal de Gestión Integral de Residuos Sólidos del Cantón de San José". Publicado en diciembre de 2011    [https://www.msj.go.cr/informacion_ciudadana/ambiente/SiteAssets/docs/PMGIRS_MSJ_2012%20incluido%20PDM%20modificado%20e%20indicadores%209abril2013.pdf]   </t>
  </si>
  <si>
    <t xml:space="preserve">[1] Soler, Fabricio. FELSBERG Advogados. 14 de octubre de 2016. 
[2] Gutberlet et. Al. Esquisa-ação em educação ambiental e saúde dos catadores: estudo de caso realizado com integrantes de cooperativas de coleta seletiva e reciclagem na região  metropolitana de Sao Paulo. Publicado en 2016.
[3] Congreso Nacional. Ley 12305 de 2010 sobre la Política Nacional de Residuos Sólidos. Publicada en agosto de 2010. </t>
  </si>
  <si>
    <t>[1] Honorable Congreso Nacional. Ley nº 1333 del Medio Ambiente (y sus reglamentos) 15 de junio de 1992 http://www.ine.gob.bo/indicadoresddhh/archivos/alimentacion/nal/Ley%20N%C2%BA%201333.pdf
[2] Gutiérrez, Vladimir. Director de Gestión de Residuos Sólidos, Ministerio de Medio Ambiente y Agua (MMAyA) 07 de octubre de 2016
[3] Ministerio de Medio Ambiente y Agua. "DIagnóstico de la gestión de residuos en el Departamento de Santa Cruz" 2011 http://senasba.gob.bo/media/imagen/art14ago1410.pdf
[4] Consejo Municipal de Santa Cruz de la Sierra "Ley Autonómica Municipal de Aseo Urbano Nº 295" aprobada el 23 de junio de 2016.
http://www.emacruz.com.bo/wp-content/uploads/2016/07/LEY-AUTONOMICA-DE-ASEO-URBANO-295-2016.pdf</t>
  </si>
  <si>
    <t xml:space="preserve">(58)  Ministerio de Salud. "Reglamento Sanitario Nº 148 sobre Manejo de Residuos Peligrosos". Publicado el 16 de junio de 2004.   [http://www.sinia.cl/1292/articles-45956_DS148.pdf]                
(59) Municipalidad de Santiago, Aseo Municipal. Retiro gratuito de enseres. [http://www.munistgo.info/aseo/servicios/retiro-enseres/]                                                                                          
(60) Entrevista con Donatella Fucaro, Subdirección de Medio Ambiente, Municipalidad de Santiago. 22 de Septiembre de 2016.    </t>
  </si>
  <si>
    <t>G17</t>
  </si>
  <si>
    <t>[1] Abbate, Jorge. Director Ejecutivo, geAm. 29 de Agosto de 2016.
[2] Flores, Laura Emilce. Dirección General de Salud Ambiental, Ministerio de Salud Publica y Bienestar Social. 8 de Septiembre de 2016
[3]Rotela, Eduardo. Director Fundación Avina. 6 de Septiembre de 2016
[4] Pérez Ayala, Gloria. Consultora Proyectos Sociales. 14 de Septiembre de 2016
[5] Cazal, Pompeya. Recicla, Centro de Ayuda Mutua Salud para Todos  (CAMSAT). 26 de Septiembre de 2016</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</si>
  <si>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 
[8] Entrevista a Hilly Martinez, Responsable de Comunicación de Bowen &amp; Bowen; 29 agosto 2016.</t>
  </si>
  <si>
    <t>[1] Berthier Castillo, Héctor. Coordinador de la Unidad de Estudios Sobre la Juventud de la Universidad Nacional Autónoma de México. 29 de agosto de 2016.
[2] Cervantes Niño, José Juan &amp; Palacios Hernández, Lylia. 2011. "El trabajo en la pepena informal en México: nuevas realidades, nuevas desigualdades". Estudios Demográficos y Urbanos 27: 95-117.  
[3]Entrevistas a Pablo Tellez, líder del Frente Único de Pepenadores (8 de septiembre 2016) y Cuauhtemoc Gutierrez, responsable comunicación de la Unión de Pepenadores del D.F. Rafael Gutierrez Moreno (9 de septiembre de 2016). Analisis de campo   
[4] Entrevista a trabajador de limpia con 40 años de experiencia; 23 de agosto 2016. Analilsis de campo</t>
  </si>
  <si>
    <t xml:space="preserve">[1] Charbonier, Esteban.  Responsable del Programa de Clasificadores. Ministerio de Desarrollo Social (MIDES). 18 de octubre de 2016.
[2] UCRUS.Sitio web. http://ucrus-pit-cnt.weebly.com/
</t>
  </si>
  <si>
    <t xml:space="preserve">(42) Red de Reciclaje de Costa Rica (REDCICLA). Página web  [www.redcicla.org]                                                                            
(43) Fundación Aliarse y ACEPESA. "Inclusión Económica y Social de los Recicladores de Liberia". 2013.    
(44) Chacón, Marlen y Susy Lobo. 2011.  "Avance de la Visita a Botaderos y Centros de Recuperación  de Residuos Valorizables en Costa Rica". Informe Técnico y Financiero.                                      
(45) Municipalidad de San José. "Plan Municipal de Gestión Integral de Residuos Sólidos del Cantón de San José". Publicado en diciembre de 2011    [https://www.msj.go.cr/informacion_ciudadana/ambiente/SiteAssets/docs/PMGIRS_MSJ_2012%20incluido%20PDM%20modificado%20e%20indicadores%209abril2013.pdf]   </t>
  </si>
  <si>
    <t xml:space="preserve">[1] Prefeitura Municipal Da Cidade de Sao Paulo - Secretaria de Servivios. PGIRS 2014
[2] Guimarães da Silva, Anderson. Coordinador. Serviço Franciscano de Solidariedade Sefras Reciclagem - Recifran. 26 de octubre de 2016.
[3] COOPERCAPS. Publicado en [http://www.coopercaps.com.br/#/home]
[4] Red de Comercialización Zona Sur. "Cooperativa Coopere Centro". Sin fecha. Publicado en http://www.redecomzonasul.com.br/index.php/cooperativa-coopere-centro/
</t>
  </si>
  <si>
    <t>(61) Catastro Socio Laboral de Recicladores de la Región Metropolitana. Casa de la Paz, MNRCH, 2015                                
(62) Entrevista con Exequiel Estay, Movimiento Nacional de Recicladores de Chile (MNRCH). 23 de Septiembre de 2016.</t>
  </si>
  <si>
    <t>G18</t>
  </si>
  <si>
    <t>[1] Abbate, Jorge. Director Ejecutivo, geAm. 29 de Agosto de 2016.
[2]Rotela, Eduardo. Director Fundación Avina. 6 de Septiembre de 2016
[3] Pérez Ayala, Gloria. Consultora Proyectos Sociales. 14 de Septiembre de 2016
[4] Cazal, Pompeya. Recicla, Centro de Ayuda Mutua Salud para Todos  (CAMSAT). 26 de Septiembre de 2016
[5] Infobae. 2015. Más de 72.000 evacuados por inundaciones en Asunción. Infobae. [http://www.infobae.com/2015/12/23/1778522-mas-72000-evacuados-inundaciones-asuncion/]</t>
  </si>
  <si>
    <t>[1]  Ruiz, Silvio. Líder de la Asociación de Recicladores de Bogotá. 20 de septiembre de 2016.</t>
  </si>
  <si>
    <t>[1] Paucar, Justo. Líder Reciclador. Los Tigres de las 200 millas. 5 de octubre de 2016</t>
  </si>
  <si>
    <t xml:space="preserve">[1] Berthier Castillo, Héctor. Coordinador de la Unidad de Estudios Sobre la Juventud de la Universidad Nacional Autónoma de México. 29 de agosto de 2016.
[2] Espinoza, Tania. Coordinadora para Latinoamérica del Programa de Leyes de WIEGO y Consejera de la Comisión de Derechos Humanos de la Ciudad de México. 08 de agosto de 2016.                                                                                                                                                                                      
[3] Entrevista a trabajador de limpia con 40 años de experiencia; 23 de agosto 2016. Análisis de campo                                                                                                                                                                            
[4] Entrevistas a Pablo Tellez, líder del Frente Único de Pepenadores (8 de septiembre 2016) y Cuauhtemoc Gutiérrez, responsable comunicación de la Unión de Pepenadores del D.F. Rafael Gutiérrez Moreno (9 de septiembre de 2016). Análisis de campo    </t>
  </si>
  <si>
    <t>[1] Charbonier, Esteban.  Responsable del Programa de Clasificadores. Ministerio de Desarrollo Social (MIDES). 18 de octubre de 2016
[2] Soria, Sergio. Integrante de la Comisión Directiva de la Cooperativa Unión de Aglomerado de Polietileno (UCAP) 25 de octubre de 2016
[3] Rosendo, presidente de la Cooperativa Integral Laboral (CIL). 26 de octubre de 2016</t>
  </si>
  <si>
    <t xml:space="preserve">(46) Red de Reciclaje de Costa Rica (REDCICLA). Página web  [www.redcicla.org]             
(47) Rudin, Victoria, Susy Lobos. ACEPESA. 27 septiembre de 2016  </t>
  </si>
  <si>
    <t xml:space="preserve">[1] Amorin, Davi. Representante de comunicaciones. MNCR. 13 de octubre de 2016. 
</t>
  </si>
  <si>
    <t>(63) Organizaciones Comunitarias Vigentes Comuna de Santiago http://datos.gob.cl/dataset/organizaciones-comunitarias-vigentes-santaigo
(64) Entrevista con Exequiel Estay, Movimiento Nacional de Recicladores de Chile (MNRCH). 23 de Septiembre de 2016.</t>
  </si>
  <si>
    <t>G19</t>
  </si>
  <si>
    <t>[1] Red Recicladores. 2013. Testimonios Red Lacre: Graciela Maldonado. Red Recicladores [http://www.redrecicladores.net/es/blog-redlacre/item/testimonios-red-lacre-graciela-maldonado]
[2]Rotela, Eduardo. Director Fundación Avina. 6 de Septiembre de 2016
[3]Cazal, Pompeya. Recicla, Centro de Ayuda Mutua Salud para Todos  (CAMSAT). 26 de Septiembre de 2016
[4] Alianza Global de Recicladores. 2013. Recicladores de Paraguay realizan encuentro nacional. Alianza Global de Recicladores [http://globalrec.org/es/2013/12/13/recicladores-de-paraguay-realizan-encuentro-nacional/]</t>
  </si>
  <si>
    <t xml:space="preserve">[1]  Ruiz, Silvio. Líder de la Asociación de Recicladores de Bogotá. 20 de septiembre de 2016.
[2] Marín, Carolina. Asesora de la dirección de desarrollo sectorial del Viceministerio de Agua y Saneamiento Básico del Ministerio de Vivienda, Ciudad y Territorio. 3 de octubre de 2016. </t>
  </si>
  <si>
    <t xml:space="preserve">[1] Paucar, Justo. Líder Reciclador. Los Tigres de las 200 millas. 5 de octubre de 2016
[2] De la Torre, Eduardo. Coordinador Programa Basura Cero y Pro-Reciclador. Ciudad Saludable. 20 de septiembre de 2016.
[3] Red Recicladores. Publicado en 2012. http://redrecicladores.net/upgrade/pt/temas-de-interes/201-cierra-la-4d-convocatoria-a-fondos-concursables-de-red-lacre
</t>
  </si>
  <si>
    <t>[1] El Universal. "Guillermina de la Torre dueña del PRI", publicado el 09 de marzo de 2015 [http://www.eluniversalmas.com.mx/columnas/2015/03/111549.php]
[2] A través de Nohra Padilla se supo de la participación de Pablo Téllez en la Congregación de Recicladores en Bogotá el pasado 22 de agosto.         
[3] Entrevistas a Pablo Tellez, líder del Frente Único de Pepenadores (8 de septiembre 2016) y Cuauhtemoc Gutiérrez, responsable comunicación de la Unión de Pepenadores del D.F. Rafael Gutiérrez Moreno (9 de septiembre de 2016). Entrevista a trabajador de limpia con 40 años de experiencia; 23 de agosto 2016.</t>
  </si>
  <si>
    <t>[1] Nota de prensa de la participación de la Red Latinoamericana de Recicladores en la reunión de UCRUS en Uruguay. Julio 2016 http://www.redrecicladores.net/en/temas-de-interes/458-asamblea-nacional-de-clasificadores-en-montevideo
[2] Silva, Juan Carlos, Unión de Clasificadores de Residuos Sólidos Urbanos (UCRUS) 26 de octubre de 2016
[3] Fernández, Lucía. Women in Informal Employment (WIEGO). 21 de octubre de 2016
[4] Charbonier, Esteban.  Responsable del Programa de Clasificadores. Ministerio de Desarrollo Social (MIDES). 18 de octubre de 2016
[5] Soria, Sergio. Integrante de la Comisión Directiva de la Cooperativa Unión de Aglomerado de Polietileno (UCAP) 25 de octubre de 2016
[6] Rosendo, presidente de la Cooperativa Integral Laboral (CIL). 26 de octubre de 2016</t>
  </si>
  <si>
    <t>(48) Chacón, Marlen. Presidenta Asofamisae Recicla, Distrito de Escazú. 24 de septiembre de 2016</t>
  </si>
  <si>
    <t xml:space="preserve">[1] Fontes, Joaquim; Marucci, José; de Oliveira, Mauro José. "Governança cooperativa: participação e representatividade em cooperativas de crédito no Brasil".  Agosto de 2008. 
[2] Amorin, Davi. Representante de comunicaciones. MNCR. 13 de octubre de 2016. 
 </t>
  </si>
  <si>
    <t>[1] Tamayo, Neida; Presidenta y Rivero, Karina Secretaria; de la asociación Red de Recolectores Santa Cruz. 7 y 8 de octubre de 2016</t>
  </si>
  <si>
    <t>(65) Entrevista con Exequiel Estay, Movimiento Nacional de Recicladores de Chile (MNRCH). 23 de Septiembre de 2016.</t>
  </si>
  <si>
    <t>G20</t>
  </si>
  <si>
    <t>[1] Abbate, Jorge. Director Ejecutivo, geAm. 29 de Agosto de 2016.
[2]Rotela, Eduardo. Director Fundación Avina. 6 de Septiembre de 2016</t>
  </si>
  <si>
    <t>[1] Entrevista a Peter Cohen, consultor; 8 septiembre 2016. 
[2] Entrevista a Hilly Martinez, Responsable de Comunicación de Bowen &amp; Bowen; 29 agosto 2016.</t>
  </si>
  <si>
    <t>[1] De la Torre, Eduardo. Coordinador Programa Basura Cero y Pro-Reciclador. Ciudad Saludable. 20 de septiembre de 2016.
[2]Huiman, Alberto. CEO Perú Waste Innovation. 20 de septiembre de 2016.
[3]] Uscameita, Walter. Líder Reciclador. Asociación de recicladores de Lima.</t>
  </si>
  <si>
    <t>[1] INARE: www.inare.mx; 
[2] Entrevista a Edgar Báez - Recupera; 23 de agosto 2016.
[3] ECOCE. www.ecoce.mx
[4] Fernández, Jorge. Director de la Asociación Mexicana de Empresas Ambientales. 16 de Agosto de 2016.</t>
  </si>
  <si>
    <t>[1] Soria, Sergio. Integrante de la Comisión Directiva de la Cooperativa Unión de Aglomerado de Polietileno (UCAP) 25 de octubre de 2016
[2] Rosendo, presidente de la Cooperativa Integral Laboral (CIL). 26 de octubre de 2016</t>
  </si>
  <si>
    <t>(49) Miranda, Gerardo. Gerente Ambiental Florida Bebidas. 13 de octubre de 2016.</t>
  </si>
  <si>
    <t xml:space="preserve">[1] Gomes Prol Otero, Gabriela. Coordinadora técnica. Abrelpe. 13 de octubre de 2016.
[2] Amorin, Davi. Representante de comunicaciones. MNCR. 13 de octubre de 2016. </t>
  </si>
  <si>
    <t>[1] AMIGARSE, sitio web: http://www.amigarse.org/
[2] Proyecto de la actuación de Aguas del Urubó con la Red de Recolectores Santa Cruz. Documento interno.
[3] Tamayo, Neida; Presidenta y Rivero, Karina Secretaria; de la asociación Red de Recolectores Santa Cruz. 7 y 8 de octubre de 2016
[4] https://es-la.facebook.com/Fundaci%C3%B3n-para-el-Reciclaje-Fundare-Santa-Cruz-198937066786916/</t>
  </si>
  <si>
    <t xml:space="preserve">(66) Entrevista con Exequiel Estay, Movimiento Nacional de Recicladores de Chile (MNRCH). 23 de Septiembre de 2016.   
(67) Entrevista con Mayling Yuen, Fundación Casa de La Paz. 27 de Septiembre de 2016.  </t>
  </si>
  <si>
    <t>G21</t>
  </si>
  <si>
    <t>[1]Rotela, Eduardo. Director Fundación Avina. 6 de Septiembre de 2016
[2]Cazal, Pompeya. Recicla, Centro de Ayuda Mutua Salud para Todos  (CAMSAT). 26 de Septiembre de 2016
[3] Pérez Ayala, Gloria. Consultora Proyectos Sociales. 14 de Septiembre de 2016</t>
  </si>
  <si>
    <t xml:space="preserve">[1] El Universal. "Guillermina de la Torre dueña del PRI", publicado el 09 de marzo de 2015 [http://www.eluniversalmas.com.mx/columnas/2015/03/111549.php]                                                                                             
[2] Entrevistas a Cuauhtemoc Gutiérrez, responsable comunicación de la Unión de Pepenadores del D.F. Rafael Gutiérrez Moreno; 9 de septiembre 2016.                                                        
[3]  Entrevista a Pablo Tellez, líder del Frente Único de Pepenadores; 8 de septiembre 2016.                                      
[4]  Entrevista a trabajador de limpia con 40 años de experiencia; 23 de agosto 2016.
</t>
  </si>
  <si>
    <t>[1] Charbonier, Esteban.  Responsable del Programa de Clasificadores. Ministerio de Desarrollo Social (MIDES). 18 de octubre de 2016
[2] Fernández, Lucía. Women in Informal Employment (WIEGO). 21 de octubre de 2016
[3] Soria, Sergio. Integrante de la Comisión Directiva de la Cooperativa Unión de Aglomerado de Polietileno (UCAP) 25 de octubre de 2016</t>
  </si>
  <si>
    <t xml:space="preserve">(50) Chacón, Marlen y Susy Lobo. 2011.  "Avance de la Visita a Botaderos y Centros de Recuperación  de Residuos Valorizables en Costa Rica". Informe Técnico y Financiero.           </t>
  </si>
  <si>
    <t>(68) Ciudad Saludable y Movimiento Nacional de Recicladores de Chile. 2010. Por la Ruta del Reciclaje en Chile. Lima, Perú.</t>
  </si>
  <si>
    <t>G22</t>
  </si>
  <si>
    <t xml:space="preserve">[1] Abbate, Jorge. Director Ejecutivo, geAm. 29 de Agosto de 2016.
[2]Cazal, Pompeya. Recicla, Centro de Ayuda Mutua Salud para Todos  (CAMSAT). 26 de Septiembre de 2016
[3] geAm. 2011. PROCICLA. Empresa inclusiva para el reciclaje. geAm. [http://www.geam.org.py/v3/blog/procicla-empresa-inclusiva-para-el-reciclaje/] 
</t>
  </si>
  <si>
    <t>[1] Paucar, Justo. Líder Reciclador. Los Tigres de las 200 millas. 5 de octubre de 2016
[2]De la Torre, Eduardo. Coordinador Programa Basura Cero y Pro-Reciclador. Ciudad Saludable. 20 de septiembre de 2016.</t>
  </si>
  <si>
    <t xml:space="preserve">[1]  Entrevista a Pablo Tellez, líder del Frente Único de Pepenadores;  8 de septiembre 2016.                                                                                    
[2] Entrevistas a Cuauhtemoc Gutiérrez, responsable comunicación de la Unión de Pepenadores del D.F. Rafael Gutiérrez Moreno;  9 de septiembre 2016.                                                              
[3] Berthier Castillo, Héctor. Coordinador de la Unidad de Estudios Sobre la Juventud de la Universidad Nacional Autónoma de México. 29 de agosto de 2016    
[4]  Entrevista a trabajador de limpia con 40 años de experiencia; 23 de agosto 2016.
</t>
  </si>
  <si>
    <t>[1] Ychuste, Arllene y Clausen, Daniel. Área Recicladores de la Organización San Vicente-Padre Cacho. 14 de octubre de 2016.
[2] Soria, Sergio. Integrante de la Comisión Directiva de la Cooperativa Unión de Aglomerado de Polietileno (UCAP) 25 de octubre de 2016.</t>
  </si>
  <si>
    <t>[1] Guanoluisa, Laura. Presidenta de RENAREC. 22 de septiembre de 2016. 
[2] Peña, Cecilia.  Directora de Desarrollo Empresarial de EMASEO. 3 de octubre de 2016. 
[3] Riera, Fernando. Gerente de EMGIRS. 28 de septiembre de 2016. 
[4] Arias, Verónica. Secretaria de Ambiente de la Secretaría de Ambiente. 10 de octubre de 2016. 
[5] Guerrero, Fabián. Gerente de REPAPERS. 28 de septiembre de 2016.</t>
  </si>
  <si>
    <t xml:space="preserve">(51) Valerín, Álvaro. Encargado Centro de Recuperación de Materiales Valorizable, Municipio San José. 14 de octubre de 2016.   </t>
  </si>
  <si>
    <t xml:space="preserve">[1] Prefeitura Municipal Da Cidade de Sao Paulo - Secretaria de Servivios. PGIRS 2014.
[2] Amorin, Davi. Representante de comunicaciones. MNCR. 13 de octubre de 2016. 
 </t>
  </si>
  <si>
    <t xml:space="preserve">(69) Entrevista con Mayling Yuen, Fundación Casa de La Paz. 27 de Septiembre de 2016.  </t>
  </si>
  <si>
    <t>G23</t>
  </si>
  <si>
    <t>[1] Abbate, Jorge. Director Ejecutivo, geAm. 29 de Agosto de 2016.
[2]Cazal, Pompeya. Recicla, Centro de Ayuda Mutua Salud para Todos  (CAMSAT). 26 de Septiembre de 2016</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</si>
  <si>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 
[8] Entrevista a Hilly Martinez, Responsable de Comunicación de Bowen &amp; Bowen; 29 agosto 2016.</t>
  </si>
  <si>
    <t>[1] SEDEMA, 2015,"Inventario de Residuos Solidos" Pag. 70.</t>
  </si>
  <si>
    <t>(52) Valerín, Álvaro. Encargado Centro de Recuperación de Materiales Valorizable, Municipio San José. 14 de octubre de 2016.                                                                                                     
(53) Miranda, Gerardo. Gerente Ambiental Florida Bebidas. 13 de octubre de 2016.</t>
  </si>
  <si>
    <t>[1] Autoridade Municipal de Limpieza Urbana. Programa de Coleta Seletiva. Publicado en 2016.
[2] BVBrio. Octubre de 2016. Publicado en [http://www.bvrio.com/embalagem/venda/relatorioFisico.do]</t>
  </si>
  <si>
    <t>[1] Gaceta oficial del Estado plurinacional de Bolivia. Buscador de legislación de Bolivia, lugar donde hallar el Decreto 2887 http://www.gacetaoficialdebolivia.gob.bo/index.php/normas/lista/1/page:2
[2]  Noticia de la entrada en vigor del Decreto 2887 y el impacto que puede tener en los recolectores http://www.eldeber.com.bo/bolivia/decreto-reciclaje-beneficia-30-mil.html
[3] Tamayo, Neida; Presidenta y Rivero, Karina Secretaria; de la asociación Red de Recolectores Santa Cruz. 7 y 8 de octubre de 2016</t>
  </si>
  <si>
    <t xml:space="preserve">(70) Entrevista con Donatella Fucaro, Subdirección de Medio Ambiente, Municipalidad de Santiago. 22 de Septiembre de 2016.  
(71) Entrevista con Exequiel Estay, Movimiento Nacional de Recicladores de Chile (MNRCH). 23 de Septiembre de 2016.  </t>
  </si>
  <si>
    <t>G24</t>
  </si>
  <si>
    <t xml:space="preserve">[1] Abbate, Jorge. Director Ejecutivo, geAm. 29 de Agosto de 2016.
[2] Cazal, Pompeya. Recicla, Centro de Ayuda Mutua Salud para Todos  (CAMSAT). 26 de Septiembre de 2016
[3] Rotela, Eduardo. Director Fundación Avina. 6 de Septiembre de 2016
</t>
  </si>
  <si>
    <t>[1] Entrevista con Alejandro Valiente, Militante del Movimiento de Trabajadores Excluidos (MTE), acompañante técnico de la Cooperativa el Amanecer de los Cartoneros y de la Federación Argentina de Cartoneros y Recicladores (FACYR). 
[2] Instituto Nacional de Asociativismo y Economía Social (INAES). Programa de Ayuda Financiera [http://www.inaes.gob.ar/Tramites/AyudaFinanciera]
[3] Banco Credicoop. [http://www.bancocredicoop.coop/empresas/creditos-pymes/creditos-para-cooperativas.html]
[4] Banco Nación. [http://www.bna.com.ar/Empresas/Pymes/Creditos]
[5] Entrevista a Horacio Martino, Gerente de Medio Ambiente de Tetra Pak y Vicepresidente de CEMPRE Argentina. 2 de octubre de 2016.</t>
  </si>
  <si>
    <t>[1]  Entrevista sa Pablo Tellez, líder del Frente Único de Pepenadores; 8 de septiembre de 2016. Entrevista a Cuauhtemoc Gutiérrez, responsable comunicación de la Unión de Pepenadores del D.F. Rafael Gutiérrez Moreno;  9 de septiembre de 2016.
[2] Entrevista a trabajador de limpia con 40 años de experiencia; 23 de agosto 2016. Análisis de campo</t>
  </si>
  <si>
    <t>[1] Charbonier, Esteban.  Responsable del Programa de Clasificadores. Ministerio de Desarrollo Social (MIDES). 18 de octubre de 2016
[2] Silva, Juan Carlos, Unión de Clasificadores de Residuos Sólidos Urbanos (UCRUS) 26 de octubre de 2016</t>
  </si>
  <si>
    <t>(54) Valerín, Álvaro. Encargado Centro de Recuperación de Materiales Valorizable, Municipio San José. 14 de octubre de 2016.</t>
  </si>
  <si>
    <t xml:space="preserve">[1] Guimarães da Silva, Anderson. Coordinador. Serviço Franciscano de Solidariedade Sefras Reciclagem - Recifran. 26 de octubre de 2016.
[2] Lima, Nathalia. Gestión de proyectos. Giral. 17 de octubre de 2016. 
</t>
  </si>
  <si>
    <t xml:space="preserve">[1] Tamayo, Neida; Presidenta y Rivero, Karina Secretaria; de la asociación Red de Recolectores Santa Cruz Santa Cruz. 7 y 8 de octubre de 2016
</t>
  </si>
  <si>
    <t>(72) Banco Estado, Programa de Apoyo a Microempresa. [https://www.bancoestado.cl/imagenes/corporativo/InformeMicroempresas.pdf]</t>
  </si>
  <si>
    <t>G25</t>
  </si>
  <si>
    <t>[1] Abbate, Jorge. Director Ejecutivo, geAm. 29 de Agosto de 2016.
[2] Rotela, Eduardo. Director Fundación Avina. 6 de Septiembre de 2016
[3] Borja, Flavia. 2013. "Trabajar con la basura en Asunción". ABC Color. [http://www.abc.com.py/nacionales/trabajar-con-la-basura-en-asuncion-606143.html]
[4] Jiménez, Yasmina. 2014. Cateura, el ultimo eslabón en la cadena de reciclaje. El País [http://www.elmundo.es/america/2014/05/11/536e444e22601db6748b456e.html]</t>
  </si>
  <si>
    <t>[1] Entrevista a Dion Leslie - Sanitation Councelor of Belize City; 1 septiembre 2016. 
[2] Entrevista a barrendera empleada en el servicio de limpia de Belize City; 29 agosto 2016. 
[3] Entrevista a Peter Cohen, consultor; 8 septiembre 2016. 
[4] Entrevista a Robert Prahiam, reciclador de base de la Estación de Transferencia de 3 mile George Price Highway; 31 agosto 2016.</t>
  </si>
  <si>
    <t>[1]Pérez Vélez, Hernán. Gestión y Manejo de Residuos Sólidos en la Municipalidad Metropolitana de Lima. Washington, D.C. 31 de marzo - 1 de abril de 2016. 
[2] Paucar, Justo. Líder Reciclador. Los Tigres de las 200 millas. 5 de octubre de 2016</t>
  </si>
  <si>
    <t>[1] Entrevista a trabajador de limpia con 40 años de experiencia; 23 de agosto 2016. Análisis de campo 
[2]  Entrevista sa Pablo Tellez, líder del Frente Único de Pepenadores; 8 de septiembre de 2016. Entrevista a Cuauhtemoc Gutiérrez, responsable comunicación de la Unión de Pepenadores del D.F. Rafael Gutiérrez Moreno;  9 de septiembre de 2016
[3] Entrevista a representante del Gobierno de la CDMX;  6 de septiembre 2016
[4] SEDEMA, 2015,"Inventario de Residuos Solidos" Pag. 70.</t>
  </si>
  <si>
    <t>[1] Fernández, Lucía. Women in Informal Employment (WIEGO). 21 de octubre de 2016
[2] Baraibar, Federico. Compromiso Empresarial para el Reciclaje (CEMPRE). 21 de octubre de 2016</t>
  </si>
  <si>
    <t xml:space="preserve">(55) Valerín, Álvaro. Encargado Centro de Recuperación de Materiales Valorizable, Municipio San José. 14 de octubre de 2016.     </t>
  </si>
  <si>
    <t>[1] Prefeitura Municipal Da Cidade de Sao Paulo - Secretaria de Servivios. PGIRS 2014.
[2] Instituto de Pesquisa Econômica Aplicada.Situação Social das Catadoras e dos Catadores de Material Reciclável e Reutilizável. Publicado en 2013.</t>
  </si>
  <si>
    <t xml:space="preserve">(70) Entrevista con Donatella Fucaro, Subdirección de Medio Ambiente, Municipalidad de Santiago. 22 de Septiembre de 2016.   
(71) Entrevista con Exequiel Estay, Movimiento Nacional de Recicladores de Chile (MNRCH). 23 de Septiembre de 2016.  </t>
  </si>
  <si>
    <t>G26</t>
  </si>
  <si>
    <t>[1] Abbate, Jorge. Director Ejecutivo, geAm. 29 de Agosto de 2016.
[2] Secretaria del Ambiente, la Municipalidad de Asunción
(Paraguay) y el Programa de las Naciones Unidas para el Medio Ambiente. 2008. Perspectivas del Medio Ambiente Urbano. GEO Asunción del Paraguay. Secretaria del Ambiente (SEAM), la Municipalidad de Asunción (Paraguay) y el Programa de las Naciones Unidas para el Medio Ambiente (PNUMA)</t>
  </si>
  <si>
    <t>[1] Ruiz, Silvio. Líder de la Asociación de Recicladores de Bogotá. 20 de septiembre de 2016.
[2] González, Carolina. Asesora de la Subdirección de Aprovechamiento de la Unidad Administrativa Especial de Servicios Públicos  UAESP. 20 de septiembre de 2016. 
[3] Marín, Carolina. Asesora de la dirección de desarrollo sectorial del Viceministerio de Agua y Saneamiento Básico del Ministerio de Vivienda, Ciudad y Territorio. 3 de octubre de 2016. 
[4]  Unidad Administrativa Especial de Servicios Públicos - UAESP. "Plan de Gestión Integral de Residuos Sólidos - PGIRS. Actualización". Publicado en septiembre de 2016. [http://www.uaesp.gov.co/images/1Actualizacion%20PGIRS%20VF%20-%20300916.pdf]</t>
  </si>
  <si>
    <t>[1]Concejo Metropolitano de Lima. Ordenanza No. 1854 para promover, impulsar y regular el reciclaje de los residuos sólidos en la provincia de Lima, publicada en diciembre de 2014.
[2] De la Cruz, Carolina. Coordinadora Programa de segregación en la fuente. Municipalidad Metropolitana de Lima. 5 de octubre de 2016.
[3]Huiman, Alberto. CEO Perú Waste Innovation. 20 de septiembre de 2016.</t>
  </si>
  <si>
    <t>[1] Ciencia y Desarrollo. 
"Datos sobre la basura en la Ciudad de México." http://www.cyd.conacyt.gob.mx/195/Articulos/Residuossolidos/Popups/Residuosdf.htm 
[2] Secretaría de Ambiente de la Ciudad de México. "Inventario de Residuos Sólidos", publicado en 2015.
[3] Luppi, Pietro. Ciudad de México: El funcionamiento informal del servicio de la recolección y separación de la fracción orgánica. 2013</t>
  </si>
  <si>
    <t>[1] Ordenanza Metropolitana Nº 332, publicado el 12 de agosto de 2010.   [http://www.quitoambiente.gob.ec/ambiente/images/Secretaria_Ambiente/Documentos/calidad_ambiental/normativas/ordm_332_sis_gest_int.pdf.] 
[2] Peña, Cecilia.  Directora de Desarrollo Empresarial de EMASEO. 3 de octubre de 2016.</t>
  </si>
  <si>
    <t>(56) Ordeñana, Emperatriz. Directora Departamento Servicios Ambientales. 12 de octubre de 2016</t>
  </si>
  <si>
    <t>[1] Rizpah, Besben; Ribeiro, Helena, Risso Gunther, Wanda; Jacobi, Pedro. Selective Waste Collection In The Sao Paulo Metropolitan Region: Impacts of the national solid waste policy. Julio - septiembre de 2014.
[2] Gomes Prol Otero, Gabriela. Coordinadora técnica. Abrelpe. 13 de octubre de 2016</t>
  </si>
  <si>
    <t>(72) Entrevista Mauricio Mery, Programa de Reciclaje Municipal Santiago,  4 de Octubre de 2016.                              
(73)  Programa Reciclaje Municipal http://www.munistgo.info/aseo/servicios/reciclaje/</t>
  </si>
  <si>
    <t>G27</t>
  </si>
  <si>
    <t>[1] Abbate, Jorge. Director Ejecutivo, geAm. 29 de Agosto de 2016.
[2] Rotela, Eduardo. Director Fundación Avina. 6 de Septiembre de 2016
[3] Cazal, Pompeya. Recicla, Centro de Ayuda Mutua Salud para Todos  (CAMSAT). 26 de Septiembre de 2016</t>
  </si>
  <si>
    <t>[1] González, Carolina. Asesora de la Subdirección de Aprovechamiento de la Unidad Administrativa Especial de Servicios Públicos  UAESP. 20 de septiembre de 2016. 
[2] Ruiz, Silvio. Líder de la Asociación de Recicladores de Bogotá. 20 de septiembre de 2016.</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</si>
  <si>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t>
  </si>
  <si>
    <t>[1] Paucar, Justo. Líder Reciclador. Los Tigres de las 200 millas. 5 de octubre de 2016.</t>
  </si>
  <si>
    <t xml:space="preserve">[1] Entrevista a trabajador de limpia con 40 años de experiencia; 23 de agosto 2016. Analisis de campo.
[2] Comisión de Derechos Humanos del Distrito Federal. Recomendación 7/2016, publicado en junio de 2016. [http://cdhdfbeta.cdhdf.org.mx/2016/07/recomendacion-72016/]
[3] Berthier Castillo, Héctor. Coordinador de la Unidad de Estudios Sobre la Juventud de la Universidad Nacional Autónoma de México. 29 de agosto de 2016.
[4] Espinoza, Tania. ¿Qué derechos laborales tienen los trabajadores informales del servicio de limpia en la ciudad de México?: el caso de los trabajadores voluntarios y pepenadores. 2013. Revista electrónica Métodhos 05: 85-121. 
[5]  Entrevista sa Pablo Tellez, líder del Frente Único de Pepenadores; 8 de septiembre de 2016. Entrevista a Cuauhtemoc Gutierrez, responsable comunicación de la Unión de Pepenadores del D.F. Rafael Gutierrez Moreno;  9 de septiembre de 2016
[6] Entrevista a representante del Gobierno de la CDMX; 6 de septiembre 2016
</t>
  </si>
  <si>
    <t>[1] Charbonier, Esteban.  Responsable del Programa de Clasificadores. Ministerio de Desarrollo Social (MIDES). 18 de octubre de 2016
[2] Ychuste, Arllene y Clausen, Daniel. Área Recicladores de la Organización San Vicente-Padre Cacho. 14 de octubre de 2016
[3] Arocena, Ana Luisa. Socia de la empresa gestora de residuos TRIEX. 25 de octubre de 2016</t>
  </si>
  <si>
    <t xml:space="preserve">(57) Valerín, Álvaro. Encargado Centro de Recuperación de Materiales Valorizable, Municipio San José. 14 de octubre de 2016.  </t>
  </si>
  <si>
    <t>[1] Prefeitura Municipal Da Cidade de Sao Paulo - Secretaria de Servivios. PGIRS 2014.
[2] Gomes Prol Otero, Gabriela. Coordinadora técnica. Abrelpe. 13 de octubre de 2016</t>
  </si>
  <si>
    <t xml:space="preserve">(74) Entrevista a Daniela Núñez, Recicladora de base, Programa de Reciclaje Inclusivo Municipal. 4 de Octubre de 2016                                                                                                  </t>
  </si>
  <si>
    <t>G28</t>
  </si>
  <si>
    <t>[1] Abbate, Jorge. Director Ejecutivo, geAm. 29 de Agosto de 2016.
[2] Cazal, Pompeya. Recicla, Centro de Ayuda Mutua Salud para Todos  (CAMSAT). 26 de Septiembre de 2016</t>
  </si>
  <si>
    <t>[1] Gutiérrez, Juan Carlos. Gerente de Ekored. 20 de septiembre de 2016.
[2] Ruiz, Silvio. Líder de la Asociación de Recicladores de Bogotá. 20 de septiembre de 2016.</t>
  </si>
  <si>
    <t>[1] Comisión de Derechos Humanos del Distrito Federal. Recomendación 7/2016, publicado en junio de 2016. [http://cdhdfbeta.cdhdf.org.mx/2016/07/recomendacion-72016/]; 
[2]  Entrevista a trabajador de limpia con 40 años de experiencia; 23 de agosto 2016. Análisis de campo;
[3]  Entrevista sa Pablo Tellez, líder del Frente Único de Pepenadores; 8 de septiembre de 2016. Entrevista a Cuauhtemoc Gutiérrez, responsable comunicación de la Unión de Pepenadores del D.F. Rafael Gutiérrez Moreno;  9 de septiembre de 2016. Análisis de campo</t>
  </si>
  <si>
    <t>[1] Fernández, Lucía. Women in Informal Employment (WIEGO). 21 de octubre de 2016
[2] Soria, Sergio. Integrante de la Comisión Directiva de la Cooperativa Unión de Aglomerado de Polietileno (UCAP) 25 de octubre de 2016
[3] Baraibar, Federico. Directo ejecutivo. Compromiso Empresarial para el Reciclaje (CEMPRE). 21 de octubre de 2016
[4] Arocena, Ana Luisa. Socia de la empresa gestora de residuos TRIEX. 25 de octubre de 2016</t>
  </si>
  <si>
    <t xml:space="preserve">(58) Valerín, Álvaro. Encargado Centro de Recuperación de Materiales Valorizable, Municipio San José. 14 de octubre de 2016.  </t>
  </si>
  <si>
    <t xml:space="preserve">[1]  Guimarães da Silva, Anderson. Coordinador. Serviço Franciscano de Solidariedade Sefras Reciclagem - Recifran. 26 de octubre de 2016.
[2] Gomes Prol Otero, Gabriela. Coordinadora técnica. Abrelpe. 13 de octubre de 2016.
[3] Diego de Sant'Ana &amp; Daniela Matello. RECICLAGEM E INCLUSÃO SOCIAL NO BRASIL: BALANÇO E DESAFIOS. Publicado en 2014.
[4] Prefeitura de Sao Paulo. "La ciudad abre el segundo centro de mecanizado de clasificación de residuos sólidos y triplica las tasas de reciclaje". 16 de julio de 2014. Publicado en [http://www.capital.sp.gov.br/portal/noticia/3442#ad-image-0] </t>
  </si>
  <si>
    <t xml:space="preserve">(75) Entrevista a Daniela Núñez, Recicladora de base, Programa de Reciclaje Inclusivo Municipal. 4 de Octubre de 2016                                                                                                  </t>
  </si>
  <si>
    <t>G29</t>
  </si>
  <si>
    <t>[1]E'a. 2013. El Mundo del Reciclaje. E'a [http://ea.com.py/v2/el-mundo-del-reciclaje/]
[2] Jiménez, Yasmina. 2014. Cateura, el ultimo eslabón en la cadena de reciclaje. El País [http://www.elmundo.es/america/2014/05/11/536e444e22601db6748b456e.html]
[3] Abbate, Jorge. Director Ejecutivo, geAm. 29 de Agosto de 2016</t>
  </si>
  <si>
    <t xml:space="preserve">[1] Returnable Containers Act (No 12 of 2009).  
[2] Entrevista a Hilly Martinez, Responsable de Comunicación de Bowen &amp; Bowen; 29 agosto 2016. 
[3] Entrevista a barrendera empleada en el servicio de limpia de Belize City; 29 agosto 2016. 
[4] Análisis de campo. 
[5] Entrevista a Reynaldo Hernandez, representante de PASA BELIZE Ltd; 30 agosto 2016. 
[6] Entrevista a Robert Prahiam, reciclador de base de la Estación de Transferencia de 3 mile George Price Highway; 31 agosto 2016. </t>
  </si>
  <si>
    <t xml:space="preserve">[1]Huiman, Alberto. CEO Perú Waste Innovation. 20 de septiembre de 2016. </t>
  </si>
  <si>
    <t>[1] Entrevista a trabajador de limpia con 40 años de experiencia; 23 de agosto 2016.
[2] Entrevista a  Edgar Báez - Recupera; 23 de agosto 2016.
[3]  Entrevista sa Pablo Tellez, líder del Frente Único de Pepenadores; 8 de septiembre de 2016. Entrevista a Cuauhtemoc Gutiérrez, responsable comunicación de la Unión de Pepenadores del D.F. Rafael Gutiérrez Moreno;  9 de septiembre de 2016. Entrevista a representante del Gobierno de la CDMX;  6 de septiembre 2016</t>
  </si>
  <si>
    <t xml:space="preserve">[1] Rosendo, presidente de la Cooperativa Integral Laboral (CIL). 26 de octubre de 2016
[2] Luis, Pablo. Recicladora industrial de plástico tipo PET. ECOPET. 26 de octubre de 2016
[3] Baraibar, Federico. Director ejecutivo. Compromiso Empresarial para el Reciclaje (CEMPRE). 21 de octubre de 2016
</t>
  </si>
  <si>
    <t>(59) Valerín, Álvaro. Encargado Centro de Recuperación de Materiales Valorizable, Municipio San José. 14 de octubre de 2016.                                                                                                     
(60) Miranda, Gerardo. Gerente Ambiental Florida Bebidas. 13 de octubre de 2016.</t>
  </si>
  <si>
    <t xml:space="preserve">[1] Rutkowsky, Jacqueline; Varella, Cinthia; Campos, Larissa. Recycling Municipal Solid Waste In Brazil: Challenges and Opportunities for Expansion. ISWA World Congress 2014. </t>
  </si>
  <si>
    <t>(76) Catastro Socio Laboral de Recicladores de la Región Metropolitana. Casa de la Paz, MNRCH, 2015</t>
  </si>
  <si>
    <t>G30</t>
  </si>
  <si>
    <t xml:space="preserve">[1] Abbate, Jorge. Director Ejecutivo, geAm. 29 de Agosto de 2016
[2] Coresa. Sin Fecha. La Empresa. Coresa [http://www.coresa.com.py/empresa.htm]
[3] Red del Pacto Global Paraguay. 2014. Guía de Reciclaje. Red del Pacto Global Paraguay [http://www.solar.com.py/mediafiles/guia_de_reciclaje.pdf]
[4] Maidana, Marcelina. 2008. El reciclaje de los vidrios, una cuestión de la salud pública. ABC Color. [http://www.abc.com.py/edicion-impresa/locales/el-reciclaje-de-los-vidrios-una-cuestion-de-la-salud-publica-1050238.html]
[5] Segovia, Rocío. 2014. Los millonarios envíos del reciclaje. 5dias. [http://www.5dias.com.py/35798-los-millonarios-envios-del-reciclaje]
[6] Brassur. 2014. Como se recicla el metal. Brassur [http://www.brassur.com/como-se-recicla-el-metal/]
[7] ABC Rural. 2014. Reciclado de papel da trabajo a centenares de familias. ABC Color [http://www.abc.com.py/edicion-impresa/suplementos/abc-rural/reciclado-de-papel-da-trabajo-a-centenares-de-familias-1267463.html]
[8] Fundación CIRD, 2014. Oportunidades de negocios para las micro y pequeñas empresas en la construcción de ciudades sustentables en Paraguay. Fundación CIRD [http://www.cird.org.py/institucional/documentos/Mipymes&amp;CiudadesSustentables_CIRD_SEBRAE.pdf] 
</t>
  </si>
  <si>
    <t xml:space="preserve">[1] Conexion Reciclado. [http://www.recicladores.com.ar/?direccion=&amp;tipo_reciclador=1&amp;categoria=0&amp;subcategoria=0]
[2] ECOPLAS Entidad Técnica Profesional especializada en plásticos y medio ambiente [http://www.ecoplas.org.ar/ecoplas_datos_mercado.php]
[3] CAIRPLAS Cámara Argentina de la Industria de Reciclados plásticos [http://cairplas.org.ar/mision/]
[4] Entrevista a Horacio Martino, Gerente de Medio Ambiente de Tetra Pak y Vicepresidente de CEMPRE Argentina. 2 de octubre de 2016.
[5] Tetra Pak. [http://www.tetrapak.com/ar/sustainability/recicladores-en-argentina]
[6] Asociación de Fabricantes de Celulosa y Papel (AFCP) [http://www.afcparg.org.ar/asociados/]
[7] Rodriguez, Mónica V. 2011. "Recuperación y reciclado del hierro en la Región Metropolitana de Buenos Aires". In Francisco M. Suarez y Pablo J. Schamber eds., Recicloscopio III: Miradas sobre recuperadores urbanos, formas organizativas y circuitos de valorización. Buenos Aires: Ediciones CICCUS.
</t>
  </si>
  <si>
    <t>[1] Entrevista a Hilly Martinez, Responsable de Comunicación de Bowen &amp; Bowen; 29 agosto 2016. 
[2] Entrevista a Reynaldo Hernandez, representante de PASA BELIZE Ltd; 30 agosto 2016.</t>
  </si>
  <si>
    <t>[1]Ciudad Saludable. Por la Ruta del Reciclaje. Publicado en 2010.</t>
  </si>
  <si>
    <t>[1] Cámara de Papel . Plan de Manejo de Residuos de Papel y Cartón en México, publicado en marzo de 2012.
[2] Saldaña Romero, Carlos.  Reciclaje de vidrio en México,  una perspectiva de la zona occidente.[http://www3.vitro.com/noticiero/boletin/abr14/nota5.html]
[3] ECOCE. Datos estadísticos. [http://www.ecoce.mx/datos-estadisticos.php]
[4] Cámara Nacional de la Industria del Hierro y del Acero. Directorio de Socios [http://www.canacero.org.mx/Es/acero-en-cifras.html]                                                                                                                                                                                                                                 
[5] Entrevista a  Edgar Báez, Recupera; 23 de agosto 2016.</t>
  </si>
  <si>
    <t>(61) Miranda, Gerardo. Gerente Ambiental Florida Bebidas. 13 de octubre de 2016.</t>
  </si>
  <si>
    <t>[1] Unnafibras Textil Ltda. 2016. Publicado en [http://www.unnafibras.com.br/site/]
[2] Resilider. 2016. Publicado en [http://www.resilider.com.br/]
[3]Ramenzoni, industria de papel. 2016. Publicado en [http://www.ramenzoni.com.br/]
[4] Latasa Reciclagem. 2016. Publicado en [http://www.latasa.ind.br/pt/] 
[5]Grupo Metalis. 2016. Publicado en [http://www.metalis.com.br/2013/index.php]
[6]Owens Illinois Latin America. Contacts and Location. Publicado en 2016.</t>
  </si>
  <si>
    <t>[1] Galvez, Moira. Directora ejecutiva de la Fundación para el Reciclaje (FUNDARE) de la Cámara de Industria, Comercio, Servicios y Turismo de Santa Cruz (CAINCO) 10 de octubre de 2016
[2] Oficina económica y comercial de la Embajada de España en La Paz. Instituto Español de Comercio Exterior (ICEX) "El mercado del reciclaje en Bolivia" 2011
[3] SKOLL Foundation et al. "Por la ruta del reciclaje en Bolivia" 2010</t>
  </si>
  <si>
    <t>(77) Ministerio de Medio Ambiente.2010. "Diagnóstico Producción, Importación y Distribución Envases y Embalajes y el Manejo de los Residuos de Envases y Embalajes" [http://www.mma.gob.cl/1304/articles-55497_Diagnostico_envases_embalajes_2010.pdf]</t>
  </si>
  <si>
    <t>G31</t>
  </si>
  <si>
    <t>[1] Abbate, Jorge. Director Ejecutivo, geAm. 29 de Agosto de 2016</t>
  </si>
  <si>
    <t>[1] Buenos Aires Ciudad. [http://www.buenosaires.gob.ar/ciudadverde/separacion/porque/cooperativas-de-recuperadores-urbanos].
[2] Buenos Aires Ciudad. Ministerio de Ambiente y Espacio Público. "Concurso Público para la contratación del Servicio Público de Higiene Urbana - Fracción Secos" [http://www.buenosaires.gob.ar/areas/med_ambiente/archivos/secos_final.pdf].</t>
  </si>
  <si>
    <t>[1] Entrevista a trabajador de limpia con 40 años de experiencia; 23 de agosto 2016.
[2]  Entrevista sa Pablo Tellez, líder del Frente Único de Pepenadores; 8 de septiembre de 2016. Entrevista a Cuauhtemoc Gutiérrez, responsable comunicación de la Unión de Pepenadores del D.F. Rafael Gutiérrez Moreno;  9 de septiembre de 2016.
[3] Luppi Pietro y Vergalito Enzo, "Los procesos de integración de las economías populares en la gestión de residuos. Panorámica general con enfoque en América Latina y Europa".</t>
  </si>
  <si>
    <t xml:space="preserve">[1] Peña, Cecilia.  Directora de Desarrollo Empresarial de EMASEO. 3 de octubre de 2016. 
[2] Riera, Fernando. Gerente de EMGIRS. 28 de septiembre de 2016. 
[3] Guanoluisa, Laura. Presidenta de RENAREC. 22 de septiembre de 2016. </t>
  </si>
  <si>
    <t>(62) Valerín, Álvaro. Encargado Centro de Recuperación de Materiales Valorizable, Municipio San José. 14 de octubre de 2016.</t>
  </si>
  <si>
    <t>[1] Presidencia de la República. Ley 11.445 de 2007 sobre la Política Nacional de Saneamiento Básico. Publicada en enero de 2007.
[2] Prefeitura Municipal Da Cidade de Sao Paulo - Secretaria de Servicios. PGIRS 2014</t>
  </si>
  <si>
    <t>(78) Entrevista con Exequiel Estay, Movimiento Nacional de Recicladores de Chile (MNRCH). 23 de Septiembre de 2016.</t>
  </si>
  <si>
    <t>G32</t>
  </si>
  <si>
    <t xml:space="preserve">[1] Entrevista a Dion Leslie - Sanitation Councelor of Belize City; 1 septiembre 2016. 
[2] Entrevista a barrendera empleada en el servicio de limpia de Belize City; 29 agosto 2016. 
[3] Análisis de campo. 
[4] Entrevista a Lumen Cayetano - Senior Consultant of BSWAMA. 31 agosto 2016. 
[5] Entrevista a Peter Cohen, consultor; 8 septiembre 2016. 
[6] Entrevista a Reynaldo Hernandez, representante de PASA BELIZE Ltd; 30 agosto 2016. 
[7] Entrevista a Robert Prahiam, reciclador de base de la Estación de Transferencia de 3 mile George Price Highway; 31 agosto 2016. </t>
  </si>
  <si>
    <t>[1] Entrevista a trabajador de limpia con 40 años de experiencia; 23 de agosto 2016. Análisis de campo; 
[2]  Entrevista sa Pablo Tellez, líder del Frente Único de Pepenadores; 8 de septiembre de 2016. Entrevista a Cuauhtemoc Gutiérrez, responsable comunicación de la Unión de Pepenadores del D.F. Rafael Gutiérrez Moreno;  9 de septiembre de 2016
[3] Sección Uno del SUTGDF: http://sutgdf.wixsite.com/sindicato-unico</t>
  </si>
  <si>
    <t>[1] Baraibar, Federico. Director ejecutivo. Compromiso Empresarial para el Reciclaje. CEMPRE. 21 de octubre de 2016
[2] Arocena, Ana Luisa. Socia de la empresa gestora de residuos TRIEX. 25 de octubre de 2016
[3] Luis, Pablo. Recicladora industrial de plástico tipo PET. ECOPET. 26 de octubre de 2016</t>
  </si>
  <si>
    <t>[1] Peña, Cecilia.  Directora de Desarrollo Empresarial de EMASEO. 3 de octubre de 2016. 
[2] Riera, Fernando. Gerente de EMGIRS. 28 de septiembre de 2016. 
[3] Guanoluisa, Laura. Presidenta de RENAREC. 22 de septiembre de 2016. 
[4] Arias, Verónica. Secretaria de Ambiente de Secretaría de Ambiente. 10 de octubre de 2016.</t>
  </si>
  <si>
    <t>(63) Valerín, Álvaro. Encargado Centro de Recuperación de Materiales Valorizable, Municipio San José. 14 de octubre de 2016.</t>
  </si>
  <si>
    <t>[1] Lima, Nathalia. Gestión de proyectos. Giral. 17 de octubre de 2016. 
[2] Amorin, Davi. Representante de comunicaciones. MNCR. 13 de octubre de 2016.
[3] Gutberlet et. Al. PESQUISA-AÇÃO EM EDUCAÇÃO AMBIENTAL E SAÚDE DOS CATADORES: ESTUDO DE CASO REALIZADO COM INTEGRANTES DE COOPERATIVAS DE COLETA SELETIVA E RECICLAGEM NA REGIÃO  METROPOLITANA DE SÃO PAULO. Publicado en 2016.
[4] Prefeitura de Sao Paulo. "La recolección selectiva llegará a todos los distritos de Sao Paulo". 20 de enero de 2016. Publicado en [http://www.capital.sp.gov.br/portal/noticia/9459#ad-image-6]</t>
  </si>
  <si>
    <t>(79) Entrevista con Donatella Fucaro, Subdirección de Medio Ambiente, Municipalidad de Santiago. 22 de Septiembre de 2016. 
(80) Municipalidad de Santiago, Subdirección de Medio Ambiente." Política de Reciclaje Comunal Inclusivo Municipal". 2014.</t>
  </si>
  <si>
    <t>G33</t>
  </si>
  <si>
    <t>[1]  Pérez Ayala, Gloria. Consultora Proyectos Sociales. 14 de Septiembre de 2016</t>
  </si>
  <si>
    <t>[1] Entrevista a Dion Leslie - Sanitation Councelor of Belize City; 1 septiembre 2016. 
[2] Entrevista a barrendera empleada en el servicio de limpia de Belize City; 29 agosto 2016. 
[3] Análisis de campo.</t>
  </si>
  <si>
    <t>[1] Fernández, Lucía. Women in Informal Employment (WIEGO). 21 de octubre de 2016
[2] Beledo, Leticia. Asesora de la División Limpieza de la Intendencia de Montevideo. 26 de octubre de 2016</t>
  </si>
  <si>
    <t>(64) Valerín, Álvaro. Encargado Centro de Recuperación de Materiales Valorizable, Municipio San José. 14 de octubre de 2016.</t>
  </si>
  <si>
    <t>(81) Municipalidad de Santiago, Subdirección de Medio Ambiente." Política de Reciclaje Comunal Inclusivo Municipal". 2014.</t>
  </si>
  <si>
    <t>G34</t>
  </si>
  <si>
    <t>[1] Jiménez, Yasmina. 2014. Cateura, el ultimo eslabón en la cadena de reciclaje. El País
[2] Ultima Hora. 2013. Sorteando la extrema pobreza con 4 hijos o más, y solo G. 10.000 por día. Ultima Hora [http://www.ultimahora.com/sorteando-la-extrema-pobreza-4-hijos-o-mas-y-solo-g-10000-dia-n739279.html]
[3]E'a. 2013. El Mundo del Reciclaje. E'a [http://ea.com.py/v2/el-mundo-del-reciclaje/]
[4] ABC Color. 2014. Así quedan los salarios. ABC Color [http://www.abc.com.py/nacionales/asi-quedan-los-salarios-1224254.html]
[5] Hoy. 2013. Salario mínimo “ya no alcanza” y piden que suba a Gs. 2.150.000. Hoy [http://www.hoy.com.py/nacionales/obreros-pediran-que-salario-minimo-suba-a-gs.-2.150.000]</t>
  </si>
  <si>
    <t>[1] Ruiz, Silvio. Líder de la Asociación de Recicladores de Bogotá. 20 de septiembre de 2016.</t>
  </si>
  <si>
    <t>[1] Entrevista a Dion Leslie - Sanitation Councelor of Belize City; 1 septiembre 2016. 
[2] Entrevista a barrendera empleada en el servicio de limpia de Belize City; 29 agosto 2016. 
[3] Entrevista a Reynaldo Hernandez, representante de PASA BELIZE Ltd; 30 agosto 2016. 
[4] Entrevista a Robert Prahiam, reciclador de base de la Estación de Transferencia de 3 mile George Price Highway; 31 agosto 2016.</t>
  </si>
  <si>
    <t>[1]Paucar, Justo. Líder Reciclador. Los Tigres de las 200 millas. 5 de octubre de 2016</t>
  </si>
  <si>
    <t>[1] Sección Uno del SUTGDF; http://sutgdf.wixsite.com/sindicato-unico
[2] Entrevista a trabajador de limpia con 40 años de experiencia; 23 de agosto de 2016. Análisis de campo; 
[3]  Entrevista sa Pablo Tellez, líder del Frente Único de Pepenadores; 8 de septiembre de 2016. Entrevista a Cuauhtemoc Gutiérrez, responsable comunicación de la Unión de Pepenadores del D.F. Rafael Gutiérrez Moreno;  9 de septiembre de 2016            
[4] Servicio de Administración Tributaria. 2016. "Salarios Mínimos". http://www.sat.gob.mx/informacion_fiscal/tablas_indicadores/Paginas/salarios_minimos.aspx</t>
  </si>
  <si>
    <t>[1] Presidencia de la República Oriental del Uruguay. Decreto de establecimiento del salario mínimo nacional para el año 2016. https://www.presidencia.gub.uy/comunicacion/comunicacionnoticias/aumento-salario.-minimo-enero
[2] Baraibar, Federico. Director ejecutivo. Compromiso Empresarial para el Reciclaje. CEMPRE. 21 de octubre de 2016
[3] Programa de Naciones Unidas para el Desarrollo (PNUD) e Intendencia de Montevideo. "Caracterización de la población de clasificadores de residuos de Montevideo" Octubre 2012
[4]  Ychuste, Arllene y Clausen, Daniel. Área Recicladores de la Organización San Vicente-Padre Cacho. 14 de octubre de 2016</t>
  </si>
  <si>
    <t>(65) [http://www.mtss.go.cr/temas-laborales/salarios/Lista_salarios-I-Semestre_2016.pdf']             
(66) Valerín, Álvaro. Encargado Centro de Recuperación de Materiales Valorizable, Municipio San José. 14 de octubre de 2016.</t>
  </si>
  <si>
    <t xml:space="preserve">[1] Banco Central Do Brasil. Publicado en [http://www.bcb.gov.br/pec/Indeco/Port/indeco.asp] 
[2]  Guimarães da Silva, Anderson. Coordinador. Serviço Franciscano de Solidariedade Sefras Reciclagem - Recifran. 26 de octubre de 2016.
</t>
  </si>
  <si>
    <t>[1] Decreto Supremo 2748, de determinación del salario mínimo de Bolivia para el 2016 http://www.mintrabajo.gob.bo/Upload/Normativa/NOR-202-04052016/DS-2748.pdf
[2] Tamayo, Neida; Presidenta y Rivero, Karina Secretaria; de la asociación Red de Recolectores Santa Cruz. 7 y 8 de octubre de 2016</t>
  </si>
  <si>
    <t>(82) Catastro Socio Laboral de Recicladores de la Región Metropolitana. Casa de la Paz, MNRCH, 2015. 
(83) Sitio web Dirección del Trabajo  http://www.dt.gob.cl/consultas/1613/w3-propertyvalue-22104.html</t>
  </si>
  <si>
    <t>G35</t>
  </si>
  <si>
    <t>[1] Flores, Laura Emilce. Dirección General de Salud Ambiental, Ministerio de Salud Publica y Bienestar Social. 8 de Septiembre de 2016
[2] Pérez Ayala, Gloria. Consultora Proyectos Sociales. 14 de Septiembre de 2016
[3]Cazal, Pompeya. Recicla, Centro de Ayuda Mutua Salud para Todos  (CAMSAT). 26 de Septiembre de 2016</t>
  </si>
  <si>
    <t>[1] Análisis de campo. 
[2] Entrevista a barrendera empleada en el servicio de limpia de Belize City; 29 agosto 2016.</t>
  </si>
  <si>
    <t>[1] 
http://docplayer.es/2900102-Uruguay-clasifica-tirando-del-carro-clasificadoras-y-clasificadores-viviendo-de-la-basura-o-trabajando-con-residuos.html
[2] Programa de Naciones Unidas para el Desarrollo (PNUD) e Intendencia de Montevideo. "Caracterización de la población de clasificadores de residuos de Montevideo" Octubre 2012
[3] Charbonier, Esteban.  Responsable del Programa de Clasificadores. Ministerio de Desarrollo Social (MIDES). 18 de octubre de 2016
[4] Fernández, Lucía. Women in Informal Employment (WIEGO). 21 de octubre de 2016</t>
  </si>
  <si>
    <t>(67) Chacón, Marlen. Presidenta Asofamisae Recicla, Distrito de Escazú. 24 de septiembre de 2016</t>
  </si>
  <si>
    <t>[1] Gomes Prol Otero, Gabriela. Coordinadora técnica. Abrelpe. 13 de octubre de 2016. 
[2] Amorin, Davi. Representante de comunicaciones. MNCR. 13 de octubre de 2016. 
[3] Organización Internacional del Trabajo. "Evaluación Temática Regional: Trabajo Infantil en la Segregación y Gestión de Residuos Sólidos Urbanos en América Latina y el Caribe". Publicado en 2004. 
[4] Caritas Brasileira. Sin fecha. Publicado en [http://caritas.org.br/projetos/programas-caritas/catadores-e-catadoras-de-reciclaveis]</t>
  </si>
  <si>
    <t xml:space="preserve">(84) Catastro Socio Laboral de Recicladores de la Región Metropolitana. Casa de la Paz, MNRCH, 2015.
(85) Alaniz, Álvaro. 2015. "Recicladores de Base en Chile. Contexto y perspectivas futuras" Recicloscopio IV: Septiembre de 2015. </t>
  </si>
  <si>
    <t>G36</t>
  </si>
  <si>
    <t>[1] Flores, Laura Emilce. Dirección General de Salud Ambiental, Ministerio de Salud Publica y Bienestar Social. 8 de Septiembre de 2016
[2] Pérez Ayala, Gloria. Consultora Proyectos Sociales. 14 de Septiembre de 2016</t>
  </si>
  <si>
    <t xml:space="preserve">[1] Ruiz, Silvio. Líder de la Asociación de Recicladores de Bogotá. 20 de septiembre de 2016.
[2] González, Carolina. Asesora de la Subdirección de Aprovechamiento de la Unidad Administrativa Especial de Servicios Públicos  UAESP. 20 de septiembre de 2016. </t>
  </si>
  <si>
    <t>[1] Entrevista a Dion Leslie - Sanitation Councelor of Belize City; 1 septiembre 2016. 
[2] Entrevista a barrendera empleada en el servicio de limpia de Belize City; 29 agosto 2016. 
[3] Entrevista a Peter Cohen, consultor de la BID con experiencia de campo; 8 septiembre 2016.</t>
  </si>
  <si>
    <t xml:space="preserve">[1] Entrevista a trabajador de limpia con 40 años de experiencia;  23 de agosto 2016.                                                                                                                                                                                                           
[2] Entrevista a Víctor Hugo Acosta, Subdirector de Limpia de la Delegación Miguel Hidalgo; 5 de septiembre de 2016. 
[3] Comisión de Derechos Humanos del Distrito Federal. Recomendación 7/2016, publicado en junio de 2016. [http://cdhdfbeta.cdhdf.org.mx/2016/07/recomendacion-72016/]
</t>
  </si>
  <si>
    <t>[1] Ychuste, Arllene y Clausen, Daniel. Área Recicladores de la Organización San Vicente-Padre Cacho. 14 de octubre de 2016
[2]  Soria, Sergio. Integrante de la Comisión Directiva de la Cooperativa Unión de Aglomerado de Polietileno (UCAP) 25 de octubre de 2016
[3] Rosendo, presidente de la Cooperativa Integral Laboral (CIL). 26 de octubre de 2016
[4] Ministerio de Desarrollo Social. "Perfil social de clasificadores 
inscriptos en el Plan de Atención Nacional a la Emergencia Social (PANES) Programa Uruguay Clasifica" 2006 http://www.mides.gub.uy/innovaportal/file/6151/1/11c4.-perfil-socioeconomico-de-clasificadores-inscriptos-en-el-panes.-programa-uruguay-clasifica.pdf</t>
  </si>
  <si>
    <t>(68) Chacón, Marlen. Presidenta Asofamisae Recicla, Distrito de Escazú. 24 de septiembre de 2016</t>
  </si>
  <si>
    <t>[1] Amorin, Davi. Representante de comunicaciones. MNCR. 13 de octubre de 2016.
[2] Orquiza, Carolina. "Relaciones de género y raza en una cooperativa de residuos sólidos: desafíos de un sector". Publicado en 2016. 
[3] Gomes Prol Otero, Gabriela. Coordinadora técnica. Abrelpe. 13 de octubre de 2016</t>
  </si>
  <si>
    <t>(86) Entrevista a Daniela Núñez, Recicladora de base, Programa de Reciclaje Inclusivo Municipal. 4 de Octubre de 2016.</t>
  </si>
  <si>
    <t>G37</t>
  </si>
  <si>
    <t>[1] Marín, Carolina. Asesora de la dirección de desarrollo sectorial del Viceministerio de Agua y Saneamiento Básico del Ministerio de Vivienda, Ciudad y Territorio. 3 de octubre de 2016</t>
  </si>
  <si>
    <t>[1] Coordinación Ecológica Área Metropolitana Sociedad del Estado (CEAMSE) [http://www.ceamse.gov.ar/quienes-somos/]</t>
  </si>
  <si>
    <t>[1] Entrevista a Lumen Cayetano - Senior Consultant of BSWAMA. 31 agosto 2016.  
[2] Entrevista a Peter Cohen, consultor; 8 septiembre 2016. 
[3] Entrevista a Reynaldo Hernandez, representante de PASA BELIZE Ltd; 30 agosto 2016. 
[4] Entrevista a Robert Prahiam, reciclador de base de la Estación de Transferencia de 3 mile George Price Highway; 31 agosto 2016.</t>
  </si>
  <si>
    <t>[1] Secretaria del Medio Ambiente y Recursos Naturales. Norma Oficial Mexicana 083 de 2003, Especificaciones de protección ambiental para la selección del sitio, diseño, construcción, operación, monitoreo, clausura y obras complementarias de un sitio de disposición final de residuos sólidos urbanos y de manejo especial, publicada en 2003.
[2] Berthier Castillo, Héctor. Coordinador de la Unidad de Estudios Sobre la Juventud de la Universidad Nacional Autónoma de México. 29 de agosto de 2016.
[3] Diario Excelsisor. "Impiden pepenadores depósito de basura en Bordo Poniente", publicado el 15 de marzo de 2011.
[4] Secretaria del Medio Ambiente y Recursos Naturales. Proyecto de Modificación de la Norma Oficial Mexicana 083 de 2003, Especificaciones de protección ambiental para la selección del sitio, diseño, construcción, operación, monitoreo, clausura y obras complementarias de un sitio de disposición final de residuos sólidos urbanos y de manejo especial, publicada el 4 de agosto de 2016.  
[5]  Entrevista sa Pablo Tellez, líder del Frente Único de Pepenadores; 8 de septiembre de 2016. Entrevista a Cuauhtemoc Gutiérrez, responsable comunicación de la Unión de Pepenadores del D.F. Rafael Gutiérrez Moreno;  9 de septiembre de 2016.</t>
  </si>
  <si>
    <t>[1] Beledo, Leticia. Asesora de la División Limpieza de la Intendencia de Montevideo. 26 de octubre de 2016
[2] Soutera, Federico. Dirección General de Medio Ambiente (DINAMA) Ministerio de Vivienda, Ordenamiento Territorial y Medio Ambiente. 26 de octubre de 2016</t>
  </si>
  <si>
    <t xml:space="preserve">(69) Rudin, Victoria, Susy Lobos. ACEPESA. 27 septiembre de 2016   </t>
  </si>
  <si>
    <t xml:space="preserve">[1] Prefeitura de Servicios de Sao Paulo. "Rellenos Sanitarios y Transbordo". Sin Fecha. Publicado en [http://www.prefeitura.sp.gov.br/cidade/secretarias/servicos/amlurb/aterros_e_transbordos/index.php?p=4633] </t>
  </si>
  <si>
    <t>(87) Ministerio de Medio Ambiente, Secretaría Regional Ministerial Región Metropolitana. "Reporte sobre la Gestión de Residuos Sólidos 2014 en la Región Metropolitana". Diciembre de 2014.[http://www.santiagorecicla.cl/wp-content/uploads/2015/03/Informe-gestion-RM-2014.pdf]
(88) Página web de Ministerio de Medio Ambiente [http://portal.mma.gob.cl/seremi-de-medio-ambiente-e-intendencia-metropolitana-y-presentan-plan-de-erradicacion-y-recuperacion-de-vertederos-ilegales/]                
(89) Entrevista con Exequiel Estay, Movimiento Nacional de Recicladores de Chile (MNRCH). 23 de Septiembre de 2016.</t>
  </si>
  <si>
    <t>G38</t>
  </si>
  <si>
    <t>[1] Flores, Laura Emilce. Dirección General de Salud Ambiental, Ministerio de Salud Publica y Bienestar Social. 8 de Septiembre de 2016
[2] Flores, L., Giménez, E., Gerlich, J., Carvalho, D., Radón, K. 2016. Prevalencia de accidentes de trabajo en trabajadores recolectores de basura en Asunción, Paraguay. 2013-2014. Mem. Inst. Investig. Cienc.
Salud. 2016;14(2):40-52</t>
  </si>
  <si>
    <t>[1] Análisis de campo. 
[2] Entrevista a barrendera empleada en el servicio de limpia de Belize City; 29 agosto 2016. 
[2] Entrevista a Lumen Cayetano - Senior Consultant of BSWAMA. 31 agosto 2016.  
[3] Entrevista a Peter Cohen, consultor; 8 septiembre 2016. 
[4] Entrevista a Reynaldo Hernandez, representante de PASA BELIZE Ltd; 30 agosto 2016. 
[5] Entrevista a Robert Prahiam, reciclador de base de la Estación de Transferencia de 3 mile George Price Highway; 31 agosto 2016.</t>
  </si>
  <si>
    <t>[1]Paucar, Justo. Líder Reciclador. Los Tigres de las 200 millas. 5 de octubre de 2016
[2] De la Cruz, Carolina. Coordinadora Programa de segregación en la fuente.Municipalidad Metropolitana de Lima. 5 de octubre de 2016.</t>
  </si>
  <si>
    <t xml:space="preserve">[1] Comisión de Derechos Humanos del Distrito Federal. Recomendación 7/2016, publicado en junio de 2016. [http://cdhdfbeta.cdhdf.org.mx/2016/07/recomendacion-72016/]
[2] Diario Capital. "La Jornada: En pleno Centro y a todas horas empleados de limpia hacen pepena", publicado el 18 de diciembre de 2015.
[3] Espinoza, Tania. Coordinadora para Latinoamérica del Programa de Leyes de WIEGO y Consejera de la Comisión de Derechos Humanos de la Ciudad de México. 8 de agosto de 2016.                                                                                                                                                                                                                                                                                             
[4] Entrevista a trabajador de limpia con 40 años de experiencia; 23 de agosto 2016
</t>
  </si>
  <si>
    <t>[1] Fernández, Lucía. Women in Informal Employment (WIEGO). 21 de octubre de 2016
[2] Ychuste, Arllene y Clausen, Daniel. Área Recicladores de la Organización San Vicente-Padre Cacho. 14 de octubre de 2016</t>
  </si>
  <si>
    <t>(70) Valerín, Álvaro. Encargado Centro de Recuperación de Materiales Valorizable, Municipio San José. 14 de octubre de 2016.</t>
  </si>
  <si>
    <t>[1] Gomes Prol Otero, Gabriela. Coordinadora técnica. Abrelpe. 13 de octubre de 2016
[2]Amorin, Davi. Representante de comunicaciones. MNCR. 13 de octubre de 2016. 
[3]Gutberlet et. Al. PESQUISA-AÇÃO EM EDUCAÇÃO AMBIENTAL E SAÚDE DOS CATADORES: ESTUDO DE CASO REALIZADO COM INTEGRANTES DE COOPERATIVAS DE COLETA SELETIVA E RECICLAGEM NA REGIÃO  METROPOLITANA DE SÃO PAULO. Publicado en 2016.</t>
  </si>
  <si>
    <t>[1] SKOLL Foundation et al. "Por la ruta del reciclaje en Bolivia" 2010
[2] Fomento Multilateral de Inversiones (FOMIN) "Estudio de mercado de residuos sólidos reciclables de Bolivia" 2011 http://www.pasocierto.com/assets/dd7-p3-mercado.reciclaje.bolivia.-fundaci%C3%B3n-pap.pdf</t>
  </si>
  <si>
    <t>(90) Entrevista a Daniela Núñez, Recicladora de base, Programa de Reciclaje Inclusivo Municipal. 4 de Octubre de 2016.
(91) Entrevista con Donatella Fucaro, Subdirección de Medio Ambiente, Municipalidad de Santiago. 22 de Septiembre de 2016. 
(92) Catastro Socio Laboral de Recicladores de la Región Metropolitana. Casa de la Paz, MNRCH, 2015.</t>
  </si>
  <si>
    <t>C</t>
  </si>
  <si>
    <t>Indicador</t>
  </si>
  <si>
    <t>C2</t>
  </si>
  <si>
    <t>P1. Número de recicladores de base en el municipio</t>
  </si>
  <si>
    <t>Personas fisicas dedicadas a recuperar, separar o reducir, de los residuos urbanos, aquellos que posean valor comercial para su reutilizacion o reciclaje</t>
  </si>
  <si>
    <t>Cantidad total de personas no reconocidas formalmente que realizan recuperación de residuos en Bogotá.</t>
  </si>
  <si>
    <t>Cantidad de personas registradas en el Registro Único de Recuperadores (Ley N° 992 /03). 
La Federación Argentina de Cartoneros y Recicladores estima que trabajan en la Ciudad de 9.000 a 10.000 recuperadores (incluidos y no incluidos en el sistema formal de recolección de reciclables)</t>
  </si>
  <si>
    <t xml:space="preserve">Los recicladores de base de la ciudad de Belice pueden ser divididos en 3 segmentos: I) Recicladores de base no integrados con la recolección formal; su número es desconocido [1,2,4, 8]; II) Recicladores de base integrados en la recolección formal como "limpiadores" o "barrenderos"; son cerca de 70 (aunque a veces reciban el ayuda de sus hijos o de otros familiares) [1,3,4, 8]; III) Recicladores de base operantes en la Estación de Transferencia; su número es estimado entre las 25 y 30  [2, 4, 5, 6, 7]. Además existe un sector de micro-intermediarios informales cuyo número es desconocido [3,4,7, 8]. </t>
  </si>
  <si>
    <t>conjunto de personas que realizan formalmente actividades de reciclaje, incluyendo la recolección selectiva en la fuente y la comercialización, y que no cuentan con vínculo laboral con empresas prestadoras de servicios de residuos sólidos o empresas comercializadoras.</t>
  </si>
  <si>
    <t>Cantidad de personas que realizan actividad no reconocidas formalmente de recolección y aprovechamiento de residuos en la Ciudad de México. Según una publicación realizada por la OCDE en 2003, en el país hay entre 25 mil y 30 mil de los cuales más de la mitad se encuentran en Ciudad de México [1].Sin embargo, una análisis más reciente y profundizada del tema, revela que en este sector existen 3 segmentos principales que reunen un número mayor de recicladores de base. Los segmentos son: 1) los "trabajadores de limpia"(choferes, macheteros y barrenderos", de los cuales según la Sección Uno del SUTGDF 14144 son asalariados, cerca de 5.000 son "eventuales" y cerca de 10.000 son "voluntarios"; según el Inventario de Residuos Solidos 2014 de SEDEMA solo hay 3.400 choferes, 7.400 barrenderos y 3.400 voluntarios (no es indicado el rol operativo de los voluntarios y no es indicado el numero macheteros); 2) los "pepenadores", que trabajan en las plantas de selección de San Juan Aragón y Santa Catarína, cuyo numero es estimado en 3.500 unidades [3]; 3) los "prepenadores nocturnos", que según la definición de Hector Castillo, son aquellos sujetos que no son incuadrados en el sistema de recolección municipal y que anticipan el trabajo de los barrenderos antes que surja el sol [4], y cuyo rol y numero se fue marginalizando y reduciendo en el tiempo a consecuencia de la reducción de acumulaciones de residuos domiciliarios en las calles [5]</t>
  </si>
  <si>
    <t xml:space="preserve">Personas que recolectan y clasifican residuos en sus casas en la ciudad de Montevideo, es decir aquellas que lo hacen de forma individual
Se considera que con la crisis se ha incrementado el número de personas que están trabajando en la recolección de residuos. De ellos unas 3.500 en la informalidad y 1.500 formales. </t>
  </si>
  <si>
    <t>Cantidad de personas que realizan la labor de recuperación de residuos reciclables previa recolección por parte del sistema formal de aseo, identificadas mediante un Censo realizado por la Secretaría de Ambiente de Quito. En el año 2014 se identificaron un total de 2.264 recicladores de base.</t>
  </si>
  <si>
    <t>Cantidad de personas no reconocidas formalmente que realizan recuperación de residuos en el Cantón de San José. No hay estudios que confirmen este dato, pero se estima que son cerca de 500 personas recolectando materiales reciclables en las calles</t>
  </si>
  <si>
    <t xml:space="preserve">Trabajador urbano que se encarga de la recolección de residuos reciclables. En Sao Paulo, se estima que existen 10.000 recicladores tanto informales como aquellos que se encuentran formalizados en alguna asociación de recicladores. </t>
  </si>
  <si>
    <t>Personas que realizan una actividad de recolección, selección y venta de materiales reciclables de entre la basura doméstica, sin reconocimiento oficial de quiénes son ni qué hacen</t>
  </si>
  <si>
    <t>Cantidad de personas no reconocidas formalmente que realizan recuperación de residuos en la Comuna de Santiago. No hay dato sobre cantidad de recicladorss en la comuna. El MNRCH estima que son cerca de 200 personas. En el Programa Municipal de Reciclaje Inclusivo trabajan 7.</t>
  </si>
  <si>
    <t>C3</t>
  </si>
  <si>
    <t>P2. Número de asociaciones de recicladores de base de carácter político</t>
  </si>
  <si>
    <t>N/D</t>
  </si>
  <si>
    <t>Cantidad de asociaciones de recicladores conformadas como grupos políticos, sindicatos y similares. En la Ciudad de México no se observa esta clase de asociaciones.</t>
  </si>
  <si>
    <t xml:space="preserve">En la Ciudad de Belice no existen asociaciones de recicladores de base de carácter político [1, 2, 3, 4, 5, 6, 7, 8]. Sin embargo, Recicladores de base integrados en la recolección formal como "limpiadores" o "barrenderos" a veces son representados por los sindicatos del público empleo (por ejemplo por la "Christian Workers Union"); estos sindicatos no pueden ser considerados como asociaciones de recicladores de base porque representan transversalmente los trabajadores del público empleo y además la actividad de reciclaje informal no es objeto de su atención [1, 3, 4]. </t>
  </si>
  <si>
    <t>Cantidad de asociaciones de recicladores conformadas como grupos políticos, sindicatos y similares.</t>
  </si>
  <si>
    <t>Cantidad de asociaciones de recicladores conformadas como grupos políticos, sindicatos y similares. En la Ciudad de México existen 4 asociaciones que representan los recicladores de base. La más grande es es la Sección Uno del SUTGDF, que agrupa los trabajadores de limpia; además hay 3 asociaciones de pepenadores cuya finalidad y actividad incluye el cabildeo hacia las instituciones públicas (Unión de Pepenadores del D.F. Rafael Gutierrez Moreno, AC; Frente Único de Pepenadores, AC; Asociación de Selectores de Desechos Solidos de la Metropoli, AC). [1,2,3]</t>
  </si>
  <si>
    <t>Sindicato de clasificadores de Uruguay (UCRUS) con carácter de representación de los trabajadores del reciclaje, formal e informal, de residuos sólidos.</t>
  </si>
  <si>
    <t>Cantidad de asociaciones de recicladores de base que están legalmente conformadas y que forman parte de la Red Nacional de Recicladores del Ecuador, que es la representante política de los recicladores de base a nivel del país.</t>
  </si>
  <si>
    <t>Cantidad de asociaciones de recicladores conformadas como grupos políticos, sindicatos y similares. En el Cantón de San José no se tiene registro de esta clase de asociaciones.</t>
  </si>
  <si>
    <t>En Santa Cruz no existen asociaciones de recicladores de carácter político, son todas de carácter económico</t>
  </si>
  <si>
    <t>Cantidad de asociaciones de recicladores conformadas como grupos políticos, sindicatos y similares. En la Comuna de Santiago no se observa esta clase de asociaciones.</t>
  </si>
  <si>
    <t>C4</t>
  </si>
  <si>
    <t>P3. Número de asociaciones de recicladores de base de carácter económico</t>
  </si>
  <si>
    <t xml:space="preserve">Organizaciones de recicladores de base que realizan comercialización de materiales que representan ingresos económicos por este concepto. </t>
  </si>
  <si>
    <t xml:space="preserve">Cantidad de asociaciones de recicladores conformadas para llevar a cabo actividades comerciales. </t>
  </si>
  <si>
    <t>En la Ciudad de Belice  no existen asociaciones de recicladores de base de carácter económico. El proceso operativo y la venta de los materiales recolectados son siempre actividades individuales [1,2,3,4,5,6].</t>
  </si>
  <si>
    <t>Cantidad de asociaciones de recicladores conformadas para llevar a cabo actividades comerciales. </t>
  </si>
  <si>
    <t xml:space="preserve">Cantidad de asociaciones de recicladores conformadas para llevar a cabo actividades comerciales. La SUTGDF no lleva a cabo ninguna actividad comercial, sus representados venden los materiales reciclables en total autonomía. Las tres asociaciones de pepenadores, en cambio, se dedican a comprar y vender a intermediarios los materiales recolectados por sus representados (en algunos casos compran la totalidad de estos materiales, en otros casos solo fracciones especificas).  </t>
  </si>
  <si>
    <t>Cooperativas formalizadas de clasificadores, en Uruguay no hay asociaciones de clasificadores.
Hay un número indeterminado de monotributistas (personas que se dan de alta a título personal de una actividad comercial, en este caso el transporte de residuos)</t>
  </si>
  <si>
    <t>Cantidad de asociaciones formales de recicladores de base con obligaciones laborales, sociales y tributarias, que trabajan en coordinación con el municipio de Quito a través de los Centros de Educación y Gestión Ambiental (CEGAM).</t>
  </si>
  <si>
    <t>Cantidad de asociaciones de recicladores conformadas para llevar a cabo actividades comerciales. En el Cantón de San José no se tiene registro de esta clase de asociaciones.</t>
  </si>
  <si>
    <t>Agrupación de recicladores que buscan el beneficio de todos sus integrantes gracias a la realización de gestiones de carácter económico</t>
  </si>
  <si>
    <t>Cantidad de asociaciones de recicladores conformadas para llevar a cabo actividades comerciales. En la Comuna de Santiago existe una cooperativa  de recicladores conformada por los recicladores que participan Programa Municipal de Reciclaje Inclusivo</t>
  </si>
  <si>
    <t>C5</t>
  </si>
  <si>
    <t>P4. Número organizaciones de recicladores de base que contratan con el sistema de gestión de residuos municipal</t>
  </si>
  <si>
    <t xml:space="preserve">Cantidad de asociaciones de recicladores que prestan servicios de recolección, transporte o separación de residuos de manera formal.  
</t>
  </si>
  <si>
    <t>No existen organizaciones de recicladores de base que contratan con el sistema de gestión de residuos municipal [1]. Sin embargo, la Municipalidad contrata individualmente "cleaners" ("limpiadores") y "sweepers/chippers" ("barrenderos") que integran su actividad con la recolección de materiales reciclables y reutilizables [1,2,3]; además, la empresa operadora de la Estación de Transferencia de 3 mile George Price Highway (PASA Ltd.) contrató a un reciclador de base que encontró en el sitio para el desempeño de actividades de supervisión organizativas [4,5].</t>
  </si>
  <si>
    <t xml:space="preserve">Cantidad de asociaciones de recicladores que prestan servicios de recolección, transporte o separación de residuos de manera formal. Si bien, en Lima existen recicladores que son incluidos en las rutas de recolección selectiva de residuos, estos no están asociados a organizaciones de recicladores. </t>
  </si>
  <si>
    <t xml:space="preserve">Cantidad de asociaciones de recicladores que prestan servicios de recolección, transporte o separación de residuos de manera formal.  La Sección Uno del SUTGDF no presta oficialmente un servicio al GDF, aunque sus mansiones de gestión de personal y dirección/coordinación operativa se podrían considerar un servicio pagado indirectamente a través de los salarios del personal sindical encargado de estas tareas [1]. En el caso de los pepenadores, existen acuerdos formales entres sus Asociaciones Civiles y el GDF; en dichos acuerdos (similares a los acuerdos y contratos establecidos entre instituciones publicas estadunidenses y europeas y sociedades que se dedican a la recolección y/o tratamiento de desechos aprovechables de alto valor) la institución concede el uso de espacios y maquinarias recibiendo a cambio el aprovechamiento de una parte de los residuos; el pago para el servicio es sustituido con la concesión del derecho de propriedad y venta de los desechos seleccionados y con otros beneficios "una tantum" (concesiones de viviendas, etc..); las asociaciones civiles son oficialmente responsables de su organización interna, de los horarios de trabajo, de proporcionar equipo de protección a sus agremiados, de determinar que subproductos recuperan, de su forma de venta y del reparto del ingreso por la comercialización de los subproductos recuperados [5]. 
</t>
  </si>
  <si>
    <t>Organizaciones de recicladores que tienen contratos de servicios de aseo urbano firmados con la municipalidad. 
Existen  transportistas que participan en la gestión de residuos de grandes generadores, no domiciliarios, pero no están contratados por la Intendencia de Montevideo, tienen contratos privados</t>
  </si>
  <si>
    <t>Recicladores de base que son reconocidos formalmente por parte de gobierno local como actores dentro de la cadena GIRS, y que reciben un pago por la prestación de sus servicios en labores como recolección, transporte y clasificación de residuos reciclables.                 Quito no cuenta con un sistema de pago por servicios a recicladores de base, sin embargo, se cuenta con programas y proyectos relacionados al apoyo en infraestructura y logística de recolección diferenciada para algunas organizaciones formales de recicladores de base a través de alianzas con las dos empresas públicas metropolitanas de la cadena GIRS (EMASEO y EMGIRS EP).</t>
  </si>
  <si>
    <t>Cantidad de asociaciones de recicladores que prestan servicios de recolección, transporte o separación de residuos de manera formal.  En el Cantón de San José no existen asociaciones de recicladores contradas en el sistema de gestión de residuos municipal</t>
  </si>
  <si>
    <t xml:space="preserve">Cantidad de asociaciones de recicladores que prestan servicios de recolección, transporte o separación de residuos de manera formal. Si bien, en Lima existen recicladores que son incluídos en las rutas de recolección selectiva de residuos, estos no están asociados a organizaciones de recicladores. </t>
  </si>
  <si>
    <t>Asociaciones de organizaciones de recicladores que disponen de un contrato de prestación de servicios de aseo urbano con la municipalidad de Santa Cruz de la Sierra</t>
  </si>
  <si>
    <t xml:space="preserve">Cantidad de asociaciones de recicladores que prestan servicios de recolección, transporte o separación de residuos de manera formal. En la Comuna de Santiago no existen recicladores contratados formalmente para prerstar servcios de gestión de residuos. Sí existe un grupo de 9 recicladores que presta servicios el Programa Municipal de Reciclaje Inclusivo de manera informal.   </t>
  </si>
  <si>
    <t>C6</t>
  </si>
  <si>
    <t>P5. Generación anual de residuos sólidos</t>
  </si>
  <si>
    <t xml:space="preserve">Cantidad de residuos sólidos por actividad del servicio público de aseo teniendo en cuenta la generación mensual en área urbana. </t>
  </si>
  <si>
    <t>Los Residuos Sólidos Urbanos se definen como "Aquellos residuos generados en domicilios particulares y todos aquellos generados en comercios, oficinas y servicios, industrias, entre otros, y que por su naturaleza puedan asimilarse a los producidos en los domicilios particulares" (Decreto N° 639/07 reglamentario de la Ley N° 1854/05 de Gestión Integral de Residuos Sólidos Urbanos de la Ciudad de Buenos Aires). Este dato no incluye las cantidades recolectadas por las cooperativas calculado como 50kg/d * 5500 recuperadores en cooperativas (275t/d), ni los reciclables que recolectan de manera informal los recuperadores que no se encuentran asociados a cooperativas.</t>
  </si>
  <si>
    <t xml:space="preserve">En 2015 el esquema de recolección formal recolectó cerca de 19,350 toneladas de residuos sólidos [1,2]; en consecuencia a una análisis de la tendencia de incrementación se evalúa que en 2020 se generarán 21,342 toneladas y que en 2025 se generarán 23,818 toneladas [1]. Sin embargo, queda desconocida la cantidad de residuos urbanos recuperables que es desviada hacia las cadenas de valor del reciclaje y de la reutilización antes de la recolección formal y del transporte a la Estación de Transferencia.  </t>
  </si>
  <si>
    <t>Es el momento en el cual se producen los residuos como resultado de la actividad humana. Los residuos sólidos pueden producirse de la actividad cotidiana, comercial, servicios de limpieza pública, servicios de salud, construcción o por cualquier otra actividad conexa.</t>
  </si>
  <si>
    <t>Los Residuos Sólidos Urbanos se definen como "Los generados en casa habitación, unidad habitacional o similares que resultan de la eliminación de los materiales que utilizan en sus actividades domésticas, de los productos que consumen y de sus envases, embalajes o empaques, los provenientes de cualquier otra actividad que genere residuos sólidos con características domiciliarias y los resultantes de la limpieza de las vías públicas y áreas comunes, siempre que no estén considerados por esta Ley como residuos de manejo especial"  según el literal XXXIV del artículo 3 de la Ley de Residuos Sólidos del Distrito Federal.  Se tienen en cuenta los residuos de las delegaciones: Álvaro Obregón, Azcapotzalco, Benito Juárez, Coyoacán, Cuajima de Morelos, Cauhémoc, Gustavo A. Madro, Iztacalco, Iztapalapa, Central de Abasto, Magdalena Contreras, Manel Hidalgo, Milpa Alta, Tiáhuac, Tialpan, Venustiano Carranza y Xochimilco. El valor anual se estima multiplicando las 12.893 toneladas indicadas en el documento por 365 días.</t>
  </si>
  <si>
    <t>Residuos sólidos urbanos generados por la población de Montevideo, a razón de 1,1 kg persona/día</t>
  </si>
  <si>
    <t>Residuos Sólidos No Peligrosos, cualquier objeto, material, sustancia o elemento sólidos que no representa peligrosidad, restultantes del consumo o uso de un bien tanto en actividades domésticas, industriales, comerciales, institucionales o de servicios.                                           En base al Plan Maestro de Gestión Integral de Residuos Sólidos, 2016, en la ciudad de Quito se recolectó en el 2015, un aproximado de 2,089 toneladas por día, dando un total al año de 762,485 toneladas por año.</t>
  </si>
  <si>
    <t xml:space="preserve">Los Residuos Ordinarios se definen como los "residuos de carácter doméstico generados en viviendas y en cualquier otra fuente, que presentan composiciones similares a los de las viviendas. Se excluyen los residuos de manejo especial o peligroso, regulados en esta ley y en su reglamento", según el Capítulo 1, Artículo 6 de la Ley para la Gestión Integral de Residuos Nº 8839  </t>
  </si>
  <si>
    <t xml:space="preserve">Cantidad de residuos producidos por actividad humana,  bien sea comercial, urbana, de limpieza, u otra actividad conexa. En Sao Paulo, se generan 21.000 toneladas de residuos por día; para obtener el valor anual, este valor se multiplicó por 365 días. </t>
  </si>
  <si>
    <t>Toneladas de residuos urbanos generadas en la ciudad</t>
  </si>
  <si>
    <t>Según el Decreto 2385 (2014) de la Ley de Rentas Municipales (1996) del Ministerio del Interior, "se considerarán residuos sólidos domiciliarios a las basuras de carácter doméstico generadas en viviendas y en toda otra fuente cuyos residuos presenten composiciones similares a los de las viviendas". A su vez, en el Primer Reporte sobre Manejo de Residuos Sólidos en Chile (2010) de la Comisión Nacional de Medio Ambiente, se define como Residuos Sólidos Municipales aquellos residuos generados en los hogares y sus asimilables, como los residuos generados en la vía pública, el comercio, oficinas, edificios e instituciones tales como escuelas entre otros.                                                         Se tienen en cuenta los residuos sólidos municipales correspondientes a la Comuna de Santiago</t>
  </si>
  <si>
    <t>C7</t>
  </si>
  <si>
    <t>P6. Porcentaje de la población de la ciudad con recolección regular de residuos sólidos municipales</t>
  </si>
  <si>
    <t>Hogares del área urbana con cobertura de recolección de residuos sólidos.</t>
  </si>
  <si>
    <t>Cobertura del servicio de recolección de residuos fracción húmedos.  (Art. N° 11 de la Ley N° 4.120 / 11 Prestación del servicio de Higiene Urbana).</t>
  </si>
  <si>
    <t>No existen indicadores sobre el porcentaje de población que recibe el servicio de recolección y barrido manual de los residuos solidos municipales [1]. De todas formas, toda el área urbana es cubierta por un servicio de recolección cuya frecuencia es dos veces por semana [2, 3] y por un extendido servicio de "limpia" y barrido manual de las calles [3]. En relación a la calidad del servicio, cabe decir que una frecuencia de dos veces por semana, la ausencia de horarios exactos de recolección, el alta generación de residuo orgánico y el clima muy caluroso, favorecen el abandono masivo de residuos en la calle determinando un rol desproporcionado del servicio de "limpia" y barrido manual frente a la recolección ordinaria; la presencia masiva de residuos en las calles favorece la presencia de roedores, pájaros y perros que abren las bolsas de residuos y esparcen su contenido creando problemas de higiene urbana; además, hay una gran cantidad de acumulaciones abusivas de residuos y también se registra el abandono de residuos en cuerpos de agua [1, 4]. En el último periodo las acumulaciones abusivas han disminuido de más de la mitad gracias a la aplicación de sanciones más severas [3].</t>
  </si>
  <si>
    <t>Cantidad de viviendas (o habitantes) con servicio de recolección de residuos separados en relación con la totalidad de viviendas (o habitantes) del municipio. </t>
  </si>
  <si>
    <t>Cantidad de viviendas (o habitantes) con servicio de recolección de residuos en relación con la totalidad de viviendas (o habitantes) del municipio.</t>
  </si>
  <si>
    <t>Se realiza la recolección de residuos por diferentes métodos, así hay dos sistemas diferentes de camiones adaptados a los tipos de contenedores que hay en la ciudad, y también hay recolección manual de residuos</t>
  </si>
  <si>
    <t>Población que recibe servicio de recolección de basura de manera formal y que se registra en el Instituto Nacional de Estadísticas y Censo del Ecuador (INEC).                                                                                                                                                                                          En el Censo del año 2010, Quito evidencia una cobertura del servicio de recolección de basura del 98%, superior al resto de muncipios del país. En base a la información de BID,2016 el promedio de cobertura de recolección de resiudos en el país es de 84.2%.</t>
  </si>
  <si>
    <t xml:space="preserve">Cantidad de viviendas (o habitantes) con servicio de recolección de residuos  en relación con la totalidad de viviendas (o habitantes) del cantón. </t>
  </si>
  <si>
    <t>Porcentaje de la población de Santa Cruz a la que se le recolectan los residuos urbanos al menos una vez a la semana</t>
  </si>
  <si>
    <t>C8</t>
  </si>
  <si>
    <t>P7. Porcentaje de la población de la ciudad con recolección diferenciada de residuos sólidos municipales</t>
  </si>
  <si>
    <t xml:space="preserve">Las rutas selectivas corresponde a áreas cubiertas por organizaciones de recicladores y que además, realizan separación en la fuente. </t>
  </si>
  <si>
    <t>Cobertura del servicio de recolección de residuos fracción secos.  La ciudad se divide en 12 zonas para realizar la recolección.</t>
  </si>
  <si>
    <t>No existe recolección diferenciada de residuos sólidos municipales [1, 2, 3, 4]. Sin embargo, los nuevos planes estratégicos de gestión de residuos contemplan la implementación de una recolección separada entre orgánicos e inorgánicos [2, 3, 4, 5].</t>
  </si>
  <si>
    <t xml:space="preserve">A partir de programas de segregación en la fuente, se realiza la recolección selectiva de residuos sólidos, con el fin de facilitar su reaprovechamiento y asegurando su disposición final diferenciada y técnicamente adecuada. </t>
  </si>
  <si>
    <t xml:space="preserve">Cantidad de viviendas (o habitantes) con servicio de recolección de residuos separados en relación con la totalidad de viviendas (o habitantes) del municipio. El servicio de recolección diferenciada entre residuo orgánico e inorgánico es garantizado en todas las 1868 colonias y 1773 rutas de recolección de la Ciudad de México; sin embargo, este dato no es indicativo de la cantidad de residuos que efectivamente son separados a la fuente y recolectados de forma diferenciada. </t>
  </si>
  <si>
    <t>La recolección selectiva municipal, basada en contenedores de calle se ha desplegado de momento en el municipio B de Montevideo que representa el 11,1% de la población de Montevideo</t>
  </si>
  <si>
    <t>Número de habitantes que poseen un servicio de recolección diferenciada de manera formal a través de la Empresa Pública Metropolitana de Aseo (EMASEO).                                                                                                                                                                                                De acuerdo a la proyección para el año 2016 de población del Instituto Nacional de Estadísiticas y Censo, el Distrito Metropolitano de Quito posee 2,597,989 de habitantes.                                                                                                                                                                            En base a la información proporcionada por EMASEO,la población beneficiada del servicio de recolección diferenciada de residuos sólidos para el año 2016 es de 227,000 habitantes, lo que corresponde al 8.74% de la población total de Quito.</t>
  </si>
  <si>
    <t>Porcentaje de la población de Santa Cruz a la que se le recolectan diferenciadamente los residuos al menos una vez a la semana. Esta recolección se realiza en 5 distritos (de los 12 distritos urbanos existentes) de la ciudad</t>
  </si>
  <si>
    <t>Cantidad de viviendas (o habitantes) con servicio de recolección de residuos separados en relación con la totalidad de viviendas (o habitantes) del municipio. De acuerdo con el inventario de residuos sólidos existen 6.947 unidades habitacionales, sin embargo se desconoce el total.</t>
  </si>
  <si>
    <t>C9</t>
  </si>
  <si>
    <t>P8. Número de rellenos sanitarios</t>
  </si>
  <si>
    <t>Tipo de disposición final de residuos sólidos generados en el área urbana de Bogotá.</t>
  </si>
  <si>
    <t xml:space="preserve">Cantidad de Rellenos Sanitarios donde se disponen los residuos de la Ciudad Autónoma de Buenos Aires. (Art. 35 de la Ley N° 1854/05: Denominase relleno sanitario a la técnica para la disposición final del resultante de los residuos sólidos urbanos en el suelo, sin causar perjuicio al ambiente y sin ocasionar peligros para la salud y la seguridad pública, utilizando principios de ingeniería para confinar los residuos en la menor superficie posible reduciendo su volumen al mínimo practicable). Los residuos de la Ciudad de Buenos Aires se disponen en el relleno sanitario del Complejo Ambiental Norte III de la CEAMSE ubicado en el Municipio de San Martín en la Provincia de Buenos Aires. </t>
  </si>
  <si>
    <t>La Ciudad de Belice cuenta con un relleno sanitario en  24 mile George Price Highway ("Mile-24 regional sanitary landfill"). [1,2,3]</t>
  </si>
  <si>
    <t xml:space="preserve"> El relleno sanitario es una
infraestructura de disposición final, debidamente equipada y operada, que permite disponer los
residuos sólidos de manera sanitaria y ambientalmente segura.
Los residuos sólidos generados en la ciudad de Lima son dispuestos en cuatro rellenos
sanitarios, dos de los cuales están ubicados en la provincia de Lima y dos fuera de ella
(Huarochirí y Callao). </t>
  </si>
  <si>
    <t>Un Relleno Sanitario de acuerdoc con el literal XXXIII del artículo 3 de La Ley de Residuos Sólidos del Distrito Federal es definida como "La obra de infraestructura que aplica métodos de ingeniería para la disposición final de los residuos sólidos ubicados en sitios adecuados al ordenamiento ecológico, mediante el cual los residuos sólidos se depositan y compactan al menor volumen práctico posible y se cubren con material natural o sintético para prevenir y minimizar la generación de contaminantes al ambiente y reducir los riesgos a la salud". Los residuos de la Ciudad de México se disponen en 5 rellenos sanitarios: Cañada, Cuautitlán, Cuautla, Milagro y Tepotzotlán, que se encuentran ubicados en municipalidades cercanas a la Ciudad de México.</t>
  </si>
  <si>
    <t>Hay un predio en el que se depositan los residuos de Montevideo, en el mismo hay dos áreas diferenciadas, una para los residuos urbanos y otra para los residuos industriales</t>
  </si>
  <si>
    <t xml:space="preserve">En base al Acuerdo Ministerial 061 que reforma el Libro VI de las Texto Unificado de  Lesgislación Secundaria, un relleno sanitario se define como "Relleno sanitario.- Es una técnica de ingeniería para el adecuado confinamiento de los desechos y/o residuos sólidos; consiste en disponerlos en celdas debidamente acondicionadas para ello y en un área del menor tamaño posible, sin causar perjuicio al ambiente, especialmente por contaminación a cuerpos de agua, suelos, atmósfera y sin causar molestia o peligro a la salud y seguridad pública. Comprende el esparcimiento, acomodo y compactación de los desechos y/o residuos, reduciendo su volumen al mínimo aplicable, para luego cubrirlos con una capa de tierra u otro material inerte, por lo menos diariamente y efectuando el control de los gases, lixiviados y la proliferación de vectores".                                                El Distrito Metropolitano de Quito cuenta con un Relleno Sanitario situado en el sector de "El Inga" desde el año 2003. </t>
  </si>
  <si>
    <t xml:space="preserve">De acuerdo a los establecido en el Reglamento sobre Rellenos Sanitarios, Capítulo 1 Artículo 1, letra f, un Relleno Sanitario "es la técnica mediante la cual diariamente los desechos sólidos se depositan, esparcen, acomodan, compactan y cubren empleando maquinaria. Su fin es prevenir y evitar daños a a salud y al ambiente, especialmente por la contaminación de los cuerpos de agua, de los suelos, de la atmósfera y a la población al impedir la propagaciónd e artrópodos y roedores".  Los residuos ordinarios del Cantón de San José son depositados en el Relleno sanitario La Carpio, ubicado el Distrito Uruca del mismo cantón de San José  </t>
  </si>
  <si>
    <t xml:space="preserve">El relleno sanitario es una infraestructura de disposición final, debidamente equipada y operada, que permite disponer los residuos sólidos de manera sanitaria y ambientalmente segura. Los residuos sólidos generados en Sao Paulo son dispuestos en dos rellenos sanitarios: Central de Tratamiento de Residuos Leste, localizados en el distrito de San Mateus, y el Centro de Tratamiento de Residuos Caieiras, ubicado en el vecino municipio de Caieiras. </t>
  </si>
  <si>
    <t>Lugar de disposición controlada de los residuos urbanos de la ciudad con medidas de seguridad para evitar problemas ambientales de vertidos, incendios, etc.</t>
  </si>
  <si>
    <t xml:space="preserve">Un Relleno Sanitario de acuerdo con el Decreto Supremo 189 Reglamento sobre Condiciones Sanitarias y de Seguridad Básicas en los Rellenos Sanitarios, es definida como  "instalación de eliminación de residuos sólidos en la cual se disponen residuos sólidos domiciliarios y asimilables, diseñada, construida y operada para minimizar molestias y riesgos para la salud y la seguridad de la población y daños para el medio ambiente, en la cual las basuras son compactadas en capas al mínimo volumen practicable y son cubiertas diariamente, cumpliendo con las disposiciones del presente reglamento." Los residuos de la Comuna de Santiago son dispuestos en el Relleno Sanitario Loma Los Colorados.  </t>
  </si>
  <si>
    <t>C10</t>
  </si>
  <si>
    <t>P9. Porcentaje de residuos sólidos municipales de la ciudad vertidos en rellenos sanitarios</t>
  </si>
  <si>
    <t>Residuos sólidos  generados en el
área urbana que son dispuestos en relleno sanitario en el último año.</t>
  </si>
  <si>
    <t>Porcentaje de residuos que se disponen en relación a la cantidad de residuos generados. La estimación se realizó en base a la cantidad anual de residuos generados (1.524.509 t) y a la cantidad anual de residuos dispuestos (1.153.380 t) en el año 2015. Este dato no incluye en la generación los residuos de la fracción seca recolectados por las cooperativas, en el caso de incluirse, el porcentaje de enterramiento disminuye (quizás 5%).</t>
  </si>
  <si>
    <t xml:space="preserve">De los residuos recolectados en la Estación de Transferencia, entre el 1% y el 2% es destinado a recuperación; lo demás es transportado al relleno sanitario. Sin embargo, hay una cantidad desconocida de residuos urbanos recuperables que es desviada hacia las cadenas de valor del reciclaje y de la reutilización antes de la recolección formal y del transporte a la Estación de Transferencia; si también estos residuos fueran contabilizados, disminuiría el porcentaje de captación del relleno sanitario. </t>
  </si>
  <si>
    <t>Cantidad de residuos que se dirigen a rellenos sanitarios en relación con la cantidad de residuos sólidos generados</t>
  </si>
  <si>
    <t>Porcentaje de los residuos sólidos recolectados por los camiones de aseo urbano que han entrado al vertedero de Felipe Cardoso</t>
  </si>
  <si>
    <t xml:space="preserve">Cantidad de residuos sólidos domésticos, industriales, comerciales, institucionales o de servicios que son depositadas en el punto de disposición final -Relleno Sanitario-.                                                                                                                                                                        En base a la información de EMGIRS EP se dispuso un total de 685,067 toneladas de residuos sólidos en el Relleno Sanitario "El Inga", y considerando la información del Plan Maestro de Gestión Integral de Residuos Sólidos, 2016 se recolectaron un total de 762,485 toneladas en la ciudad de Quito. </t>
  </si>
  <si>
    <t>Cantidad de residuos que se dirigen a rellenos sanitarios en relación con la cantidad de residuos sólidos generados. No existe información al respecto</t>
  </si>
  <si>
    <t>Porcentaje de residuos que siendo generados en la ciudad son depositados en el relleno sanitario</t>
  </si>
  <si>
    <t>C11</t>
  </si>
  <si>
    <t>P10.Vida remanente del predio en el cual está instalado el relleno sanitario</t>
  </si>
  <si>
    <t>Capacidad disponible del sitio de disposición final para continuar las actividades de disposición final de residuos sólidos según la autorización ambiental.</t>
  </si>
  <si>
    <t>Capacidad disponible del sitio de disposición final para continuar las actividades de disposición final de residuos sólidos según la autorización ambiental</t>
  </si>
  <si>
    <t>Vida que se calcula que le queda a la celda de residuos sólidos urbanos del relleno sanitario antes de su colmatación y cierre.
El tiempo puede aumentar si se decide incrementar la altura de la pila de residuos</t>
  </si>
  <si>
    <t>Espacio disponible para  depositar los residuos sólidos  bajo parámetros técnicos en el Relleno Sanitario.                              En base al Plan Maestro de Gestión Integral de Residuos Sólidos, el Relleno Sanitario "El Inga" posee una extensión de 60 hectáreas de superficie, en dónde en el 2016 empezó a funcionar el último Cubeto (9) concebido dentro del diseño del Relleno Sanitario. El cubeto 9, tiene una capacidad estimada de 5 años de funcionamiento.</t>
  </si>
  <si>
    <t>Vida remamente es lo que queda de vida útil a un relleno sanitario. Vida útil  "es el periodo de tiempo comprendido entre el inicio de operaciones del relleno sanitario y su clausura", según el Reglamento sobre Rellenos Sanitarios, Capítulo 1 Artículo 1, letra j. El Relleno Sanitario de La Carpio empieza a operar el año 2001 y tiene una vida útil estimada de 15 a 20 años.</t>
  </si>
  <si>
    <t>Capacidad disponible del sitio de disposición final para continuar las actividades de disposición final de residuos sólidos.</t>
  </si>
  <si>
    <t>Tiempo restante, desde la actualidad de vida del relleno sanitario, a partir del que deberá cerrarse por haberse colmatado</t>
  </si>
  <si>
    <t xml:space="preserve">Vida útil estimada del relleno sanitario menos cantidad de años de funcionamiento </t>
  </si>
  <si>
    <t>C12</t>
  </si>
  <si>
    <t>P11. Porcentaje de residuos sólidos de la ciudad dispuestos en vertederos a cielo abierto, vertederos controlados, cuerpos de agua y quemados</t>
  </si>
  <si>
    <t xml:space="preserve">Sistemas de disposición final no autorizados que no cumplen con las definiciones y autorizaciones establecidas y requeridas por el Decreto 838 de 2005, Decreto 2820 de 2010 y Resolución 1890 de 2011. </t>
  </si>
  <si>
    <t xml:space="preserve">No hay disposición final legal en vertederos a cielo abierto, vertederos controlados, cuerpos de agua y quemados. Sin embargo existen cerca de 60 acumulaciones abusivas entre acumulaciones en las esquinas y pequeños vertederos ilegales a cielo abierto ("open dumpsite"); además se registra el abandono de residuos en cuerpos de agua. </t>
  </si>
  <si>
    <t xml:space="preserve">Pasivos ambientales vinculados a la disposición final inadecuada de residuos sólidos que representan amenaza y riesgo ambiental sobre el ambiente y poblaciones. </t>
  </si>
  <si>
    <t>Cantidad de residuos que se disponen en vertederos a cielo abierto, vertederos controlados, cuerpos de agua y quemados con relación a la cantidad de residuos generados. Vertedos abusivos</t>
  </si>
  <si>
    <t>Porcentaje de residuos sólidos urbanos que se estima son vertidos en otros lugares que no son el vertedero municipal</t>
  </si>
  <si>
    <t>Porcentaje de cobertura de servicio recolección de basura de manera formal y que se registra en el Instituto Nacional de Estadísticas y Censo del Ecuador (INEC).                                                                                                                                                                                          En el Censo del año 2010, Quito evidencia una cobertura del servicio de recolección de basura del 98%.</t>
  </si>
  <si>
    <t>Cantidad de residuos que se disponen en vertederos a cielo abierto, vertederos controlados, cuerpos de agua y quemados, con relación a la cantidad de residuos generados.</t>
  </si>
  <si>
    <t xml:space="preserve"> Lugar donde se arrojan los residuos a cielo abierto en forma no controlada sin recibir ningún tipo de tratamiento sanitario</t>
  </si>
  <si>
    <t>Porcentaje de residuos que no son aportados a los sistemas de recolección municipal y que por tanto tienen otra disposición diferente</t>
  </si>
  <si>
    <t>Cantidad de residuos que se disponen en vertederos a cielo abierto, vertederos controlados, cuerpos de agua y quemados con relación a la cantidad de residuos generados.</t>
  </si>
  <si>
    <t>C13</t>
  </si>
  <si>
    <t>P12. Porcentaje de residuos sólidos de la ciudad que son compostados</t>
  </si>
  <si>
    <t>Cantidad de residuos que se compostan con relación a la cantidad de residuos generados.</t>
  </si>
  <si>
    <t>En la Ciudad de Belice no existe tratamiento de los residuos orgánicos.</t>
  </si>
  <si>
    <t>Residuos orgánicos que son incorporados a un proceso de compostaje en la planta de  Tratamiento de Residuos Orgánicos (TRESOR)</t>
  </si>
  <si>
    <t>Cantidad de residuos que se compostan con relación a la cantidad de residuos generados.Según el Boletín Informativo de Observatorio Municipal Nº12 (2014) el programa de compostaje con centros educatvos recupera un total de 1,6 toneledas al año, lo que representa un 0,001% de los residuos recolectados anualmente por el cantón.</t>
  </si>
  <si>
    <t>Porcentaje de residuos orgánicos que se destinan a compostaje, de forma que no acaban en el relleno sanitario y pueden así ser reciclados en forma de nueva materia orgánica</t>
  </si>
  <si>
    <t>Cantidad de residuos orgánicos que se compostan, con relación a la cantidad de residuos generados.</t>
  </si>
  <si>
    <t>C14</t>
  </si>
  <si>
    <t>P13. Porcentaje de residuos sólidos municipales de la ciudad que son separados y clasificados para reciclado</t>
  </si>
  <si>
    <t>Cantidad de residuos que son recuperados y clasificados con relación a la cantidad de residuos generados.</t>
  </si>
  <si>
    <t>Cantidad de residuos que se reciclan con relación a la cantidad de residuos generados. La estimación surge de la relación entre el total de residuos fracción secos recolectada por recuperadores (50 kg/d) calculada como 50kg/d*5500 rec. (275t/d) y la sumatoria (4.451 toneladas totales generadas) de la generación diaria promedio  recolectada por las empresas recolectoras de la fracción húmeda (4176 t/d) y el total de la fracción seca diariamente recolectada (275t/d). Cabe aclarar que existen 3500/4500 recuperadores que también recolectan reciclables por fuera del circuito formal.</t>
  </si>
  <si>
    <t xml:space="preserve">Se desconoce la cantidad total de residuos recuperables recolectada y separada por los recicladores de base que operan en las calles y no hay indicadores para realizar una estimación. Solo se registra la cantidad de residuos seleccionados y vendidos por los recicladores de base activos en la Estación de Transferencia; en base a los historiales, esta cantidad fluctúa entre el 1% y el 2% del volumen total recibido por la Estación de Transferencia [1, 2]; sin embargo, las condiciones de mercado no favorables determinaron en el último periodo una severa reducción de esta cantidad [2,3]. </t>
  </si>
  <si>
    <t xml:space="preserve">Residuos sólidos que son recolectados y recuperados por el reciclador. </t>
  </si>
  <si>
    <t>Cantidad de residuos que se reciclan con relación a la cantidad de residuos generados.</t>
  </si>
  <si>
    <t xml:space="preserve">Residuos reciclables que entran en las plantas de clasificación y que son realmente reciclados (sólo envases; 1%) más lo que la municipalidad estima que se recupera mediante los contenedores de calle (3%)
No se contemplan las cantidades recuperadas por los recicladores de base en las calles o vertederos) </t>
  </si>
  <si>
    <t>Cantidad de resiudos que se reciclan con relación a la cantidad de residuos generados potencialmente reciclables.</t>
  </si>
  <si>
    <t>Porcentaje de los residuos totales recogidos por la empresa concesionaria que son separados en la planta de Normandía, y por tanto, reintroducidos al sistema económico-industrial</t>
  </si>
  <si>
    <t>C15</t>
  </si>
  <si>
    <t>P14. Porcentaje de residuos sólidos municipales de la ciudad que son utilizados como recurso energético</t>
  </si>
  <si>
    <t>Cantidad de residuos que son utilizados como recurso energético con relación a la cantidad de residuos generados.</t>
  </si>
  <si>
    <t>N/A (no se realiza recuperación energética de residuos, Ley N° 1854 / 05)</t>
  </si>
  <si>
    <t>En la ciudad de Belice no existe valorización energética de residuos sólidos.</t>
  </si>
  <si>
    <t>Cantidad de residuos que son utilizados como recurso energético con relación a la cantidad de residuos generados</t>
  </si>
  <si>
    <t xml:space="preserve">Se llevó a cabo un estudio en 2012-2013 para valorar la posibilidad de disponer de una incineradora en Montevideo, pero no se avanzó.
</t>
  </si>
  <si>
    <t>Cantidad de residuos que son utilizados como recurso energético con relación a la cantidad de residuos generados. No existen cifras al respecto.</t>
  </si>
  <si>
    <t>Porcentaje de residuos que a los que se les aplica algún tratamiento térmico que permita la obtención de vapor de agua y/o electricidad a partir de ellos</t>
  </si>
  <si>
    <t>C16</t>
  </si>
  <si>
    <t>P15. Porcentaje de residuos sólidos municipales que son reciclados (Como cada municipio define “reciclaje” de forma distinta,  explicitar cuales materiales se incluyen en su caso)</t>
  </si>
  <si>
    <t xml:space="preserve">Cantidad de residuos sólidos que son aprovechados en relación a la cantidad de residuos generados en Bogotá. </t>
  </si>
  <si>
    <t>No existen datos claros.</t>
  </si>
  <si>
    <t>Los residuos recuperados en la Ciudad de Belice corresponden a la suma entre: a) los que son recolectados por los recicladores de base activos en las calles y b) los que son seleccionados por los recicladores de base activos en la Estación de Transferencia. Los recicladores de base activos en las calles recuperan una cantidad desconocida de materiales que corresponden a las categorías cubiertas por el Returnable Container Act, 2009 (envases de vidrio, PET y lata utilizados para bebidas carbonatadas, cerveza y licores) [1,2]. Los recicladores de base activos en la Estación de Transferencia seleccionan una cantidad más amplia de fracciones mercadológicas de residuo (más allá de las categorías cubiertas por el Returnable Container Act, también seleccionan aluminio, acero y otros metales) [3,4,5]. Cabe decir que las botellas de vidrio separadas y vendidas por los recicladores de base  normalmente no son recicladas industrialmente para la creación de materia prima secundaria, sino son reutilizadas por las embotelladoras [2]. Se desconoce la cantidad de reciclaje y reutilización generada gracias a los recicladores de base activos en la calle; solo se conoce la cantidad recuperada por los recicladores de base activos en la Estación de Transferencia, que totaliza, en sus mejores momentos, entre el 1% y el 2% del volumen global de residuos recibido por la Estación de Transferencia.</t>
  </si>
  <si>
    <t>Cantidad de residuos  recuperados en relación con la cantidad de residuos generados. Los residuos recuperados corresponden a la suma entre los materiales reciclables separados en la calle por los trabajadores y voluntarios de limpia y los reciclables surtidos en las plantas de selección (es estima un 14% del total de residuos generados[1]). Los intermediarios compran más de 20 fracciones diferentes, aunque el mayor volumen es constituido por PET, aluminio, papel y cartón [1,2,3,4]</t>
  </si>
  <si>
    <t xml:space="preserve">Sin datos desagregados
Dato estimado de lo que es recuperado por los recicladores de calle, es decir que escapa la control de la Intendencia de Montevideo. Faltaría sumar lo que se recupera por parte de las plantas de clasificación, más lo que se deposita en los centros comerciales dentro de la ley de envases, más el 4% que estima la municipalidad que se segrega en orígen en las viviendas
</t>
  </si>
  <si>
    <t>En el año 2014, en Quito se recuperaron 44,603 toneladas de residuos reciclables. Los residuos recuperados corresponden a los siguientes tipos y porcentajes: Papel (17%), Cartón (17%), Plástico suave y duro (18%), PET (24%), Vidrio (3%), Chatarra (19%), Electrónicos (2%).</t>
  </si>
  <si>
    <t xml:space="preserve">Cantidad de residuos  recuperados en relación con la cantidad de residuos generados. Los residuos recuperados corresponden a la totalidad de los subproductos recuperados en las plantas de selección. </t>
  </si>
  <si>
    <t>Proceso de conversión de residuos en materiales o productos con potencial reutilizable. Se consideran materiales reciclables el papel, cartón, vidrio, plástico, metal y textiles.</t>
  </si>
  <si>
    <t>Cantidad de residuos  recuperados en relación con la cantidad de residuos generados. Los residuos recuperados corresponden a la totalidad de los residuos recuperados en los diferentes programas de reciclaje. Se refiere a PET, papel, cartón, latas, vidrios tetrapack.</t>
  </si>
  <si>
    <t>D</t>
  </si>
  <si>
    <t>D2</t>
  </si>
  <si>
    <t>2013
2015</t>
  </si>
  <si>
    <t>Dato 1- 2010
Dato 2- 2016</t>
  </si>
  <si>
    <t>D3</t>
  </si>
  <si>
    <t>D4</t>
  </si>
  <si>
    <t>D5</t>
  </si>
  <si>
    <t>2016
2016</t>
  </si>
  <si>
    <t>D6</t>
  </si>
  <si>
    <t>2015 y 2016</t>
  </si>
  <si>
    <t>D7</t>
  </si>
  <si>
    <t>D8</t>
  </si>
  <si>
    <t>D9</t>
  </si>
  <si>
    <t>D10</t>
  </si>
  <si>
    <t>D11</t>
  </si>
  <si>
    <t>D12</t>
  </si>
  <si>
    <t>2008 [1]
2014 [2]</t>
  </si>
  <si>
    <t>D13</t>
  </si>
  <si>
    <t>No disponible</t>
  </si>
  <si>
    <t>D14</t>
  </si>
  <si>
    <t>2013-2015</t>
  </si>
  <si>
    <t>D15</t>
  </si>
  <si>
    <t>D16</t>
  </si>
  <si>
    <t xml:space="preserve">2016
</t>
  </si>
  <si>
    <t>E</t>
  </si>
  <si>
    <t xml:space="preserve"> Ordenanza Municipal 408/14 "GESTION INTEGRAL DE LOS RESIDUOS SOLIDOS URBANOS Y LA PROMOCION DE LA CULTURA DE BASURA CERO."</t>
  </si>
  <si>
    <t>UAESP, Actualización PGIRS Bogotá, septiembre 2016. Línea base Aprovechamiento</t>
  </si>
  <si>
    <t>Dirección General de Reciclado, Subsecretaría de Higiene Urbana,  Ministerio de Ambiente y Espacio Publico, Gobierno de la Ciudad Autónoma de Buenos Aires</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</si>
  <si>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 [8] Entrevista a Hilly Martinez, Responsable de Comunicación de Bowen &amp; Bowen; 29 agosto 2016.</t>
  </si>
  <si>
    <t>Municipalidad Metropolitana de Lima. PIGARS de la provincia de Lima 2015 - 2025.</t>
  </si>
  <si>
    <t>[1] Organización para la Cooperación y el Desarrollo Económico, 2003. "Evaluación del desempeño ambiental de México".[2] Sección Uno del SUTGDF, 2013 [3] Entrevistas a Pablo Tellez, líder del Frente Único de Pepenadores y Cuauhtemoc Gutiérrez, responsable comunicación de la Unión de Pepenadores del D.F. Rafael Gutiérrez Moreno [4] Berthier Castillo, Héctor, 1983. "La Sociedad de la Basura. caciquismo urbano en la Ciudad de México", pag. 59. [5] Entrevista a Trabajador de Limpia con más de 40 años de experiencia en el sector.</t>
  </si>
  <si>
    <t>http://www.montevideo.gub.uy/institucional/noticias/intendencia-presento-informe-sobre-clasificadores
Baraibar, Federico. Compromiso Empresarial para el Reciclaje. CEMPRE. A partir de datos del Instituto Nacional de Estadística de Uruguay trabajados por MIDES</t>
  </si>
  <si>
    <t xml:space="preserve">Secretaría de Ambiente. 2014. "Informe Final: Censo a Gestores Ambientales de Menor Escala en la Ciudad de Quito". </t>
  </si>
  <si>
    <t>Programa de Competitividad y Medio Ambiente (CYMA. "Diagnóstico y Áreas Prioritarias del Plan de Residuos Sólidos de Costa Rica".</t>
  </si>
  <si>
    <t xml:space="preserve">Prefeitura Municipal Da Cidade de Sao Paulo - Secretaria de Servivios. PGIRS 2014. </t>
  </si>
  <si>
    <t xml:space="preserve">Dato 1- Fomento Multilateral de Inversiones (FOMIN) "Estudio de mercado de residuos sólidos reciclables de Bolivia" 2011 
Dato 2- ] Tamayo, Neida; Presidenta y Rivero, Karina Secretaria; de la asociación Red de Recolectores Santa Cruz. </t>
  </si>
  <si>
    <t>Entrevista dirigente Movimiento Nacional de Recicladores de Chile</t>
  </si>
  <si>
    <t>Ruiz, Silvio. Asociación de recicladores de Bogotá</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</si>
  <si>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 [8] Entrevista a Hilly Martinez, Responsable de Comunicación de Bowen &amp; Bowen; 29 agosto 2016.</t>
  </si>
  <si>
    <t>[1] SEMARNAT, 2002. "Guía para la gestión integral de los Residuos Sólidos Municipales", pag. 129 [2] Sección Uno del SUTGDF, 2016. [3] Entrevistas a Pablo Tellez, líder del Frente Único de Pepenadores y Cuauhtemoc Gutiérrez, responsable comunicación de la Unión de Pepenadores del D.F. Rafael Gutiérrez Moreno</t>
  </si>
  <si>
    <t>Charbonier, Esteban.  Responsable del Programa de Clasificadores. Ministerio de Desarrollo Social (MIDES). 18 de octubre de 2016</t>
  </si>
  <si>
    <t>RENAREC. https://renarec.wordpress.com/</t>
  </si>
  <si>
    <t xml:space="preserve">Álvaro Valerín, Centro de Recuperación de Materiales Valorizable, Municipio San José. </t>
  </si>
  <si>
    <t>Entrevista dirigente Movimiento Nacional de Recicladores de Chile  (MNRCH)              Organizaciones comunitarias vigentes por Comuna [http://datos.gob.cl/dataset/organizaciones-comunitarias-vigentes-santaigo/resource/435b16b7-0d3d-40e6-9842-580307dca232?inner_span=True]</t>
  </si>
  <si>
    <t>[1] Entrevista a barrendera empleada en el servicio de limpia de Belize City; 29 agosto 2016. [2] Análisis de campo. [3] Entrevista a Peter Cohen, consultor; 8 septiembre 2016. [4] Entrevista a Reynaldo Hernandez, representante de PASA BELIZE Ltd; 30 agosto 2016. [5] Entrevista a Robert Prahiam, reciclador de base de la Estación de Transferencia de 3 mile George Price Highway; 31 agosto 2016. [6] Entrevista a Hilly Martinez, Responsable de Comunicación de Bowen &amp; Bowen; 29 agosto 2016.</t>
  </si>
  <si>
    <t>[1] Sección Uno del SUTGDF, 2016. [2]  Entrevista a Trabajador de Limpia con más de 40 años de experiencia en el sector. [3] Entrevistas a Pablo Tellez, líder del Frente Único de Pepenadores y Cuauhtemoc Gutiérrez, responsable comunicación de la Unión de Pepenadores del D.F. Rafael Gutiérrez Moreno</t>
  </si>
  <si>
    <t>Charbonier, Esteban.  Responsable del Programa de Clasificadores. Ministerio de Desarrollo Social (MIDES). 18 de octubre de 2016
Ychuste, Arllene y Clausen, Daniel. Área Recicladores de la Organización San Vicente-Padre Cacho</t>
  </si>
  <si>
    <t xml:space="preserve"> Empresa Pública Metropolitana de Gestión Integral de Residuos Sólidos. [http://www.emgirs.gob.ec]</t>
  </si>
  <si>
    <t>Todas las personas entrevistadas corroboraron este dato</t>
  </si>
  <si>
    <t xml:space="preserve">Entrevista Mayling Yuen, Funación Casa de La Paz     Entrevista Donatella Fucaro, Subdirección Medio Ambiente Municipalidad de Santiago </t>
  </si>
  <si>
    <t>UAESP. Dirección de aprovechamiento.</t>
  </si>
  <si>
    <t>[1] Entrevista a Dion Leslie - Sanitation Councelor of Belize City; 1 septiembre 2016. [2] Entrevista a barrendera empleada en el servicio de limpia de Belize City; 29 agosto 2016. [3] Análisis de campo. [4] Entrevista a Peter Cohen, consultor; 8 septiembre 2016. [5] Entrevista a Reynaldo Hernandez, representante de PASA BELIZE Ltd; 30 agosto 2016.</t>
  </si>
  <si>
    <t>[1] Sección Uno del SUTGDF, 2016. [2]  Entrevista a Trabajador de Limpia con más de 40 años de experiencia en el sector. [3] Entrevistas a Pablo Tellez, líder del Frente Único de Pepenadores y Cuauhtemoc Gutiérrez, responsable comunicación de la Unión de Pepenadores del D.F. Rafael Gutiérrez Moreno. [4] http://www.buholegal.com/listaacuerdos/df/?juzgado=85&amp;tipo=expediente&amp;noexpediente=426/1999 [5] Entrevista a Representante del GDF</t>
  </si>
  <si>
    <t>Beledo, Leticia. Asesora de la División Limpieza de la Intendencia de Montevideo
http://www.montevideo.gub.uy/sites/default/files/biblioteca/empresasregistradasenimparatransporteresiduosnodomiciliarios12oct2016.pdf</t>
  </si>
  <si>
    <t xml:space="preserve">Entrevistas personales a EMASEO (Peña, Cecilia.  Directora de Desarrollo Empresarial de EMASEO. 3 de octubre de 2016) y EMGIRS EP ( Riera, Fernando. Gerente de EMGIRS. 28 de septiembre de 2016).                                                                                                                          Plan Maestro de Gestión Integral de Residuos del Distrito Metropolitano de Quito,publicado en 2016  .  http://www.quitoambiente.gob.ec/ambiente/index.php/politicas-y-planeacion-ambiental/residuos-solidos/plan-maestro-gestion-integral  </t>
  </si>
  <si>
    <t>Emperatriz Ordeñana, Departamento de Servicios Ambientales, Municipalidad de San José.</t>
  </si>
  <si>
    <t>Entrevista Mayling Yuen, Funación Casa de La Paz     Entrevista Donatella Fucaro, Subdirección Medio Ambiente Municipalidad de Santiago</t>
  </si>
  <si>
    <t xml:space="preserve">Gimenez, C. 2016. Gestion de Residuos en Albergues del Municipio de Asuncion. Situación ante las inundaciones del Río Paraguay en el primer trimestre del 2016. </t>
  </si>
  <si>
    <t>UAESP, Actualización PGIRS Bogotá. Septiembre, 2016. Línea base  Generación de Residuos Sólidos. 
El valor de la generación anual de residuos sólidos se obtuvo multiplicando por 12 meses las 189.238,94 toneladas mensuales generadas en Bogotá.</t>
  </si>
  <si>
    <t>Dirección General de Estadística y Censos (Ministerio de Hacienda Gobierno de la Ciudad de Buenos Aires) sobre base de datos de la Coordinacion Ecológica Area Metropolitana del Estado (CEAMSE).</t>
  </si>
  <si>
    <t xml:space="preserve">[1] Diagnosis and Action Plan for Solid Waste Management, Belize City - Final Report; Marcelo Eduardo Rosso, 2016.  [2] Entrevista a Lumen Cayetano - Senior Consultant of BSWAMA. 31 agosto 2016 </t>
  </si>
  <si>
    <t>CDMX, Secretaria de Medioambiente. 2015. "Programa de Gestión Integral de Residuos Solidos - PGIRS: 2016-2020" http://www.sedema.cdmx.gob.mx/storage/app/media/programas/residuos-solidos/pgirs.pdf;
2014. Inventario de Residuos Solidos: http://data.sedema.cdmx.gob.mx/sedema/images/archivos/temas-ambientales/programas-generales/residuos-solidos/inventario-residuos-solidos-2014/IRS-2014.pdf</t>
  </si>
  <si>
    <t>http://www.cempre.org.uy/index.php?option=com_content&amp;view=article&amp;id=791:cada-uruguayo-produce-11-kilo-de-basurapor-dia&amp;catid=1:latest-news&amp;Itemid=69</t>
  </si>
  <si>
    <t xml:space="preserve">AM 061 modificación del Texto Unificado de Legislación Secundaria, Medio Ambiente, Libro VI-TULAS, 2015.                                                                                                                    EMASEO EP, 2015.  Plan Maestro de Gestión Integral de Residuos del Distrito Metropolitano de Quito,publicado en 2016  .  http://www.quitoambiente.gob.ec/ambiente/index.php/politicas-y-planeacion-ambiental/residuos-solidos/plan-maestro-gestion-integral  </t>
  </si>
  <si>
    <t>Municipalidad de San José, Boletín Infrmativo Observatorio Municipal. Octubre de 2014.</t>
  </si>
  <si>
    <t>EMACRUZ. Caracterización de residuos sólidos de Santa Cruz de la Sierra. (Documento en formato papel)</t>
  </si>
  <si>
    <t>http://datos.gob.cl/dataset/generacion-de-residuos-solidos-domiciliarios/resource/6570d862-ff13-4391-a71f-c0d9b085735c</t>
  </si>
  <si>
    <t>UAESP, Actualización PGIRS Bogotá. Septiembre, 2016. Línea base Recolección, transporte y transferencia.</t>
  </si>
  <si>
    <t>Control de Servicios Públicos de la Ciudad (Gobierno de la Ciudad Autónoma de Buenos Aires)</t>
  </si>
  <si>
    <t>[1] Diagnosis and Action Plan for Solid Waste Management, Belize City - Final Report; Marcelo Eduardo Rosso, 2016. [2] http://belizeswama.com/waste-collection/ [3] Entrevista a Dion Leslie - Sanitation Councelor of Belize City; 1 septiembre 2016. [4] Análisis de campo</t>
  </si>
  <si>
    <t>Secretaría de Medio Ambiente y Recursos Naturales. "Diagnóstico para la Gestión Integral de Residuos"</t>
  </si>
  <si>
    <t>http://www.montevideo.gub.uy/sites/default/files/MAPA%20GENERAL_AGOSTO%202015.pdf
http://www.montevideo.gub.uy/servicios-y-sociedad/limpiezaservicios-y-sociedad/limpieza/sistema-de-recoleccion-de-residuos-domiciliarios-con-contenedores</t>
  </si>
  <si>
    <t>http://www.noticiasquito.gob.ec/Noticias/news_user_view/inec_entrego_resultados_del_censo_2010_al_municipio_de_quito--4406</t>
  </si>
  <si>
    <t>Contraloría General de la República, División de Fiscalizaciín Operativa y Evaluativa. "Auditoría Operativa Recolección de Residuos Ordinarios". 2016</t>
  </si>
  <si>
    <t xml:space="preserve">Instituto de Geografía y Estadística de Brasil. </t>
  </si>
  <si>
    <t xml:space="preserve">“Consultoría de Mejoramiento al Sistema de Recolección de Residuos Sólidos Domiciliarios en la Comuna de Santiago", CityPlanning, 2014 </t>
  </si>
  <si>
    <t xml:space="preserve">UAESP, Actualización PGIRS Bogotá. Septiembre 2016. Línea base Aprovechamiento. </t>
  </si>
  <si>
    <t>Gobierno de la Ciudad de Buenos Aires</t>
  </si>
  <si>
    <t>[1] Diagnosis and Action Plan for Solid Waste Management, Belize City - Final Report; Marcelo Eduardo Rosso, 2016. [2] Entrevista a Dion Leslie - Sanitation Councelor of Belize City; 1 septiembre 2016. [3] Entrevista a Lumen Cayetano - Senior Consultant of BSWAMA. 31 agosto 2016. [4] Entrevista a Peter Cohen, consultor de la BID con experiencia de campo; 8 septiembre 2016. [5] National Solid Waste Management Policy, Government of Belize. 2015</t>
  </si>
  <si>
    <t>Secretaría de Medio Ambiente y Recursos Naturales. "Diagnóstico para la Gestión Integral de Residuos". Inventario de Residuos Solidos: http://data.sedema.cdmx.gob.mx/sedema/images/archivos/temas-ambientales/programas-generales/residuos-solidos/inventario-residuos-solidos-2014/IRS-2014.pdf</t>
  </si>
  <si>
    <t>http://municipiob.montevideo.gub.uy/node/151</t>
  </si>
  <si>
    <t>Entrevistas personales a EMASEO (Peña, Cecilia.  Directora de Desarrollo Empresarial de EMASEO. 3 de octubre de 2016).                                                               INEC, 2016. http://www.ecuadorencifras.gob.ec/inec-presenta-sus-proyecciones-poblacionales-cantonales/</t>
  </si>
  <si>
    <t>"Política de Reciclaje Comunal Inclusivo Municipal" Subdirección de Medio Ambiente. Muncipalidad de Santiago</t>
  </si>
  <si>
    <t>UAESP, Actualización PGIRS Bogotá. Septiembre 2016. Línea base  Disposición Final.</t>
  </si>
  <si>
    <t>Coordinacion Ecológica Area Metropolitana del Estado (CEAMSE).</t>
  </si>
  <si>
    <t>[1] Diagnosis and Action Plan for Solid Waste Management, Belize City - Final Report; Marcelo Eduardo Rosso, 2016. [2] Entrevista a Lumen Cayetano - Senior Consultant of BSWAMA. 31 agosto 2016.  [3] Entrevista a Reynaldo Hernandez, representante de PASA BELIZE Ltd; 30 agosto 2016</t>
  </si>
  <si>
    <t>Instituto de Calidad del Perú. Diagnóstico de Disposición Final de Residuos Sólidos de Lima y Callao. 2007</t>
  </si>
  <si>
    <t>CDMX, Secretaria de Medioambiente. 2015. "Programa de Gestión Integral de Residuos Solidos - PGIRS: 2016-2020" http://www.sedema.cdmx.gob.mx/storage/app/media/programas/residuos-solidos/pgirs.pdf;</t>
  </si>
  <si>
    <t>http://www.montevideo.gub.uy/servicios-y-sociedad/limpieza/sitio-de-disposicion-final-de-residuos-de-montevideo</t>
  </si>
  <si>
    <t>EMGIRS EP, 2016. http://www.emgirs.gob.ec/index.php/zentools/zentools-slideshow</t>
  </si>
  <si>
    <t>Municipalidad de San José, Boletín Informativo Observatorio Municipal</t>
  </si>
  <si>
    <t>Servicio de Salud Metropolitano del Ambiente (SESMA)</t>
  </si>
  <si>
    <t>UAESP, Actualización PGIRS Bogotá. Septiembre, 2016. Línea base Disposición Final</t>
  </si>
  <si>
    <t>Elaboración propia sobre datos de la Dirección General de Estadística y Censos (Ministerio de Hacienda Gobierno de la Ciudad de Buenos Aires) y de la Coordinacion Ecológica Area Metropolitana del Estado (CEAMSE).</t>
  </si>
  <si>
    <t>[1] Diagnosis and Action Plan for Solid Waste Management, Belize City - Final Report; Marcelo Eduardo Rosso, 2016. [2] Entrevista a Reynaldo Hernandez, representante de PASA BELIZE Ltd; 30 agosto 2016</t>
  </si>
  <si>
    <t xml:space="preserve">Municipalidad Metropolitana de Lima. PIGARS de la provincia de Lima 2015 - 2025.
</t>
  </si>
  <si>
    <t>Secretaría de Medio Ambiente de la Ciudad de México. "Inventario de Residuos Sólidos", publicado en 2015.</t>
  </si>
  <si>
    <t>Ing. Raúl Blengio
Director Servicio de Disposición Final de Residuos de la Intendencia de Montevideo</t>
  </si>
  <si>
    <t xml:space="preserve">EMGIRS EP, 2016. http://www.emgirs.gob.ec/index.php/rendicion-de-cuentas/informe-de-rendicion-de-cuentas-preliminar-2015.                                                                                                                                                                                                                                Plan Maestro de Gestión Integral de Residuos del Distrito Metropolitano de Quito,publicado en 2016  .  http://www.quitoambiente.gob.ec/ambiente/index.php/politicas-y-planeacion-ambiental/residuos-solidos/plan-maestro-gestion-integral  </t>
  </si>
  <si>
    <t xml:space="preserve">Para datos sobre recolección de residuos: http://datos.gob.cl/dataset/generacion-de-residuos-solidos-domiciliarios/resource/6570d862-ff13-4391-a71f-c0d9b085735c                      Para datos de reciclaje: Municipalidad de Santiago, Subdirección Medio Ambiente. "Política Ambiental Municipal" abril del 2013.       [https://issuu.com/fundacionbasura/docs/pol__tica_ambiental_municipal_por_u]         </t>
  </si>
  <si>
    <t>UAESP, Actualización PGIRS Bogotá. Septiembre, 2016 Línea base Disposición Final.</t>
  </si>
  <si>
    <t xml:space="preserve">Instituto de Calidad del Perú. 2007 Diagnóstico de Disposición Final de Residuos Sólidos de Lima y Callao. </t>
  </si>
  <si>
    <t>http://www.elobservador.com.uy/una-montana-basura-verde-n255432
Soutera, Federico. Dirección General de Medio Ambiente (DINAMA) Ministerio de Vivienda, Ordenamiento Territorial y Medio Ambiente</t>
  </si>
  <si>
    <t xml:space="preserve">Plan Maestro de Gestión Integral de Residuos del Distrito Metropolitano de Quito,publicado en 2016  .  http://www.quitoambiente.gob.ec/ambiente/index.php/politicas-y-planeacion-ambiental/residuos-solidos/plan-maestro-gestion-integral  </t>
  </si>
  <si>
    <t>Candiani, Giovano; De Morais da Silva Marcus. Análise do biogás no aterro sanitário Caieiras. 2011</t>
  </si>
  <si>
    <t>Secretaría Regional Ministerial de Medio Ambiente [http://www.santiagorecicla.cl/wp-content/uploads/2015/03/Informe-gestion-RM-2014.pdf]</t>
  </si>
  <si>
    <t>Secretaria del Ambiente, la Municipalidad de Asunción
(Paraguay) y el Programa de las Naciones Unidas para el Medio Ambiente. 2008. Perspectivas del Medio Ambiente Urbano. GEO Asuncion del Paraguay. Secretaria del Ambiente (SEAM), la Municipalidad de Asunción (Paraguay) y el Programa de las Naciones Unidas para el Medio Ambiente (PNUMA) [1]
BID. 2014. Plan de Accion Área Metropolitana de
Asunción sostenible. IADB: Washington DC [2]</t>
  </si>
  <si>
    <t xml:space="preserve">
UAESP, Actualización PGIRS Bogotá. Septiembre, 2016. Línea base Disposición Final.</t>
  </si>
  <si>
    <t>[1] Diagnosis and Action Plan for Solid Waste Management, Belize City - Final Report; Marcelo Eduardo Rosso, 2016. [2] Entrevista a Reynaldo Hernandez, representante de PASA BELIZE Ltd; 30 agosto 2016. [3] Entrevista a Dion Leslie - Sanitation Councelor of Belize City; 1 septiembre 2016</t>
  </si>
  <si>
    <t xml:space="preserve">Ing. Raúl Blengio
Director Servicio de Disposición Final de Residuos de la Intendencia de Montevideo
</t>
  </si>
  <si>
    <t>Para datos sobre disposición: http://www.santiagorecicla.cl/wp-content/uploads/2015/03/Informe-gestion-RM-2014.pdf Para datos sobre recolección: http://datos.gob.cl/dataset/generacion-de-residuos-solidos-domiciliarios/resource/6570d862-ff13-4391-a71f-c0d9b085735c</t>
  </si>
  <si>
    <t>[1] Diagnosis and Action Plan for Solid Waste Management, Belize City - Final Report; Marcelo Eduardo Rosso, 2016.</t>
  </si>
  <si>
    <t>http://www.montevideo.gub.uy/sites/default/files/Propuesta%20para%20PDL%202015%28WEB%29_0.pdf</t>
  </si>
  <si>
    <t xml:space="preserve">Municipalidad de San José, Boletín Informativo Observatorio Municipal. </t>
  </si>
  <si>
    <t>Dan Moche, Claudio Spínola y Magdalena Donoso. Sao Paulo Apuesta En Serio Por El Compostaje Domiciliario. 2015</t>
  </si>
  <si>
    <t>http://www.munistgo.info/aseo/servicios/reciclaje/</t>
  </si>
  <si>
    <t>Elaboración propia sobre datos de las cooperativas El Alamo y El Amanecer de los Cartoneros y la generación media diaria para el año 2015 según datos de la Dirección de Estadistica y Censos del Gobierno de la Ciudad de Buenos Aires.</t>
  </si>
  <si>
    <t xml:space="preserve">[1] Diagnosis and Action Plan for Solid Waste Management, Belize City - Final Report; Marcelo Eduardo Rosso, 2016. [2] Entrevista a Reynaldo Hernandez, representante de PASA BELIZE Ltd; 30 agosto 2016. [3]  Entrevista a Robert Prahiam, reciclador de base de la Estación de Transferencia de 3 mile George Price Highway; 31 agosto 2016. </t>
  </si>
  <si>
    <t>http://www.elobservador.com.uy/la-mitad-los-residuos-que-van-las-plantas-clasificacion-no-sirve-n908154
Ing. Raúl Blengio
Director Servicio de Disposición Final de Residuos de la Intendencia de Montevideo</t>
  </si>
  <si>
    <t>Arias, Verónica. Secretaria de Ambiente de Secretaría de Ambiente. 10 de octubre de 2016.</t>
  </si>
  <si>
    <t>Contraloría General de la República, División xde Fiscalizaciín Operativa y Evaluativa. "Auditoría Operativa Recolección de Residuos Ordinarios". 2016</t>
  </si>
  <si>
    <t xml:space="preserve">Para datos sobre reciclaje: http://www.munistgo.info/aseo/servicios/reciclaje/        Para datos sobre recolección:http://datos.gob.cl/dataset/generacion-de-residuos-solidos-domiciliarios/resource/6570d862-ff13-4391-a71f-c0d9b085735c </t>
  </si>
  <si>
    <t>UAESP, Actualización PGIRS Bogotá. Septiembre, 2016. Línea Base Aprovechamiento.</t>
  </si>
  <si>
    <t>[1] http://entretextos.leon.uia.mx/num/18/PDF/ENT18-3.pdf.                 
[2] http://www.jornada.unam.mx/2013/05/14/estados/032n1est        
[3]                                                         Berthier Castillo, Héctor. 2015. "CDMX basura: proyecto de papel". Revista de pensamiento sociológico 16:333-368.</t>
  </si>
  <si>
    <t>Baraibar, Federico. Director ejecutivo. Compromiso Empresarial para el Reciclaje. CEMPRE. 21 de octubre de 2016
http://www.mvotma.gub.uy/residuos-solidos-urbanos/item/10002640-generacion-de-energia-a-partir-de-residuos.html</t>
  </si>
  <si>
    <t>OPS. El manejo de residuos sólidos municipales en América Latina y el Caribe. 1995. Serie Ambiental No
 15.</t>
  </si>
  <si>
    <t>NA</t>
  </si>
  <si>
    <t xml:space="preserve"> [1] Entrevista a barrendera empleada en el servicio de limpia de Belize City; 29 agosto 2016. [2] Entrevista a Hilly Martinez, Responsable de Comunicación de Bowen &amp; Bowen; 29 agosto 2016.  [3] Entrevista a Reynaldo Hernandez, representante de PASA BELIZE Ltd; 30 agosto 2016. [4] Entrevista a Robert Prahiam, reciclador de base de la Estación de Transferencia de 3 mile George Price Highway; 31 agosto 2016. [5] Entrevista a Lumen Cayetano - Senior Consultant of BSWAMA. 31 agosto 2016 </t>
  </si>
  <si>
    <t>[1] Secretaría de Medio Ambiente de la Ciudad de México. "Inventario de Residuos Sólidos", publicado en 2015.  [2]  Entrevista a Trabajador de Limpia con más de 40 años de experiencia en el sector. [3] Entrevistas a Pablo Tellez, líder del Frente Único de Pepenadores y Cuauhtemoc Gutiérrez, responsable comunicación de la Unión de Pepenadores del D.F. Rafael Gutiérrez Moreno. [4] Entrevista a Edgar Báez - Recupera</t>
  </si>
  <si>
    <t>Soutera, Federico. Dirección General de Medio Ambiente (DINAMA) Ministerio de Vivienda, Ordenamiento Territorial y Medio Ambiente</t>
  </si>
  <si>
    <t xml:space="preserve"> Iniciativa Regional para el Reciclaje Inclusivo. 2015. Reciclaje Inclusivo y Recicladores de Base en el Ecuador. [http://reciclajeinclusivo.org/wp-content/uploads/2016/04/Reciclaje-Inlcusivo-y-Recicladores-de-base-en-EC.pdf ]   </t>
  </si>
  <si>
    <t>F</t>
  </si>
  <si>
    <t>cantidades</t>
  </si>
  <si>
    <t>Cantidades</t>
  </si>
  <si>
    <t>cantidad</t>
  </si>
  <si>
    <t xml:space="preserve">Personas
Personas (cifra estimada) </t>
  </si>
  <si>
    <t>Personas</t>
  </si>
  <si>
    <t>Cantidad de personas</t>
  </si>
  <si>
    <t>Nº de personas</t>
  </si>
  <si>
    <t>Número de entidades</t>
  </si>
  <si>
    <t>Asociaciones</t>
  </si>
  <si>
    <t>Cantidad de asociaciones</t>
  </si>
  <si>
    <t>Asocaciones</t>
  </si>
  <si>
    <t>Cantidad</t>
  </si>
  <si>
    <t>Número de entidades
Número de entidades</t>
  </si>
  <si>
    <t xml:space="preserve">Asociaciones </t>
  </si>
  <si>
    <t>Número de asociaciones</t>
  </si>
  <si>
    <t>ton/año</t>
  </si>
  <si>
    <t>Toneladas anuales</t>
  </si>
  <si>
    <t>toneladas anuales</t>
  </si>
  <si>
    <t>toneladas / año</t>
  </si>
  <si>
    <t>Toneladas/día</t>
  </si>
  <si>
    <t xml:space="preserve">Toneladas anuales </t>
  </si>
  <si>
    <t>Toneladas por año</t>
  </si>
  <si>
    <t>toneladas/año</t>
  </si>
  <si>
    <t>Toneladas año</t>
  </si>
  <si>
    <t>porcentaje</t>
  </si>
  <si>
    <t>Porcentaje</t>
  </si>
  <si>
    <t>Porcentaje de cobertura del servicio de recolección</t>
  </si>
  <si>
    <t>Porcentaje Población</t>
  </si>
  <si>
    <t>Porcentaje de habitantes beneficiados con servicio de recolección diferenciada</t>
  </si>
  <si>
    <t>S/D</t>
  </si>
  <si>
    <t>Relleno Sanitario</t>
  </si>
  <si>
    <t>Cantidad de Relleos Sanitarios</t>
  </si>
  <si>
    <t>Número</t>
  </si>
  <si>
    <t>Relleno Sanitario donde se disponen los residuos de la Comuna de Santiago</t>
  </si>
  <si>
    <t>Porcentaje de residuos dispuestos en relleno sanitario</t>
  </si>
  <si>
    <t xml:space="preserve">Porcentaje </t>
  </si>
  <si>
    <t>Porcentaje de residuos</t>
  </si>
  <si>
    <t>años</t>
  </si>
  <si>
    <t>Años</t>
  </si>
  <si>
    <t>Años desde 2016</t>
  </si>
  <si>
    <t>G</t>
  </si>
  <si>
    <t>3.188
5.000</t>
  </si>
  <si>
    <t>Dato 1 - 2.500-3.000 (de las cuales el 70% a tiempo completo) Por tanto unas 1.900
Dato 2- Personas afiliadas a alguna asociación= 700</t>
  </si>
  <si>
    <t>4 (3 asociaciones de los pepenadores mas el sindicato de los trabajadores de limpia.)</t>
  </si>
  <si>
    <t>indefinido</t>
  </si>
  <si>
    <t>0
98</t>
  </si>
  <si>
    <t>756,2</t>
  </si>
  <si>
    <t xml:space="preserve">aprox. 19,350 </t>
  </si>
  <si>
    <t>80-99,7%</t>
  </si>
  <si>
    <t>Lima norte: 9.28%
Lima Centro: 61.52%
Lima Este: 27.22%
Lima Sur: 1,98%</t>
  </si>
  <si>
    <t xml:space="preserve">aprox. 98.5% </t>
  </si>
  <si>
    <t>63% a 66% (de los cuales una cuota indefinida es incinerada y coprocesada)</t>
  </si>
  <si>
    <t>89,85%</t>
  </si>
  <si>
    <t>40 (Relleno Sanitario El Zapallal)</t>
  </si>
  <si>
    <t>El 87,96 % de la basura producida en Asunción, es recolectada por transportes recolectores de basura, mientras que el 6,03% es quemado poluyendo el aire, y el restante 6,01 es arrojado en vertederos ilegales, o simplemente no recogido. Las basuras no recolectadas se acumulan en veredas y terrenos baldíos [1] Los materiales reciclados, desviados del flujo de residuos, tratados y enviados para transformarlos en nuevos productos alcanzan al 12%  del total. Cabe destacar que este valor corresponde a procesos precarios de separación de materiales comercializables para reciclado que realizan trabajadores informales (llamados “gancheros”) en los vertederos de Cateura y de la empresa El Farol.[2]</t>
  </si>
  <si>
    <t>6.5%</t>
  </si>
  <si>
    <t>10% a 13%</t>
  </si>
  <si>
    <t>Aprox 1%</t>
  </si>
  <si>
    <t>4% de los que entran al circuito de la empresa concesionaria</t>
  </si>
  <si>
    <t>entre 30% y 43% (en probable sobrexposición con el flujo que oficialmente es registrado como disposición final)</t>
  </si>
  <si>
    <t xml:space="preserve">0%
Hubo un piloto en 2009 en el que se compostaron residuos de un mercado, pero no ha tenido continuidad </t>
  </si>
  <si>
    <t>14,62%
Papel y cartón: 35%
Chatarra: 49%
Plásticos 11%
Vidrio 5%</t>
  </si>
  <si>
    <t>Papel (17%), Cartón (17%), Plástico suave y duro (18%), PET (24%), Vidrio (3%), Chatarra (19%), Electrónicos (2%)</t>
  </si>
  <si>
    <t>Se indican los % en los que se encuentran, respecto del total de residuos generados, en la caracterización de los residuos de la ciudad:
Plásticos 11%
Vidrio 1,7%
Papel y cartón 8%
Metales 0,9%
Sin datos de los % que son reciclados efectivamente</t>
  </si>
  <si>
    <t>H</t>
  </si>
  <si>
    <t>H2</t>
  </si>
  <si>
    <t>Un estimado de 4.000 recicladores según estas fuentes
[1]Ultima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t>
  </si>
  <si>
    <t xml:space="preserve">Aclaración sobre la definición de "reciclador de base":  a menudo quien realiza la actividad informal es un trabajador de limpia formalmente reconocido (es decir, su participación en el sistema formal no incluye ciertas actividades que no son formalizadas). Además, es más completo y exacto hablar de actividades de "recolección" y "aprovechamiento" (según la definición de ley, se puede considerar que la recolección es parte del "conjunto de actividades cuyo objetivo es recuperar el valor económico de los residuos"); sin embargo, aunque  el termino "recuperación" no sea definido en la ley general de residuos y en la ley de residuos solidos del Distrito Federal, su utilización en estos mismos textos normalmente se refiere a actividades realizadas en fases de la cadena de valor que son más avanzadas del anillo manejado por los informales. </t>
  </si>
  <si>
    <t>H3</t>
  </si>
  <si>
    <t>H4</t>
  </si>
  <si>
    <t>H5</t>
  </si>
  <si>
    <t>Si utilizamos un concepto mas amplio de "prestación de servicio" que no se limite a los servicios que son pagados con dinero; de hecho, en todo el mundo, en la gestión de residuos, existen prestaciones de servicios perfectamente formalizadas que obedecen a otras clases de intercambio.</t>
  </si>
  <si>
    <t>H6</t>
  </si>
  <si>
    <t>H7</t>
  </si>
  <si>
    <t>La cobertura de recolección en Asunción llega al 99,7% de las
propiedades catastradas de acuerdo al Sistema Informático de Geo procesamiento (SIG) Municipal dependiente de la Dirección General de Área Urbana. Pero este servicio no llega al Bañado Norte ni al Bañado Sur, tampoco a otras poblaciones que asientan en otros sitios al margen del cauce hídrico del Río Paraguay. Realizando un según esta última consideración, es posible estimar que la recolección llega a lo sumo al 80.%.</t>
  </si>
  <si>
    <t>H8</t>
  </si>
  <si>
    <t>Urban Dashboard esta hecho para 'Área metropolitana de asunción'(AMA) que incluye otras ciudades y no solo Asunción, por lo cual los números que tienen son mayores.
Urban Dashboard:http://www.urbandashboard.org/iadb/index_city.html?id=ASU&amp;lang=ES
"El AMA no tiene implementados programas de reducción y/o separación en origen de los residuos sólidos urbanos, a excepción de algunos programas de tipo experimental de separación y reciclado de ciertos materiales, con escaso impacto frente a los volúmenes de generación actuales</t>
  </si>
  <si>
    <t>Es muy importante hacer hincapié entre la diferencia que hay entre lo que es el servicio de recolección diferenciada, que es brindado a todos (de hecho los usuarios pueden entregar separado)  y lo que es la cantidad que realmente se diferencia; no hay que caer en el malentendido que un 100% de servicio brindado corresponda a un 100% de recolección selectiva.</t>
  </si>
  <si>
    <t>H9</t>
  </si>
  <si>
    <t>"Los dos principales vertederos metropolitanos donde se dispone aproximadamente el 50% los residuos sólidos generados
en el área metropolitana de Asunción no cumplen con las especificaciones mínimas de un relleno sanitario"</t>
  </si>
  <si>
    <t>H10</t>
  </si>
  <si>
    <t>0% según el Urban Dashboard:http://www.urbandashboard.org/iadb/index_city.html?id=ASU&amp;lang=ES)</t>
  </si>
  <si>
    <t xml:space="preserve">En la pagina 29 del inventario de residuos solidos se declara que 8100 toneladas de residuos solidos se dirigen diariamente a los sitios de disposición final (63% del total); sin embargo, las plantas de composta tienen un output cuyo peso es un 61% inferior a la cantidad de input; una planta normal tiene máximo un 40% de "perdida de proceso y una planta eficiente un 30%; como consecuencia, se estima que exista al menos un +20% clasificado por el GDF como perdida de proceso; lo mas probable (y como confirman rumores de empleados del sector) es que grandes cantidades de estos residuos orgánicos sean directamente desviados a los sitios de disposición final (probablemente por insuficiencias en la capacidad de procesamiento de las plantas); este 20% desviado desde el orgánico in input es el 3% del total de los residuos generados en la CDMX. </t>
  </si>
  <si>
    <t>H11</t>
  </si>
  <si>
    <t>H12</t>
  </si>
  <si>
    <t>H13</t>
  </si>
  <si>
    <t>15% según el Urban Dashboard:http://www.urbandashboard.org/iadb/index_city.html?id=ASU&amp;lang=ES
El BID calcula solo lo que se recicla en Cateura (que también incluye basura que viene de otras ciudades) y no tienen calculado lo reciclado por los recicladores en calle</t>
  </si>
  <si>
    <t>ver los comentarios de la P10</t>
  </si>
  <si>
    <t>H14</t>
  </si>
  <si>
    <t>12% según el Urban Dashboard:http://www.urbandashboard.org/iadb/index_city.html?id=ASU&amp;lang=ES
El BID calcula solo lo que se recicla en Cateura (que también incluye basura que viene de otras ciudades) y no tienen calculado lo reciclado por los recicladores en calle</t>
  </si>
  <si>
    <t>En el inventario de residuos solidos (pag.70)  se estima una desviación de flujo con concepto de pre-pepena de 1621 ton al día (12.5% del total) y se declara (pag. una recuperación en las plantas de selección igual a 191 tons por día (1.5% del total)</t>
  </si>
  <si>
    <t>H15</t>
  </si>
  <si>
    <t>0% según el Urban Dashboard:http://www.urbandashboard.org/iadb/index_city.html?id=ASU&amp;lang=ES</t>
  </si>
  <si>
    <t>Es un asunto muy controvertido. Como consecuencia de las protestas de Huichapan-Hidalgo, donde se encontraba la cementera que recibía la mayoría de los residuos procedentes de la Ciudad de México, CEMEX reubicó este flujo en otras cementeras distribuidas en el país sin poner en transparencia cuales son. Yo ví en primera persona la presencia de CEMEX en la planta de selección de San Juan de Aragón; observando el proceso, averigüé que la mayoría (o totalidad) del flujo no seleccionado por los pepenadores es entregado a CEMEX. Puede ser que, gracias a un ulterior convenio con uno o más sitios de disposición final, CEMEX puede recibir estos volúmenes de residuos bajo un sistema de trazabilidad cuya evidencia publica se interrumpe en el sitio declarado de disposición final. Varias fuentes, entre las cuales el articulo "CDMX Basura: proyecto de papel" indican que la valorización energética de las cementeras (incluyendo el coprocesamiento) es medible entre las 4000 y las 5600 tons diarias. Además, hay que observar que el concepto de "valorización energética de residuos" o "termovalorización de residuos" o "recuperación energética" es bastante controvertido en el debate de sector porque corresponde, en el concreto a una incineración de los residuos, y no hay acuerdo académico en el determinar si estas plantas, y cuales de estas plantas, merecen ser definidas como medios para recuperar algo, siendo en muchos casos (según algunos en todos los casos) plantas cuya finalidad principal es "destruir" los residuos, cerrando el ciclo de vida de los desechos de una forma que solo puede ser asimilada al concepto de disposición final. Sugiero que la pregunta sea cambiada en "Cantidad de residuos que son incinerados/coprocesados/recuperados energéticamente con relación a la cantidad de residuos generados".</t>
  </si>
  <si>
    <t>H16</t>
  </si>
  <si>
    <t>Question_Number</t>
  </si>
  <si>
    <t>TEXT_FORMAT</t>
  </si>
  <si>
    <t>BAR CHART</t>
  </si>
  <si>
    <t>GROUPS</t>
  </si>
  <si>
    <t>Top Quartile</t>
  </si>
  <si>
    <t>…</t>
  </si>
  <si>
    <t>Bottom Quartile</t>
  </si>
  <si>
    <t>No Data</t>
  </si>
  <si>
    <t>DATA TABLE</t>
  </si>
  <si>
    <t>Ranker</t>
  </si>
  <si>
    <t>Quartile</t>
  </si>
  <si>
    <t>Hide NA's on Map</t>
  </si>
  <si>
    <t>Active</t>
  </si>
  <si>
    <t>Normalised 0-100</t>
  </si>
  <si>
    <t>LEGEND HELPERS</t>
  </si>
  <si>
    <t>Q1</t>
  </si>
  <si>
    <t>Q2</t>
  </si>
  <si>
    <t>Q3</t>
  </si>
  <si>
    <t>Q4</t>
  </si>
  <si>
    <t>BSAS</t>
  </si>
  <si>
    <t>LIMA</t>
  </si>
  <si>
    <t>MEXC</t>
  </si>
  <si>
    <t>MONT</t>
  </si>
  <si>
    <t>QUIT</t>
  </si>
  <si>
    <t>SANJ</t>
  </si>
  <si>
    <t>SACR</t>
  </si>
  <si>
    <t>SADC</t>
  </si>
  <si>
    <t>SAPA</t>
  </si>
  <si>
    <t>LOOKUPS</t>
  </si>
  <si>
    <t>Circles; area=value</t>
  </si>
  <si>
    <t>Circles; colour=group</t>
  </si>
  <si>
    <t>Circles; area=value, colour=group</t>
  </si>
  <si>
    <t>cnt_map_visualisation</t>
  </si>
  <si>
    <t>Chart_units</t>
  </si>
  <si>
    <t>Country+Highlight</t>
  </si>
  <si>
    <t>Region_ID</t>
  </si>
  <si>
    <t>circle_BOG</t>
  </si>
  <si>
    <t>CDBE</t>
  </si>
  <si>
    <t>ASUN</t>
  </si>
  <si>
    <t>BOGA</t>
  </si>
  <si>
    <t>Country_Profile_Words</t>
  </si>
  <si>
    <t>Indi_Select</t>
  </si>
  <si>
    <t>Description1</t>
  </si>
  <si>
    <t>Description2</t>
  </si>
  <si>
    <t>Description3</t>
  </si>
  <si>
    <t>Result</t>
  </si>
  <si>
    <t>Overall_row_number</t>
  </si>
  <si>
    <t>Ref</t>
  </si>
  <si>
    <t>Options</t>
  </si>
  <si>
    <t>Max_Indi</t>
  </si>
  <si>
    <t>Pregunta:</t>
  </si>
  <si>
    <t>Puntaje 2016:</t>
  </si>
  <si>
    <t>Justificación Texto 2016:</t>
  </si>
  <si>
    <t>Referencias 2016:</t>
  </si>
  <si>
    <t>Addition_Notes</t>
  </si>
  <si>
    <t>Indi_Add_Notrs</t>
  </si>
  <si>
    <t>Definición:</t>
  </si>
  <si>
    <t>Año:</t>
  </si>
  <si>
    <t>Fuente:</t>
  </si>
  <si>
    <t>Unidad:</t>
  </si>
  <si>
    <t>Dato:</t>
  </si>
  <si>
    <t>Notas:</t>
  </si>
  <si>
    <t>Z</t>
  </si>
  <si>
    <t>INDI_Z</t>
  </si>
  <si>
    <t>INDI_3</t>
  </si>
  <si>
    <t>SELECCIONE SERIE Y</t>
  </si>
  <si>
    <t>SELECCIONE SERIE Z</t>
  </si>
  <si>
    <t>Bad</t>
  </si>
  <si>
    <t>VISUALIZACIÓN</t>
  </si>
  <si>
    <t>Opciones:</t>
  </si>
  <si>
    <t>Puntos 2016:</t>
  </si>
  <si>
    <t xml:space="preserve">0= No existen procesos de licitación para el reciclaje  o existen con baja transparencia (0 criterios)
1= Existen con mediana transparencia (1-2 criterios)
2= Existen con alta transparencia (los 3-4 criterios)
</t>
  </si>
  <si>
    <t>14.¿Hay campañas de comunicación para fomentar el reciclaje inclusivo con difusión en el municipio?</t>
  </si>
  <si>
    <t>1.¿ Existe un marco legal nacional para la gestión de residuos orientado al reciclaje con la inclusión de actores informales?</t>
  </si>
  <si>
    <t>2.¿Existe un marco legal municipal para la gestión de residuos orientado al reciclaje y la inclusión de actores informales?</t>
  </si>
  <si>
    <t>3.¿Son las políticas municipales suficientemente estables para garantizar la continuidad en materia de políticas de reciclaje inclusivo?</t>
  </si>
  <si>
    <t>4.¿Existe un presupuesto (o mecanismo de financiación) municipal asignado para el reciclaje inclusivo?</t>
  </si>
  <si>
    <t>5.¿Existe reconocimiento legal de la ocupación de reciclador de base?</t>
  </si>
  <si>
    <t>6.¿Se reconoce a los recicladores de base como prestadores de servicio en la gestión de residuos?</t>
  </si>
  <si>
    <t>7.¿Se ha identificado la población de recicladores de base a través de un censo?</t>
  </si>
  <si>
    <t>8.¿Cuál es el grado de transparencia e inclusión en los procesos de licitación para el reciclaje?</t>
  </si>
  <si>
    <t>10.¿Hay programas de formación/capacitación a nivel municipal?</t>
  </si>
  <si>
    <t>11.¿Existen incentivos, programas y/o acciones concretas para el fortalecimiento de la ocupación del reciclador de base?</t>
  </si>
  <si>
    <t>13.¿Hay un sistema municipal de recolección de información de reciclaje inclusivo?</t>
  </si>
  <si>
    <t>16.¿Cuán dinámicas son las asociaciones?</t>
  </si>
  <si>
    <t xml:space="preserve">17.¿Qué nivel de inclusión  presentan estas asociaciones? </t>
  </si>
  <si>
    <t>19.¿Existen espacios de diálogo y coordinación entre diferentes actores de la cadena de valor del reciclaje?</t>
  </si>
  <si>
    <t>20.¿Cuál es el nivel de representación de las mujeres en las asociaciones?</t>
  </si>
  <si>
    <t xml:space="preserve">21.¿Existen organizaciones de recicladores con actividad comercial en el municipio (cooperativas y/o microempresas)? </t>
  </si>
  <si>
    <t>22.¿Cuál es el nivel de participación de las organizaciones de recicladores en la cadena de valor del reciclaje?</t>
  </si>
  <si>
    <t>1.1.3</t>
  </si>
  <si>
    <t>1.1.4</t>
  </si>
  <si>
    <t>1.2.4</t>
  </si>
  <si>
    <t>1.2.5</t>
  </si>
  <si>
    <t>1.2.6</t>
  </si>
  <si>
    <t>1.2.7</t>
  </si>
  <si>
    <t>1.2.8</t>
  </si>
  <si>
    <t>1.3.2</t>
  </si>
  <si>
    <t>2.1.2</t>
  </si>
  <si>
    <t>2.1.3</t>
  </si>
  <si>
    <t>2.1.4</t>
  </si>
  <si>
    <t>2.1.5</t>
  </si>
  <si>
    <t>2.2.2</t>
  </si>
  <si>
    <t>2.2.3</t>
  </si>
  <si>
    <t>3.1.3</t>
  </si>
  <si>
    <t>3.1.4</t>
  </si>
  <si>
    <t>3.2.2</t>
  </si>
  <si>
    <t>3.3.2</t>
  </si>
  <si>
    <t>3.3.3</t>
  </si>
  <si>
    <t>3.3.4</t>
  </si>
  <si>
    <t>3.4.3</t>
  </si>
  <si>
    <t>3.4.4</t>
  </si>
  <si>
    <t>PARENT_COAEE</t>
  </si>
  <si>
    <t>24.¿Cómo es el acceso del material reciclable?</t>
  </si>
  <si>
    <t>25.¿Existen esquemas formales de recolección diferenciada de residuos reciclables en el municipio que involucran a recicladores de base?</t>
  </si>
  <si>
    <t>26.¿Los recicladores tienen acceso a instalaciones para el almacenamiento y la clasificación de materiales?</t>
  </si>
  <si>
    <t>27.¿Cuál es el nivel de desarrollo técnico alcanzado en la clasificación (o pre-procesamiento) de materiales reciclables por parte de agrupaciones de recicladores?</t>
  </si>
  <si>
    <t>28.¿Cuál es la diferencia de valor del material en los diferentes eslabones de la cadena del reciclaje?</t>
  </si>
  <si>
    <t>29.¿Cuál es el nivel de desarrollo de la industria transformadora a nivel nacional?</t>
  </si>
  <si>
    <t>30.¿Se permite la contratación con agrupaciones de recicladores de base en el sistema de gestión de residuos del municipio?</t>
  </si>
  <si>
    <t>31.¿Existen mecanismos de pago periódico fijo para los recicladores de base por servicios prestados?</t>
  </si>
  <si>
    <t>32.¿Existen programas de diversificación de los servicios prestados por recicladores?</t>
  </si>
  <si>
    <t>34.¿Existe trabajo infantil en la cadena de manejo de residuos?</t>
  </si>
  <si>
    <t>35.¿Cuál es el nivel de enfoque de género en las condiciones de trabajo?</t>
  </si>
  <si>
    <t>36.¿Hay planes inclusivos de cierre de vertederos a cielo abierto?</t>
  </si>
  <si>
    <t>37.¿Los recicladores tienen acceso a herramientas de trabajo adecuadas?</t>
  </si>
  <si>
    <t>NORM1.1.3</t>
  </si>
  <si>
    <t>NORM1.1.4</t>
  </si>
  <si>
    <t>NORM1.2.4</t>
  </si>
  <si>
    <t>NORM1.2.5</t>
  </si>
  <si>
    <t>NORM1.2.6</t>
  </si>
  <si>
    <t>NORM1.2.7</t>
  </si>
  <si>
    <t>NORM1.2.8</t>
  </si>
  <si>
    <t>NORM1.3.2</t>
  </si>
  <si>
    <t>ORG2.1.2</t>
  </si>
  <si>
    <t>ORG2.1.3</t>
  </si>
  <si>
    <t>ORG2.1.4</t>
  </si>
  <si>
    <t>ORG2.1.5</t>
  </si>
  <si>
    <t>ORG2.2.2</t>
  </si>
  <si>
    <t>ORG2.2.3</t>
  </si>
  <si>
    <t>MERC3.1.3</t>
  </si>
  <si>
    <t>MERC3.1.4</t>
  </si>
  <si>
    <t>MERC3.2.2</t>
  </si>
  <si>
    <t>MERC3.3.2</t>
  </si>
  <si>
    <t>MERC3.3.3</t>
  </si>
  <si>
    <t>MERC3.3.4</t>
  </si>
  <si>
    <t>MERC3.4.3</t>
  </si>
  <si>
    <t>MERC3.4.4</t>
  </si>
  <si>
    <t>INDICADORES</t>
  </si>
  <si>
    <t>SUB-INDICADORES</t>
  </si>
  <si>
    <t>Ciudad de México</t>
  </si>
  <si>
    <t xml:space="preserve"> México</t>
  </si>
  <si>
    <t>Switch_data</t>
  </si>
  <si>
    <t>El nivel de graduación será aplicado a todas las hojas.</t>
  </si>
  <si>
    <t>Select indictors to display in the 3d plot</t>
  </si>
  <si>
    <t>Tune the 3D plot display</t>
  </si>
  <si>
    <t>BOX_44</t>
  </si>
  <si>
    <t>SCORE JUSTIFICATIONS</t>
  </si>
  <si>
    <t>ADDITIONAL INFO</t>
  </si>
  <si>
    <t>DATA &amp; SCORES</t>
  </si>
  <si>
    <t>DATOS &amp; PUNTAJE</t>
  </si>
  <si>
    <t>SUB_MENU_4_3</t>
  </si>
  <si>
    <t>SELECCIONE DATOS O PUNTAJE</t>
  </si>
  <si>
    <t>CATEGORÍA</t>
  </si>
  <si>
    <t>1. Map,3DPlot,</t>
  </si>
  <si>
    <t>iplot</t>
  </si>
  <si>
    <t>iSeries</t>
  </si>
  <si>
    <t>iScatter3d</t>
  </si>
  <si>
    <t>Scatter3d</t>
  </si>
  <si>
    <t>CProfile</t>
  </si>
  <si>
    <t>iCCompare</t>
  </si>
  <si>
    <t>iCity_Description</t>
  </si>
  <si>
    <t>iCityAddNotes</t>
  </si>
  <si>
    <t>lang</t>
  </si>
  <si>
    <t>Results</t>
  </si>
  <si>
    <t>References</t>
  </si>
  <si>
    <t>Definition</t>
  </si>
  <si>
    <t>Year</t>
  </si>
  <si>
    <t>ResultsAdd</t>
  </si>
  <si>
    <t>Notes</t>
  </si>
  <si>
    <t>70% (Recomendado para 800 pantallas de ancho)</t>
  </si>
  <si>
    <t>100% (Recomendado para 1024 pantallas de ancho)</t>
  </si>
  <si>
    <t>FILTRO</t>
  </si>
  <si>
    <t>INDICADORES CUALITATIVOS</t>
  </si>
  <si>
    <t>INDICADORES CUANTITATIVOS</t>
  </si>
  <si>
    <t>Save weighting profile</t>
  </si>
  <si>
    <t>Select preset bank to save in (existing weights will be overwritten)</t>
  </si>
  <si>
    <t>No City Highlighted</t>
  </si>
  <si>
    <t>Selected city</t>
  </si>
  <si>
    <t>Reset All</t>
  </si>
  <si>
    <t>To-scale axes</t>
  </si>
  <si>
    <t>Show city labels</t>
  </si>
  <si>
    <t>Z drop lines</t>
  </si>
  <si>
    <t>Seleccione los indicadores para mostrar en el gráfico 3D</t>
  </si>
  <si>
    <t>Ajuste la visualización del gráfico 3D</t>
  </si>
  <si>
    <t>Rotar alrededor del eje X</t>
  </si>
  <si>
    <t>Rotar alrededor del eje Y</t>
  </si>
  <si>
    <t>Rotar alrededor del eje Z</t>
  </si>
  <si>
    <t>Plano de corte YZ</t>
  </si>
  <si>
    <t>Plano de corte XZ</t>
  </si>
  <si>
    <t>Plano de corte XY</t>
  </si>
  <si>
    <t>Guardar pesos actuales</t>
  </si>
  <si>
    <t>Seleccione en espacio donde guardar los pesos (los pesos actuales serán sobrescritos)</t>
  </si>
  <si>
    <t>Peso %</t>
  </si>
  <si>
    <t>No resaltar ninguna ciudad</t>
  </si>
  <si>
    <t>Ciudad seleccionada</t>
  </si>
  <si>
    <t>Restablecer todo</t>
  </si>
  <si>
    <t>Ejes a escala</t>
  </si>
  <si>
    <t>Mostrar etiquetas de ciudades</t>
  </si>
  <si>
    <t>Líneas al eje Z</t>
  </si>
  <si>
    <t>Lookup</t>
  </si>
  <si>
    <t>DISPLAY MODE</t>
  </si>
  <si>
    <t>BOX_45</t>
  </si>
  <si>
    <t>BOX_46</t>
  </si>
  <si>
    <t>BOX_47</t>
  </si>
  <si>
    <t>BOX_48</t>
  </si>
  <si>
    <t>BOX_49</t>
  </si>
  <si>
    <t>BOX_50</t>
  </si>
  <si>
    <t>BOX_51</t>
  </si>
  <si>
    <t>BOX_52</t>
  </si>
  <si>
    <t>BOX_53</t>
  </si>
  <si>
    <t>BOX_54</t>
  </si>
  <si>
    <t>BOX_55</t>
  </si>
  <si>
    <t>(For the legend)</t>
  </si>
  <si>
    <t xml:space="preserve">Area of circle is proportional to the data value </t>
  </si>
  <si>
    <t xml:space="preserve">Colour of circle represents the quartile </t>
  </si>
  <si>
    <t>(for the dropdown select)</t>
  </si>
  <si>
    <t>Para la leyenda</t>
  </si>
  <si>
    <t>Area del círculo es proporcional al valor de la data</t>
  </si>
  <si>
    <t>Color del círculo representa el cuartil</t>
  </si>
  <si>
    <t>(Para la selección desplegable)</t>
  </si>
  <si>
    <t>Círculos; area=valor</t>
  </si>
  <si>
    <t>Círculos; color=grupo</t>
  </si>
  <si>
    <t>Círculos; area=valor, color=grupo</t>
  </si>
  <si>
    <t>Ver Todo</t>
  </si>
  <si>
    <t>Extra#1</t>
  </si>
  <si>
    <t>Extra#10</t>
  </si>
  <si>
    <t>Spare#1</t>
  </si>
  <si>
    <t>Spare#10</t>
  </si>
  <si>
    <t>Ranking de 12 ciudades, 100=mejor; '=' significa un empate entre dos o más ciudades</t>
  </si>
  <si>
    <t>Eaxtra Cities</t>
  </si>
  <si>
    <t>ADDTIONAL_CITIES</t>
  </si>
  <si>
    <t>Right_hand_Column in Data Tab</t>
  </si>
  <si>
    <t>V</t>
  </si>
  <si>
    <t>W</t>
  </si>
  <si>
    <t>AA</t>
  </si>
  <si>
    <t>AB</t>
  </si>
  <si>
    <t>AC</t>
  </si>
  <si>
    <t>AD</t>
  </si>
  <si>
    <t>AE</t>
  </si>
  <si>
    <t>U</t>
  </si>
  <si>
    <t>N</t>
  </si>
  <si>
    <t>O</t>
  </si>
  <si>
    <t>P</t>
  </si>
  <si>
    <t>Q</t>
  </si>
  <si>
    <t>R</t>
  </si>
  <si>
    <t>S</t>
  </si>
  <si>
    <t>T</t>
  </si>
  <si>
    <t>City 1 above 10</t>
  </si>
  <si>
    <t>Is_SET</t>
  </si>
  <si>
    <t>ADD CITIES</t>
  </si>
  <si>
    <t>AÑADIR CIUDADES</t>
  </si>
  <si>
    <t>SUB_MENU_4_4</t>
  </si>
  <si>
    <t>Introduzca el número de ciudades que se incluirán en el modelo (contado desde la izquierda). El número máximo es 10.</t>
  </si>
  <si>
    <t>Ciudad_02</t>
  </si>
  <si>
    <t>Ciudad_03</t>
  </si>
  <si>
    <t>Ciudad_04</t>
  </si>
  <si>
    <t>Ciudad_05</t>
  </si>
  <si>
    <t>Ciudad_06</t>
  </si>
  <si>
    <t>Ciudad_07</t>
  </si>
  <si>
    <t>Ciudad_08</t>
  </si>
  <si>
    <t>Ciudad_09</t>
  </si>
  <si>
    <t>Ciudad_10</t>
  </si>
  <si>
    <t>DataDisplay,Weights,UserDataIn,</t>
  </si>
  <si>
    <t>Definición</t>
  </si>
  <si>
    <t>Fuentes</t>
  </si>
  <si>
    <t>Asunción, Paraguay</t>
  </si>
  <si>
    <t>Municipalidad de Asunción. 2016. Plan Regulador, Dirección General de Desarrollo Urbano [http://sig.mca.gov.py/] Programa de las Naciones Unidas para el Medio Ambiente, Secretaría del Ambiente y Municipalidad de Asunción (Paraguay). 2008. "Perspectivas del Medio Ambiente Urbano. GEO Asunción". Programa de las Naciones Unidas para el Medio Ambiente</t>
  </si>
  <si>
    <t>Bogotá, Colombia</t>
  </si>
  <si>
    <t>Alcaldía Mayor de Bogotá. 7 de octubre de 2015. Ubicación de la ciudad: http://www.bogota.gov.co/ciudad/ubicación
DANE: Departamento Administrativo Nacional de Estadística. Demografía y Población - Proyecciones de Población:https://www.dane.gov.co/index.php/estadisticas-por-tema/demografia-y-poblacion/proyecciones-de-poblacion</t>
  </si>
  <si>
    <t>Ciudad de Belice, Belice</t>
  </si>
  <si>
    <t>Belize City Council Act-Chapter 85 http://www.belizelaw.org/web/lawadmin/index2.html
Belize City Council , About Belize City http://www.belizecitycouncil.org/about-belize-city</t>
  </si>
  <si>
    <t xml:space="preserve">Ciudad de Buenos Aires (CABA), Argentina </t>
  </si>
  <si>
    <t>Gobierno de la Ciudad de Buenos Aires. Información sobre el Gobierno de la Ciudad de Buenos Aires  http://www.buenosaires.gob.ar/gobiernodelaciudad;
Constitución de la Nación Argentina. Enero 3 de 1995 http://servicios.infoleg.gob.ar/infolegInternet/anexos/0-4999/804/norma.htm</t>
  </si>
  <si>
    <r>
      <t>Ciudad de México, Méxic</t>
    </r>
    <r>
      <rPr>
        <b/>
        <sz val="13"/>
        <color rgb="FF4F81BD"/>
        <rFont val="Cambria"/>
        <family val="1"/>
      </rPr>
      <t xml:space="preserve">o </t>
    </r>
  </si>
  <si>
    <t>Ciudad de México http://www.cdmx.gob.mx/ciudad/
Estatuto de Gobierno del Distrito Federal.  26 de julio de 1994http://www.diputados.gob.mx/LeyesBiblio/pdf/10_270614.pdf
Secretaría de Gobernación. Constituciones Particulares de los Estados y Estatuto del Distrito Federal http://www.ordenjuridico.gob.mx/constitucionEdo.php
Presidencia de la República.  2016. Promulgación de la Reforma Política de la Ciudad de México http://www.gob.mx/presidencia/articulos/promulgacion-de-la-reforma-politica-de-la-ciudad-de-mexico-19350</t>
  </si>
  <si>
    <t>Lima, Perú</t>
  </si>
  <si>
    <t>La municipalidad metropolitana de Lima está situada en la costa central peruana, sobre el Océano Pacífico. Tiene una extensión de 2,664km2, compuesta por sus 43 distritos, distribuidos en 4 zonas: Lima Norte, Lima Centro, Lima Sur y Lima Este.</t>
  </si>
  <si>
    <t>Municipalidad Metropolitana de Lima. 2014 PIGARS de la provincia de Lima 2015 - 2025:http://censos.inei.gob.pe/censos2007/documentos/Resultado_CPV2007.pdf</t>
  </si>
  <si>
    <t>Montevideo, Uruguay</t>
  </si>
  <si>
    <t>Dirección Nacional de Impresiones y Publicaciones Oficiales. 2009.  Ley N° 18567 Descentralización en Materia Departamental, Local y de Participación Ciudadana https://www.impo.com.uy/bases/leyes/18567-2009
Intendencia de Montevideo. Noviembre 2013. Informe Censos 2011: Montevideo y Área Metropolitana: http://www.montevideo.gub.uy/sites/default/files/informe_censos_2011_mdeo_y_area_metro.pdf</t>
  </si>
  <si>
    <t xml:space="preserve">Quito, Ecuador </t>
  </si>
  <si>
    <t>Municipio del Distrito Metropolitano de Quito http://www.quito.gob.ec</t>
  </si>
  <si>
    <t xml:space="preserve">San José, Costa Rica </t>
  </si>
  <si>
    <t>El Cantón de San José tiene una superficie de 44.62 km2 y está compuesta por 11 distritos urbanos. Junto a otros 30 cantones constituyen el Gran Área Metropolitana (GAM).</t>
  </si>
  <si>
    <t>San Pablo, Brasil</t>
  </si>
  <si>
    <t xml:space="preserve">Santa Cruz, Bolivia </t>
  </si>
  <si>
    <t xml:space="preserve">Santiago de Chile, Chile </t>
  </si>
  <si>
    <t>La Comuna de Santiago, es el municipio capital de la Provincia de Santiago, que además está formada por otros 31 municipios. La Provincia de Santiago es una de las 6 provincias que componen la Región Metropolitana.</t>
  </si>
  <si>
    <t>Anónimo. Empresa Municipal de Aseo Urbano de Santa Cruz de la Sierra (EMACRUZ)</t>
  </si>
  <si>
    <t>Secretaría del Ambiente y The Louis Berger Group (2014). Plan Maestro de Gestión Integral de Residuos Sólidos Urbanos para el Área Metropolitana de Asunción, y Acciones Complementarias. Asuncion: SEAM.</t>
  </si>
  <si>
    <t xml:space="preserve">Anónimo.Secretaría Municipal de Medio Ambiente de Santa Cruz de la Sierra. </t>
  </si>
  <si>
    <t xml:space="preserve">Contraloría General de la República. 2009. Resolución CGR Nº 1291/09 “LA CUAL SE DISPONE LA REALIZACIÓN DE UN EXAMEN ESPECIAL A LA MUNICIPALIDAD DE ASUNCIÓN Y A LA SECRETARIA DEL AMBIENTE (SEAM), EN CUANTO AL MANEJO DE LOS RESIDUOS SÓLIDOS EN EL MUNICIPIO DE ASUNCIÓN”. CGR.
Secretaría del Ambiente y The Louis Berger Group (2014). Plan Maestro de Gestión Integral de Residuos Sólidos Urbanos para el Área Metropolitana de Asunción, y Acciones Complementarias. Asuncion: SEAM. </t>
  </si>
  <si>
    <t>[1] BSWAMA/UNEP: www.belize.acp-cd4cdm.org</t>
  </si>
  <si>
    <t>Número de asociaciones principales (2 legalizadas, 1 sin legalizar)
Número de asociaciones totales (no legalizadas y vinculadas a las anteriores)</t>
  </si>
  <si>
    <t>Toneladas diarias</t>
  </si>
  <si>
    <t xml:space="preserve">0 (formalizadas);  </t>
  </si>
  <si>
    <t>3
47</t>
  </si>
  <si>
    <t>La fuente aquí parece ser diferente de la fuente del censo del 2014 que se incluye en la pestaña del texto?</t>
  </si>
  <si>
    <t>Hay fuente documental? La ARB se considera a sí misma como gremio que tiene injerencia.  No sé si no participan en la formulación del Plan?</t>
  </si>
  <si>
    <t xml:space="preserve"> Hace falta el dato para BsAs del P2. Número de asociaciones de recicladores de base de carácter político.</t>
  </si>
  <si>
    <t xml:space="preserve">Cuál es la fuente documental? Es importante separar el que una asociación, como servicio a sus asociados, compre y venda material reciclable, de una organización empresarial sostenible. </t>
  </si>
  <si>
    <t>Pero sí se debe tener el número de recicladores que acceden a la tarifa y se puede saber a qué asociación están afiliados y por ahí se puede hacer un estimado.  La ARB debe tener estas cifras. Creo que en la ARB, que es organización de segundo piso están como 17 asociaciones.  Si la UAESP no puede pagar a recicladores que no están en una organización, cómo no saben cuántas organizaciones hay?</t>
  </si>
  <si>
    <t>Ojo el listado que cuantifica a 98 se denomina "Listado de empresas registradas de servicio de residuos no domiciliarios". Estos pueden o no ser recicladores e incluso se inlcuyen empresas que manejan residuos líquidos (como aceites de acuerdo al pie de página). Tener cuidado con este dato, parece demasiado alto</t>
  </si>
  <si>
    <t>De acuerdo al Plan Maestro de Gestión Integral de Residuos Sólidos Urbanos para el Área Metropolitana de Asunción, y Acciones Complementarias, Asuncion produce 819.55 toneladas diarias de residuos solidos.</t>
  </si>
  <si>
    <t>Interesante indicar de estos residuos qué porcentaje se recoge para reciclaje. Es el 100% del saldo de P10 abajo?</t>
  </si>
  <si>
    <t xml:space="preserve">Me parece mucho decir que el 100% de la ciudad tiene recolección diferenciada. NO tengo datos mejores que este, pero no creo que toda la ciudad esté contenerizada, o que tenga servicio de alguna cooperaitva.
</t>
  </si>
  <si>
    <t>Debería haber algun estimativo de la cobertura de recolección diferenciada dada la existencia del sistema de recolección diferenciada municipal y de la información de la pestaña "Texto": 
"La municipalidad implementa un sistema de recolección diferenciada de residuos reciclables siendo directamente la responsable de la recolección y transporte de los residuos reciclables –papel, cartón, plásticos, metales, vidrio y tetrapack- previamente separados por las organizaciones locales o usuarios particulares y organizado en 11 rutas, una para cada distrito del cantón. 
Los residuos reciclables recolectados van al Centro de Recuperación de Materiales Valorizables, ubicado en el Distrito de Hatillo, para su pesaje, selección, embalaje, almacenamiento y venta. Cuenta con un terreno de 2.000 m2 y 500m2 construídos. Cuenta con un equipo humano de 27 personas que trabajan en el centro y en labores de recolección en terreno. "</t>
  </si>
  <si>
    <t xml:space="preserve">esta información debería existir…          </t>
  </si>
  <si>
    <t>La JICA elaboró un documento presentado en el año 1994, denominado “ESTUDIO SOBRE EL
MANEJO DE RESIDUOS SÓLIDOS EN EL ÁREA METROPOLITANA DE ASUNCIÓN” que
recomendaba la operación del vertedero Cateura como relleno sanitario nivel 1 hasta el año
1999 y a partir del 2000, clausurar el mismo para trasladar el sitio a un relleno
intermunicipal en Chaco.
El Plan Maestro de Gestión Integral de Residuos Sólidos Urbanos para el Área Metropolitana de Asunción propone que Cateura opere hasta el 2020 y que se transforme parte del area que ocupa actualmente en una Estación de Transferencia combinada con Planta de
Separación y Clasificación (ET/PS), a fin de transferir todos los residuos solidos urbanos generados en Asunción al Relleno Sanitario
de El Farol o aquel que se implemente por parte del concesionario actual (EMPO)</t>
  </si>
  <si>
    <t>Por que no aplica? Hay un relleno, debería haber un estimado de vida útil.</t>
  </si>
  <si>
    <t>es raro que este dato exista y no el de % de residuos que se disponen en rellenos…</t>
  </si>
  <si>
    <t>hay que tener cuidado en todas las ciudades con los datos suministrados para los porcentajes de las preguntas P9, P12, P13, P14, P15) En este caso la sumatoria no es igual a 100%, entonces los porcentajes no deben estar asociados al total de residuos sólidos municipales... revisar esta cifra y de ser posible levantarla de nuevo</t>
  </si>
  <si>
    <t>Si en la línea 10, el 85% va al relleno sanitario, indicaría éste porcentaje en esta línea que parte de lo separado y clasificado como reciclaje también termina en el relleno?</t>
  </si>
  <si>
    <t>2% de los generados? Se entiende que no porque la suma de los porcentajes es mayor a 100%. Con respecto a que se calcula este 2%?</t>
  </si>
  <si>
    <t>Esta respuesta tiene que ver con que no se sabe en la línea 13 cuánto residuo orgánico hay y su disposición?. Entiendo que para recursos energféticos sólo se puede usar residuo orgánico?</t>
  </si>
  <si>
    <t>"aprovechados quiere decir reciclados, es decir separados, clasificados, vendidos a bodegas u otros centros de acopio, vendidos luego por éstos a la industria y reutiilzados o reciclados por la industria como insumo en el proceso de fabricación de un producto final?</t>
  </si>
  <si>
    <t>10% del total generado? De ser así el 100% no es la sumatoria de los datos presentados, es 110%</t>
  </si>
  <si>
    <t>SUB_MENU_3_6</t>
  </si>
  <si>
    <t>SUB_MENU_3_7</t>
  </si>
  <si>
    <t>RESUMEN CIUDAD</t>
  </si>
  <si>
    <t>DEFINICIONES</t>
  </si>
  <si>
    <t>Definición;</t>
  </si>
  <si>
    <t>Fuentes:</t>
  </si>
  <si>
    <t>t</t>
  </si>
  <si>
    <t>Puntaje</t>
  </si>
  <si>
    <t>Promedio para 12 ciudades solamente:</t>
  </si>
  <si>
    <t>Aerage 12 only</t>
  </si>
  <si>
    <t>Definiciones,Resumen_Ciudad,CDescription,C_Additional_Desc,</t>
  </si>
  <si>
    <t>iCity_Definitions</t>
  </si>
  <si>
    <t>Lugar</t>
  </si>
  <si>
    <t>MODO DE VISUALIZACION</t>
  </si>
  <si>
    <t>Summary,CCompare,</t>
  </si>
  <si>
    <t>On Exit</t>
  </si>
  <si>
    <t>La Política Nacional de Residuos Sólidos vigente fue expedida por el Ministerio de Ambiente en el año 1998 [1]. En dicha política se establece como una de las estrategias "mejorar las condiciones de trabajo del recuperador" y estableció acciones para que los municipios y otras autoridades llevaran a cabo al respecto. Posteriormente a esta política, el Departamento Nacional de Planeación emitió el documento del Consejo Nacional de Política Económica y Social (CONPES) 3530 "Lineamientos y estrategias para fortalecer el servicio público de aseo en el marco de la gestión integral de residuos sólidos" el cual establece la participación de los "recicladores organizados" en mesas de trabajo que serían llevadas a cabo en municipios de más de 1 millón de habitantes con el objetivo de definir un esquema de aprovechamiento y reciclaje organizado, sin embargo no establece otras opciones para avanzar en el reciclaje inclusivo [2] . Este documento se encuentra en proceso de actualización y se cuenta con una versión preliminar para participación ciudadana denominada "Política Nacional para la Gestión Integral de Residuos Sólidos", la cual a diferencia del anterior CONPES, establece como prioridad la incorporación de los recicladores de oficio como prestadores del servicio público de aseo y la importancia de la separación en la fuente para mejorar las condiciones de trabajo los recicladores [3] [4]. 
Por otra parte, si bien no se encuentra incorporado en el marco legal nacional de la gestión de residuos sólidos, la Presidencia de la República expidió el Decreto 596 de 2016 "Por el cual se modifica y adiciona el Decreto 1077 de 2015 en lo relativo con el esquema de la actividad de aprovechamiento del servicio público de aseo y el régimen transitorio para la formalización de los recicladores de oficio, y se dictan otras disposiciones" en el cual se define el esquema operativo de la actividad de aprovechamiento y la transitoriedad para el cumplimiento de las obligaciones que deben atender los recicladores de oficio y las organizaciones de recicladores de oficio para formalizarse como prestadores de la actividad de aprovechamiento en el servicio público de aseo y el esquema de remuneración a través de este servicio [5]. Debido a que el esquema es reciente su aplicación aún es prematura.
No obstante lo anterior, es necesario que se articule la regulación económica del servicio público de aseo con la normativa en relación de la formalización de los recicladores, pues la normativa favorece la disposición final de residuos en los rellenos sanitarios, en vez de la recuperación para su reciclaje [6]. Lo anterior debido a que el régimen regulatorio del servicio público de aseo contenido en la Resolución CRA 720 de 2015 remunera el aprovechamiento como la suma del costo de disposición final y la recolección y transporte [7], pese a que la recolección, separación y clasificación de materiales reciclables es más costosa  que el enterramiento en relleno sanitario y la recolección compactada [8].</t>
  </si>
  <si>
    <t>En el marco de la Ley General de Residuos Sólidos, Ley 27314 [1], el Congreso de la Repúblico emitió en el año 2009 la Ley 29419 "Ley que regula la actividad de los recicladores"[2]. Esta Ley tiene por objeto:
 "establecer el marco normativo para la regulación de las actividades de los trabajadores del reciclaje, orientada a la capacitación, a la protección y promoción de desarrollo social y laboral; promoviendo su formalización, asociación y contribuyendo a la mejora en el manejo de los residuos sólidos en el país"
Su reglamentación se da en el Decreto Supremo número 005 de 2010, emitido por el Ministerio de Ambiente. 
La Ley ha incentivado a las municipalidades para que establezcan programas que propendan por el mejoramiento de la calidad de vida de los recicladores de oficio y su inclusión en el servicio de recolección de residuos [3]. Sin embargo, la Ley no se ha implementado en todo el país y algunos artículos requieren mejora, ya que por una parte no se ha dado claridad a los distintos actores sobre su papel para avanzar en el reciclaje inclusivo y por otra parte las acciones propuestas no garantizan la inclusión de los recicladores [4][5][6].
Por otra parte, Perú cuenta con un programa para la modernización de los municipios denominado "Programa de Incentivos a la Mejora de la Gestión Municipal ", este programa fue implementado mediante la Ley 29332 del año 2009 [7] . Allí, se establecen metas a cumplir por parte de los municipios y aquél que las cumpla tiene derecho a unos recursos otorgados por el Fondo de Compensación Municipal [7], una de las metas está relacionada con la implementación de rutas de recolección selectiva con inclusión de recicladores [6][7]. Sin embargo, conviene señalar que los municipios tienen mayor motivación a realizar la recolección de materiales reciclables a través de organizaciones de recicladores debido a que es menos costoso que con una empresa [6].</t>
  </si>
  <si>
    <t>Existe un marco legal nacional inclusivo que se ha implementado parcialmente. En la ley 17.849 de Uso de Envases no Retornables no se menciona a los recicladores, aunque marca las líneas que posteriormente el Decreto 260 establece. En este decreto sí se mencionan a los recicladores, tanto en el preámbulo, como en el punto c del artículo 4 , que indica: "Contribuir a la inclusión social de los clasificadores, a través de la formalización del trabajo en los sistemas de recolección, clasificación y/o valorización de envases, contemplando la realidad social de cada área geográfica" [1] [2].
Esta legislación se ha puesto en práctica en Montevideo pues existen 4 plantas de selección de envases ligadas a esta legislación nacional en la que trabajan 4 grupos de recicladores de base que totalizan 128 personas. [3]
En estos momentos, octubre 2016, Uruguay está debatiendo la creación de una ley nacional para la gestión de residuos en la que hay un apartado (en los borradores) en el que se trata la inclusión social de los recicladores de base. [4]</t>
  </si>
  <si>
    <t>Existe un marco legal nacional para el reciclaje inclusivo que se ha implementado. La Ley 12.305 de 2010 contiene la  Politica Nacional de Resíduos Solidos  de Brasil. De acuerdo con el numeral XII del artículo primero ibídem, uno de sus principios es la integración de los recicladores a través de acciones que incluyan la responsabilidad compartida en el ciclo de vida de los productos. Por otra parte, en el literal IV del artículo octavo, la norma señala que uno de sus instrumentos de política es incentivar la creación de cooperativas u otras formas de asociación de recicladores para su desarrollo [1]. La norma fortalece la recolección selectiva con la participación de los recicladores organizados y les otorga a los municipios posibilidades y recursos para que en sus Planes de Gestión Integral de Residuos Sólidos (PGIRS) lo desarrollen[4].  
Como resultado de la Ley, las organizaciones de recicladores en Brasil han recibido fondos no reembolsables  otorgados por los Ministerios, el Banco de Desarrollo Social y Económico de Brasil (BNDES, por sus siglas en portugués), Petrobrás y la Fundación Banco do Brasil.  Estos recursos se han utilizado para el desarrollo de proyectos tales como plantas de separación, la compra de equipo, capacitación, elaboración de los planes de negocios y de logísticas -, mejoras en las condiciones sanitarias y laborales en las plantas de separación y el fortalecimiento de las relaciones comerciales entre las organizaciones, y formación de las redes de cooperativas. Adicionalmente, las municipalidades han colaborado aportando áreas públicas para el establecimiento de plantas de separación, proveyendo camiones para la recolección o pagando los servicios de acueducto o electricidad en dichas plantas[4].  
De otra parte, mediante el Decreto 7.405 de 2010 se establece el programa "Pro-Catador", que tiene por objetivo integrar y articular las acciones del Gobierno Federal para fomentar la organización productiva de los recicladores para la mejora de sus condiciones de trabajo y creación de oportunidades para la inclusión social y económica y la expansión de la recolección selectiva [2]. A partir de este programa, se instalaron en Sao Paulo 2 centrales mecanizadas de separación de residuos potencialmente reciclables, se realizaron inversiones de 14.534 millones de dólares para la construcción de centros de acopio, adquisición de maquinaria y apoyo técnico y gerencial[5]. 
El desarrollo normativo se observa también a nivel estatal, específicamente en el Estado de San Pablo, a través la Ley 12.300 de 2006, en la cual se define la Política Estatal de Residuos Sólidos del Estado. Esta norma define dentro de sus principios tanto la promoción de la inclusión social de los recicladores en los servicios de recolección selectiva (literal IV de artículo 2), como la creación de cooperativas y asociaciones de recicladores de materiales reciclables. Así mismo, en el artículo 20, numeral noveno, señala que el Estado dará apoyo a los diagnóstico de las acciones sociales, como el aval de la presencia de recicladores en las calles, así como sus alternativas de inclusión social [3]. La aplicación de la norma se ve reflejada en el hecho que el 63% de las municipalidades que cuentan con recolección selectiva pertenecientes al Estado de San Pablo cuentan con recolección selectiva [4].
Muy importante indicar sobre los Acordos Setoriais - lo de embaces se firmó en octubre de 2015 y viene trayendo avances importantes en la relación de las cooperativas con las industrias.</t>
  </si>
  <si>
    <t xml:space="preserve">El marco legal municipal se establece en el Plan de Gestión de Residuos Sólidos (PGIRS), el cual de acuerdo con lo establecido en la Resolución 754 de 2014 [1] cuenta como mínimo con un programa de aprovechamiento y un programa para la inclusión de los recicladores. Sobre éste último exige la elaboración de un censo de recicladores que permita conocer el estado actual de la población recicladora de oficio y consigo determinar las acciones afirmativas que se deberán emprender desde el ente territorial para su fortalecimiento y la superación de las condiciones de vulnerabilidad social en la que se encuentren [1] [2]. 
La versión anterior del PGIRS de Bogotá se actualizó con el ánimo de articularlo con las directrices nacionales, que han surgido recientemente, relativas a la inclusión de la población recicladora en el servicio público de aseo [3]. Esta actualización, incluye en el programa para la inclusión de recicladores  (i) un proyecto de capacitación y asesoría técnica que tiene por objetivo el aumento en la competitividad de las organizaciones de recicladores (ii) un proyecto de apoyo a la formalización y superación de la condición de vulnerabilidad, para lo que plantea contar con un sistema de seguimiento de las condiciones de vulnerabilidad y el establecimiento de criterios para la transición en la utilización de vehículos de tracción humana[4] . Actualmente, el desarrollo de los proyectos se le informa a la Procuraduría y existen espacios de diálogo con Ministerio de Vivienda, Ciudad y Territorio para verificar cómo la ciudad ha ido avanzando en la inclusión d ellos recicladores [3].
Cabe señalar, que la Corte Constitucional mediante el Auto 275 de 2011  ordena al Distrito  la inclusión de los recicladores en el servicio público de aseo y a la Comisión de Regulación de Agua Potable y Saneamiento (CRA) la definición de las tarifas para el pago por el aprovechamiento de residuos. Por lo cual mediante Decreto Distrital 564 de 2012 se definió el esquema de aseo en el cual se incluye a los recicladores y se define una remuneración por cada tonelada gestionada. Este pago se está efectuando a través de la Unidad Administrativa Especial de Servicios Públicos (UAESP).
Sin embargo, otras políticas distritales establecen limitantes para la formalización de recicladores y su inclusión como prestadores del servicio público de aseo, especialmente las normas urbanísticas arquitectónicas relacionadas con la regularización de centros de acopio (Decreto 476 de 2010, Decreto 113 de 2013 y el Decreto 599 de 2015), ya que implican salidas de recursos que las asociaciones no poseen [5]. 
</t>
  </si>
  <si>
    <t>No existe un marco legal departamental de reciclaje inclusivo. La División Limpieza de la Intendencia de Montevideo (IM) tiene como principal cometido la gestión de los residuos sólidos del departamento de Montevideo, abordando de forma integral aspectos como la planificación, diseño y ejecución de medidas para mejorar la calidad ambiental de la ciudad. Dicha concepción se ha materializado en el Plan Director de Limpieza.[1] En este Plan Director se trata la inclusión social de los recicladores en el marco de la ley de uso de envases no retornables (pero dicha ley es nacional, no municipal), pues trata de "la mejora de las condiciones de trabajo de los grupos organizados de clasificadores" y que se debe contribuir a la inclusión social de los clasificadores (páginas 49 a 51). [2]
Sin embargo, existe una normativa departamental para regular la gestión, y  en ella el reciclaje, de los residuos urbanos no domiciliarios. Por ella los grandes productores deben contratar a una empresa para que les gestione sus residuos. Esta empresa puede ser la propia Intendencia de Montevideo (en este caso debe separar los residuos en dos fracciones, básicamente seca y húmeda) o empresas privadas que pueden ser, y de hecho las hay, formadas por recicladores informales formalizados a las que la Intendencia en determinadas acciones las apoya. [3] [4]</t>
  </si>
  <si>
    <t>La Ley 12.305 de 2010 en el inciso II del artículo 18 señala que los Planes Municipales de Gestión de Residuos Sólidos (PGIRS) deben contener la implementación de recolección selectiva con la participación de cooperativas u otra forma de asociación de recicladores, las cuales a su vez deben estar formadas por personas de bajos ingresos, de otra parte señala que se le dará prioridad a los presupuestos de los municipios que incluyan organizaciones de recicladores [1].
Dentro de las directrices del PGIRS se encuentran: (i) ampliación y fortalecimiento de la estructura organizacional incluyendo aspectos relacionados con la salud y seguridad en el trabajo; (ii) inclusión e integración socioeconómica de los recicladores, que no se encuentran organizados y están en situación de vulnerabilidad; (ii) estructuración de un "Fondo de recolección selectiva" para el apoyo de los recicladores y (iii) promover la contratación de las organizaciones de recicladores, para la remuneración de los servicios de recolección, separación y educación ambiental [2].
Conviene señalar, que si bien en San Pablo la norma se articula con las directrices de nivel nacional, no hay un mecanismo sencillo para la integración desde el nivel nacional al nivel municipal. A pesar de que la ley nacional lo establece, no hay fiscalización alguna sobre cómo se incluyen los recicladores en su política municipal, ya que no hay vigilancia sobre la manera como manejan e implementan sus planes. No obstante lo anterior, si los municipios no incluyen a los recicladores, el ente nacional hace una negociación con el ente local para que las municipalidades los incluyan [3]. 
Pese a la carencia de fiscalización, en la municipalidad de Sao Paulo se observan diversos apoyos por parte de la perfeitura en Rio Pequeño se cuenta con una central manual de separación en la cual se procesan 110 toneladas mensuales de residuos reciclables, los cuales provienen de 40 distritos en los que se lleva a cabo recolección selectiva por parte de cooperativas de recicladores [4], además se han firmado contratos con distintas cooperativas para llevar a cabo la recolección selectiva con remuneración [4][5][6]</t>
  </si>
  <si>
    <t xml:space="preserve">Ha entrado en vigor recientemente, en junio de 2016, la LEY AUTONÓMICA MUNICIPAL DE ASEO URBANO Nº 295. [2] Sin embargo, la Ley no menciona a los recicladores. Hasta el 23 de junio de 2016, existía una ordenanza municipal, llamada de Basura Cero, que data del año 2006 en el que se introduce el tema de la recolección selectiva, sin mención de los recicladores. [1]. Esta ha sido derogada por la entrada en vigor de la ley 295.
Santa Cruz de la Sierra no dispone en la actualidad un Plan Integral de Gestión de Residuos Urbanos, se trabaja con un conjunto de diversos proyectos y servicios de aseo urbano (se prestan un total de 14 servicios de aseo urbano, como por ejemplo, planta de selección de Normandía, limpieza de calles, recolección de residuos, recolección diferenciada, etc.) relacionados entre sí. En el momento se está elaborando un Plan Metropolitano de Gestión de Residuos que dará servicio a Santa Cruz y a otros 4 municipios, los 5 conforman el área metropolitana de Santa Cruz. Se espera tenerlo finalizado a lo largo de 2017, pues deberá entrar en vigor en 2018, cuando finalice el periodo de la licitación actual a la empresa de aseo urbano que ganó el concurso en 2014 por 5 años.[3]
</t>
  </si>
  <si>
    <t xml:space="preserve">La estabilidad y continuidad de las políticas de reciclaje inclusivo radica en el hecho de que han sido adoptadas a través de  leyes y decretos. Se encuentra la Ley Nacional que ayuda a que los cambios de gobierno, no se traduzcan en cambio de los beneficios de los recicladores [1][2] y por otra parte está el PGIRS que los municipios deben seguir durante 12 años [2]. En los últimos tres años se fortalecieron las organizaciones de recicladores con lo cual tienen mayor capacidad para exigir estabilidad  de las políticas[1]. 
Sin embargo, si bien hasta el momento se ha evidenciado estabilidad, en las organizaciones  existe incertidumbre respecto al cambio de gobierno ya que el anterior gobierno era de distinta corriente  que el nuevo gobierno [3][4] [5]. Adicionalmente, este cambio trajo consigo la extinción del Comité Interministerial para la Inclusión Social y Económica de los Catadores, conformado desde 2003 por 25 representantes de entidades del Gobierno Federal cuya finalidad estaba orientada a integrar y coordinar acciones del gobierno federal a fin de apoyar y promover la organización productiva de los recicladores, mejorando sus condiciones de trabajo, aumentar sus oportunidades de inclusión social y económica y ampliar su cobertura de recolección selectiva de residuos,  en cumplimiento de la Política Nacional de Residuos Sólidos [6]. 
</t>
  </si>
  <si>
    <t>La ciudad de Santa Cruz cuenta con el mismo alcalde por tres periodos electorales de 5 años consecutivos. En 2016, se  han promovido nuevas leyes municipales de gestión de residuos (sin mención a los recicladores) y  se han firmado acuerdos con el gestor del relleno sanitario (empresa privada) y asociaciones formalizadas de recicladores para la operación de una planta de selección de residuos reciclables en el vertedero municipal [1]. Incluso se organizó un acto de entrega de diplomas de reconocimiento a su labor [2].</t>
  </si>
  <si>
    <t xml:space="preserve">Existe un presupuesto encargado por el Plan de Gestión Integral de Residuos Sólidos (PGIRS) que se ha estado ejecutando [1]. El plan anterior contemplaba destinar 24mil dólares durante los próximos 12 años para el programa de inclusión de recicladores. Sin embargo, la actualización del  PGIRS para Bogotá contempla un presupuesto para el reciclaje inclusivo de 15.546.813 dólares* para 12 años, desde 2016 a 2027 [2]. 
Si bien, el plan se encontraba en fase de actualización durante este año se llevaron a cabo actividades de capacitación, fortalecimiento a la separación en la fuente, actualización del registro único de recicladores y remuneración por la prestación del servicio público de aseo [4].
*TRM 25 noviembre $3.177 por Dólar
</t>
  </si>
  <si>
    <t>No hay un presupuesto departamental de la IM para GIRS. No está incorporado el reciclaje inclusivo en la legislación, pero se han tomado acciones: por ejemplo, se ha integrado a recicladores en las plantas de clasificación, se ha apoyado la formalización de transportistas, se han incorporado acciones realizadas  por diversos actores (la municipalidad de Montevideo, el Ministerio de Desarrollo Social, o la Dirección Nacional de Medio Ambiente (DINAMA)). Pero dichas acciones no están integradas en las políticas generales, no se han desarrollado dentro de una estrategia global. [1]</t>
  </si>
  <si>
    <t>No existe un detalle del presupuesto anual para los programas de reciclaje y reciclaje inclusivo a nivel municipal [1]. Sin embargo, la Secretaría de Ambiente de la ciudad de Quito a través de las dos empresas municipales (EMASEO y EMGIRS) encargadas de la recolección y  gestión integral de residuos sólidos, incluyen los programas y proyectos de reciclaje inclusivo que cuentan con presupuestos anuales asignados para el cumplimiento y ejecución de los mismos, enmarcados en el Plan Operativo Anual. El presupuesto está conformado por recursos municipales y de cooperación [2][3]. 
Los costos de operación, administración e inversión de los  Centros de Educación y Gestión Ambiental (CEGAM) provienen del presupuesto anual y fuentes fiscales, el mantenimiento de los CEGAM provienen de la misma gestión y funcionamiento de los establecimientos. Los costos de reciclaje inclusivo sobrepasan el presupuesto planificado, y se espera que con la implementación del Plan Maestro de GIRS se transparenten los costos y poder diseñar mecanismos de sostenibilidad financiera [4].
La empresa de aseo EMASEO ha desarrollado un programa denominado Recolección Diferenciada, que contempla diferentes estrategias para garantizar la recuperación de residuos reciclables, tales como:  i) Recolección diferenciada a Pie de Vereda, ii) Recolección diferenciada en Puntos Limpios, iii) Proyecto Quito a Reciclar en zonas contenerizadas, y, iv) Manejo de Residuos Especiales [3][5].</t>
  </si>
  <si>
    <t xml:space="preserve">No existe en el presupuesto municipal una partida para la inclusión de los recicladores pero se habilitó su inclusión a través de la licitación del servicio de aseo urbano. [1][2].
La actual licitación de gestión del aseo urbano de Santa Cruz incorporaba tres apartados que tenían relación con la inclusión de recicladores y cuya ejecución estaba incorporada al presupuesto de la misma:
1- Construcción de una planta de selección de residuos reciclables en el espacio del vertedero municipal operada por recicladores de base. Se ha habilitado la participación de 50 recicladores que no están contratados por la empresa concesionaria. Sus ingresos provienen exclusivamente de los tipos y cantidades de materiales que separan en la planta de Normandía. No disponen de sueldo ni beneficios sociales. Los gastos operativos y de mantenimiento de la planta corren por cuenta de la empresa concesionaria.
2- Implantación de la recolección diferenciada en origen en la ciudad. Para implantar dicho servicio la empresa licenciataria del contrato de aseo urbano debía contratar a recicladores de la ciudad. Se han contratado a 36 recicladores que han pasado a ser trabajadores de la empresa de aseo y que cuentan con un sueldo y todos los derechos sociales de los trabajadores.
3- Implantación de "EcoPuntos", que debían servir, también, como centros de acopio para los recicladores, y de aporte libre de residuos por parte de los ciudadanos. Si bien se tenían que crear 8 ecopuntos en el periodo de la licitación (de 2013 a 2018) está previsto que en noviembre de 2016 lo haga el primero. Quedando el resto a la espera de la solución de diversos problemas con los vecinos de los lugares donde deben implantarse. 
</t>
  </si>
  <si>
    <t>El Ministerio del Trabajo, no reconoce en su listado de ocupaciones las tareas que desempeñan los recicladores de base. (15)
A nivel nacional, el Componente 3 de la Estrategia Nacional de Separación, Recolección y Valorización de Residuos- ENSRV 2016-2021 (2016), está orientado al fortalecimiento del sector de recicladores de base y tiene como objetivo “Crear un modelo de base solidaria y de participación, con el fin de incluir a los recicladores dentro de la cadena formal de valor, reconociendo su importancia como prestadores de un servicio necesario para el país y merecedores de una remuneración (…)”. 
Este componente plantea la conversión de los recicladores de la informalidad a la formalidad y para ello establece mecanismos simplificados para su inscripción como gestores de residuos autorizados, la acreditación por parte del Instituto Nacional de Aprendizaje y el desarrollo de mecanismos de pago por servicios. La Estrategia Nacional de Separación, Recolección y Valorización de Residuos ha sido publicada el año 2016, por lo que no se ha implementado aún. (13)      
El Instituto Nacional de Aprendizaje (INA) dicta el curso de "Operario de Centros de Acopio de Materiales Aprovechables" (14), certificando como tal a quienes aprueban el curso. Muchos miembros de organizaciones comunitarias que trabajan en sistemas de reciclaje municipal han recibido esta certificación. No hay evidencia de que los recicladores de base hayan accedido a esta certificación.</t>
  </si>
  <si>
    <t>A nivel nacional, no existe reconocimiento legal de la ocupación del reciclador de base en Bolivia. Se intentó en el año 2011 (con la participación de varias asociaciones de recicladores bolivianos, entre ellas las asociaciones de Santa Cruz) elaborar una propuesta de ley del reciclador en Bolivia [1]. Se aprobó el proyecto de ley en octubre de 2012 [2] pero permanece como un anteproyecto de ley en el Senado desde 2014. Esta ley apunta hacia la obtención del reconocimiento legal a su figura y a las tareas de reciclaje que realizan los recicladores. Se intentó relanzar la aprobación de la ley en 2015 por parte de las asociaciones de recicladoras de Sucre con apoyo de las asociaciones de Santa Cruz, pero aun no se ha avanzado en el tema. [3] Cabe señalar que se identifica a los recicladores como agentes que participan en el aprovechamiento de los residuos urbanos, gracias a la participación de determinados proyectos de ONGs y del FOMIN. [4]</t>
  </si>
  <si>
    <t>El reconocimiento de los recicladores de base a nivel municipal  tiene dos aspectos muy diferentes. Por un lado se los reconoce como agentes participantes en la gestión de residuos integrados en una de sus fases, pero por el otro se les impide (no se les reconoce) realizar su actividad de recolección primaria.   La caracterización tiene sus matices:
- Por un lado, los recicladores están integrados en el sistema de gestión de los envases de un solo uso, en la fase de clasificación en las plantas de selección de dichos envases. En ellas trabajan sólo recicladores que están apoyados por entidades de carácter social. [1]
- Sin embargo, por otro lado, se les prohíbe la realización de su actividad en la calle en determinadas zonas de la ciudad, como por ejemplo en el municipio B (Ciudad Vieja). [2] [3]
- Además algunos recicladores, pero también personas que nunca antes habían trabajado en el mundo de los residuos, se han dado de alta como transportistas para la recolección y transporte de residuos de grandes productores de Montevideo, y para ello deben inscribirse en un registro de la Intendencia. [4]</t>
  </si>
  <si>
    <t xml:space="preserve">La Ordenanza 332 en el Art.89, reconoce la labor de los recicladores de base en los procesos de recolección selectiva, segregación, reciclaje y comercialización de materiales reciclables, así como también, estipula el proceso de regularización y calificación  como Gestores Ambientales de Menor Escala a través de la Secretaría de Ambiente.  En el Art. 18 y 19, se menciona la competencia, y por ende, los servicios de recolección diferenciada que prestan los gestores ambientales en zonas donde el Municipio no pueda brindar el mismo.  En el Art. 92, el Municipio vigilará los sistemas de contratación laboral a gestores calificados de menor escala para garantizar el cumplimiento de derechos sociales [1].                                                                                                                                                         
El Municipio reconoce a los recicladores de base a través de los proyectos de inclusión estipulados en su Planificación Anual, más no como prestadores de servicio. Sin embargo, se identifica una valoración del servicio prestado por recicladores, a través del apoyo institucional mediante la dotación de sistemas logísticos (rutas de recolección y transporte), centros de acopio (CEGAM) y administración de operación (administradores de CEGAM) [2].                   
Es importante mencionar que no existe un detalle de los costos asumidos por el Municipio en este apoyo institucional antes mencionado, tampoco se cuenta con instrumentos legales (convenios y/o contratos)  de formalización de la gestión entre Municipio y organizaciones de recicladores de base.  Se considera viable a mediano y largo plazo el reconocimiento y pago por prestación del servicio de recolección y transporte por parte del Municipio a organizaciones de recicladores de base, para lo cual, se requiere procesos de identificación de costos y su respectiva transparencia en toda la cadena de gestión integral de residuos sólidos [3].                                                                                                                                                                                                                       </t>
  </si>
  <si>
    <t xml:space="preserve">En la ciudad de Santa Cruz se permite la entrada de los recicladores a la operación de la planta de reciclado del vertedero municipal (llamado "Normandía") de forma oficial. El modo de operar es la de licitar la gestión de los residuos municipales a empresas, sin que haya ningún resquicio a la posible entrada de los recicladores a las licitaciones [1].  La empresa municipal descentralizada, Empresa Municipal de Aseo de Santa Cruz (EMACRUZ), apoyó a los recicladores con herramientas y maquinaria municipal, hasta la entrada en vigor de la contrata de la empresa privada Vega Solvi en 2014. [2].  A su vez, cabe señalar que  en la nueva reglamentación municipal (que deroga legislaciones anteriores), no hay un reconocimiento de la figura de los recicladores. </t>
  </si>
  <si>
    <t xml:space="preserve">En el año 2012, la Unidad Administrativa Especial de Servicios Públicos (UAESP) junto con la Universidad Distrital de Bogotá, realizó  un censo de recicladores, en el cual se registraron 13.771 recicladores. Sin embargo, la UAESP, ha creado un Registro Único de Recicladores de Oficio (RURO) a fin de actualizar los registros de recicladores de manera dinámica [1]. A partir de este registro, se estableció que a 2016, en Bogotá hay 21.950 recicladores  de los cuales 6.935  pertenecen a alguna figura asociativa [2] . </t>
  </si>
  <si>
    <t>Hasta la fecha no se ha realizado ningún censo oficial de recicladores por parte de la administración [1]. La Fundación PAP realizó un conteo, pero no un censo, a partir de muestreos en diferentes barrios de Santa Cruz. De ahí resultó que, en 2013, había alrededor de 3.000 recicladores que realizaban  la recolección de residuos para su venta. De ellos, unos 1.500 a 2.000 son los que realizan su trabajo de forma continua y constante, el resto lo realizan de forma esporádica para conseguir unos ingresos puntuales o mientras rebajan un trabajo y encontraban otro.[2] [3]</t>
  </si>
  <si>
    <t>La actividad de aprovechamiento se define en el Decreto 1077 de 2015 como una actividad complementaria al servicio público de aseo que comprende la recolección de los residuos aprovechables separados en la fuente, el transporte selectivo hasta una estación de clasificación y aprovechamiento y  la clasificación y pesaje de estos residuos [1]. Teniendo en cuenta que es una actividad que pertenece al servicio público de aseo opera bajo los esquemas de la Ley 142 de 1994, la cual indica en el artículo segundo que el servicio se presta en libre competencia, en este esquema cada empresa establece un vínculo directo con los usuarios y les presta el servicio sin necesidad de una licitación a través del municipio [2].
En Bogotá no se está llevando a cabo licitación para la actividad de aprovechamiento (definida anteriormente) ya que se prestará bajo el esquema de libre competencia  [3]. Sin embargo, este proceso es abierto y se comunica a todas las partes interesadas, la remuneración es clara y corresponde a los costos definidos por la Comisión de Regulación de Agua Potable y Saneamiento Básico (CRA)[2][3]. Por último la prestación de este servicio está sujeto a la vigilancia de la Superintendencia de Servicios Públicos, según lo establecido en la Ley 142 de 1994 [2].</t>
  </si>
  <si>
    <t xml:space="preserve">Los  procesos de licitación para el reciclaje  tienen mediana transparencia[1][2]. Como se ha mencionado anteriormente, la recolección de residuos reciclables de acuerdo con la Ley Nacional y Estatal debe llevarse preferiblemente a cabo por parte de cooperativas de recicladores. Estás contrataciones se sujetan a licitación, según lo indicado en el artículo 24 de la Ley 8.666 de 1993 [5]. 
Para realizar una contratación un municipio debe cumplir con al menos los siguientes pasos: (i) solicitud, justificación de la necesidad y elaboración de las especificaciones técnicas; (ii) exposición de razones de por qué escogen el prestador, exposición de propuestas de precio,  justificación de precio; (iii) expedición de documentos jurídicos, autorización del gasto por parte del director; (iv) comunicación al Prefecto o el Secretario Municipal, (v) rectificación y publicación del gasto en un plazo de 5 días y (vi) asignación del contrato [ 6]
Las licitaciones son públicas y en las mismas se contemplan todos los servicios de limpieza urbana [1] [7] , además son consultados con distintas partes incluyendo las cooperativas [4]. Las cooperativas de recicladores se presentan, como es su derecho por Ley, sin embargo debido a que la infraestructura que poseen no cumple con los requisitos de la licitación esto se convierte en un factor excluyente de las mismas [7]. Por otra parte, con respecto al valor de materiales, en ocasiones no se publican los precios de compra y venta, además no hay un medio que indique en tiempo real cuanto se recoge y efectivamente cuánto se comercializa [1][4].
Por último,  existen contratos en San Pablo que tienen una duración de 20 años, en este momento ya van 10 años, por lo cual sólo en 10 años más podrán ser cambiados [3].   </t>
  </si>
  <si>
    <t xml:space="preserve">El proceso de licitación del actual contrato de aseo urbano, se llevó a cabo en diciembre de 2012, siendo elegida la compañía Solvi Vega en enero de 2013. El proceso siguió los cauces oficiales que marca, entre otros el Decreto Supremo nº181 de 2011 por el que se establece el Sistema de Contratación de Bienes y Servicios (SICOES) dependiente del Ministerio de Economía y Finanzas Públicas [1]. Así, la Empresa Municipal de Aseo de Santa Cruz (EMACRUZ) publicó en el SICOES el documento base de contrataciones, base para la presentación de ofertas. En el Documento base de Contrataciones estaban incluidas dos actuaciones ligadas a procesos de reciclaje. La primera era la construcción de una planta de selección de residuos en los terrenos del vertedero de Normandía, y la segunda era la construcción de 16 puntos limpios en la ciudad, uno para cada distrito. [2] Se atendieron las preguntas y comentarios de las empresas que se postularon para la contratación y se procedió a determinar un ganador. Todo ello dentro de un proceso regular y transparente de licitación pública. SICOES es el sistema para la contratación pública sirve de plataforma de comunicación; no participa en los procesos de contratación pero sí actúa una vez el contrato finaliza. Fiscaliza y comprueba que los resultados conseguidos están de acuerdo con los que indicaba la licitación. [2] [3].
A pesar de ello los recicladores no participaron en el proceso de licitación. La única asociación de recicladores legalizada en el momento de la licitación no tenía capacidad administrativa ni técnica para poder presentarse a la licitación. [2]
</t>
  </si>
  <si>
    <t xml:space="preserve">Para la revisión del Plan Director de Limpieza de 2015 se llevaron a cabo 8 talleres de discusión diferentes a los que se invitó a participar a diferentes grupos y expertos.  También se invitaron  a representantes vecinales y todos aquellos vecinos que quisieran participar. Se trataron  diferentes temas: desde proyectos de limpieza de espacios públicos, a proyectos de disposición final de residuos pasando por la discusión de las acciones de transferencia, clasificación y valorización.  [1]
</t>
  </si>
  <si>
    <t xml:space="preserve">La ley municipal tuvo una puesta en común (socialización) con los distritos de la ciudad, reuniones que realizó la Empresa Municipal de Aseo de Santa Cruz (EMACRUZ), junto con la empresa concesionaria del servicio de aseo Vega Solvi. [1] [2] Sin embargo, los recicladores no fueron contactados explícitamente para que conocieran la ley y su contenido, ni por tanto, para que opinaran al respecto.[3] 
</t>
  </si>
  <si>
    <t>No existen programas municipales de capacitación sistemáticos para funcionarios municipales, relativas a gestión de residuos sólidos y reciclaje.  
Sin embargo, el municipio de San José ha desarrollado proyectos educativos, para la sensibilización y capacitación, en materia de reciclaje de residuos sólidos: 
a) “Centro Urbano Ambiental (CUA)”: centro de sensibilización y educación ambiental para el manejo sustentable de residuos
b)  “Programa Súper Héroes Ambientales”: campañas de reciclaje en centros educativos
c) “Ambientados”: campaña mensual de reciclaje llevada a cabo en colaboración con la Empresa Televisora de Costa Rica  y otras empresas recuperadoras, con una fuerte campaña publicitaria (27).
Otra forma que el municipio promueve el reciclaje en el cantón es a través de capacitación a la comunidad, para mover la economía local. Directamente o a través de ONGs o estudiantes, capacitan a la comunidad para  la identificación y separación de residuos reciclables, incluso facilitando el vínculo entre los vecinos con la empresa que compra los materiales. De esta forma promueve el emprendimiento en reciclaje. En esta línea, el año 2013 apoyó la formación y capacitación de 4 organizaciones comunitarias especialmente enfocadas en emprendimientos con el reciclaje.(28)</t>
  </si>
  <si>
    <t>En el PGIRS se puede observar que se han llevado a cabo programas de capacitación a los recicladores y las cooperativas en temas gerenciales y administrativos; así como de separación en la fuente para los usuarios o auto tratamiento de los residuos (para quienes se encuentran en áreas de difícil acceso de la recolección), capacidades técnicas para los funcionarios del gobierno [1]. Existe un programa denominado CATAFORTE , es un programa que dota a los recicladores, pero solo en el prospecto Federal [2].
Por otra parte, existen capacitaciones por parte de empresas privadas como PepsiCo, quien realizó durante 14 meses capacitaciones en Planeamiento Estratégico, Elaboración de Proyectos y Manejo de Recursos, Formación de Redes, Modelos de Negocios, Benchmarking, Liderazgo y cooperativismo, Contabilidad e impuestos y Monitoreo de Producción [3]</t>
  </si>
  <si>
    <t>La Empresa Municipal de Aseo de Santa Cruz (EMACRUZ) dispone de un Proyecto de Sensibilización Ciudadana, en el que con ayuda de Brigadas Ambientales (integradas por voluntarios de la Universidad Ecológica y técnicos municipales) realizan capacitaciones a ciudadanos, escuelas y funcionarios. [1] Respecto a los recicladores se pretende iniciar un nuevo proyecto en 2017: será EMACRUZ quien asumirá esas atribuciones dentro del marco de la nueva Ley Municipal 295/2016, donde se transfiere toda la potestad a EMACRUZ, respecto a la Gestión de Residuos Sólidos.[1] [2]</t>
  </si>
  <si>
    <t xml:space="preserve">En general el principal incentivo está dado por la Ley que regula las actividades de los recicladores, pues los mismos pueden acceder a mejores fuentes de recolección, programas de vacunación y acceso a herramientas y uniformes que otorga el municipio. Adicionalmente no pueden ser sancionados en caso de no contar con la autorización de la municipalidad para ejercer su activad [1].
Existen además otros programas, como es el caso del cercado de Lima en el que se invita a los recicladores a asociarse y se les acompaña en el proceso de formalización, se brinda capacitación en manejo de residuos sólidos para que se realice de manera más eficiente y sin riesgos, además se les brinda vacunación contra la Hepatitis B y el Tétano y se les entrega identificación de carné [2] . Asimismo, se realizan programas de separación en la fuente, para mejorar las condiciones de los materiales recolectados por los recicladores y evitar la contaminación con residuos peligrosos como los aparatos eléctricos y electrónicos [2].
</t>
  </si>
  <si>
    <t>Existen acciones sistemáticas: la Secretaría de Medio Ambiente administra un listado voluntario de recicladores de la ciudad. Aquí deben inscribirse todos aquellos recicladores que  lo deseen: ello los habilita para poder trabajar en espacios municipales donde se genera una gran cantidad de residuos (por ejemplo,los pabellones de la ExpoCruz, donde se realizan gran cantidad de exposiciones o los carnavales). Los recicladores que se inscriben son los que pueden acudir a recuperar los materiales en dichos espacios. Todo ello va ligado a la recepción de capacitación, básicamente, en aspectos de metodología de recolección de los materiales reciclables. Así pues, este registro ayuda a aumentar los ingresos de los recicladores, ya que los incentiva a que se registren, y al recibir una mínima capacitación mejora su potencial empleabilidad. [1]</t>
  </si>
  <si>
    <t xml:space="preserve">Sí existen incentivos para que los ciudadanos lleven a cabo la separación en la fuente. La Secretaría de Medio Ambiente del Distrito Federal cuenta con un programa denominado "Mercado de Trueque" que tiene por objetivo fomentar la separación en la fuente de los materiales reciclables a través del intercambio de residuos reciclables, papel y cartón, pet, vidrio, tetra pack, aluminio y residuos electrónicos, por productos agrícolas cultivados en el Distrito Federal [1].  Entre los meses de marzo y diciembre del 2012 el programa pemitió recolectar 20,3 toneladas de residuos, mientras que en el año 2016 entre enero y agosto se ha conseguido recolectar 71 toneladas [2].
Estos programas tienen un valor exclusivamente cultural, considerando que no tienen ninguna incidencia sobre los volumentes de residuos recolectados (71 toneladas de residuos en 8 meses representan el 0.002% del total generado) [3] [4] [5] [6]
</t>
  </si>
  <si>
    <t>No hay un sistema de incentivos ni a nivel nacional ni en  San Pablo [1][2][3]. Los programas de incentivos existentes son desarrollados por empresas privadas, por ejemplo, sólo hay recolección puerta a puerta y algunas redes de supermercados tienen programas voluntarios de recolección de residuos en puntos limpios, especialmente para residuos de empaques y residuos de construcción y demolición. Por otra parte, AES Eletropaulo, empresa de energía de Sao Paulo,  implementó un programa de incentivo de reducción en el valor de su factura de energía a cambio de la entrega de materiales reciclables; en el año 2013, se recolectaron 42 toneladas de materiales reciclables entregados por 1.205 usuarios del servicio de energía [4]. 
 Del impuesto territorial que se cobra anualmente, el 2%  se destina a los servicios de aseo, por tanto no hay una tasa mensual del servicio de aseo ni hay estímulos a los ciudadanos para reducir los residuos[3] .</t>
  </si>
  <si>
    <t>La implantación de la recolección diferenciada en Santa Cruz es muy reciente, por ello, no se disponen de datos de su funcionamiento ni del impacto que está teniendo en los ciudadanos. No existe un sistema de incentivos para que los ciudadanos separen sus residuos en el hogar. Desde EMACRUZ se están viendo iniciativas para que puedan ser adoptadas por el municipio. [1]</t>
  </si>
  <si>
    <t xml:space="preserve">Uno de los programas del Plan de Gestión Integral de Residuos Sólidos consiste en consolidar un sistema de información de la GIRS para Bogotá, que incluye medición de la superación del grado de vulnerabilidad de los recicladores [1]. Sin embargo, si bien aún no se ha implementado el programa, a la fecha se cuenta con información publicada en la página de Unidad Administrativa Especial de Servicios Públicos referente al censo de recicladores y las cantidades de residuos aprovechadas [2].
Este sistema se viene articulando con  el que ha venido trabajando el Ministerio de Vivienda, Ciudad y Territorio , que consiste en un observatorio nacional para reciclaje inclusivo, creado  gracias al proyecto de la Iniciativa Regional para el Reciclaje con Cempre, el cual será una herramienta de recolección, análisis, monitoreo y verificación de información de avance en inclusión de recicladores, tasas de aprovechamiento, formalización de recicladores y demás indicadores relevante para medir esta política pública [3].  </t>
  </si>
  <si>
    <t>No se dispone de un sistema de recolección de información sobre reciclaje inclusivo. Montevideo no dispone en su página web  información sobre la integración de los recicladores  y tampoco se recopila datos sobre gestión de residuos ni se publican estadísticas. No hay registro de las agrupaciones de recicladores de la Intendencia. No se está evaluando la efectividad de los sistemas de reciclaje. 
Sí es cierto que se realizó una caracterización de los recicladores de la ciudad y que se dispone de un registro de las empresas que prestan servicio a los grandes productores de residuos, pero en ella no están desagregados de ninguna forma quienes provienen de ser recicladores de base antes de formalizarse. [1] [2]</t>
  </si>
  <si>
    <t xml:space="preserve">No existe un sistema municipal de recolección de información de reciclaje inclusivo. Sin embargo, el Municipio de Quito, a través de EMASEO recolecta, analiza y presenta la información de sus proyectos de reciclaje inclusivo, que agrupan a 111 recicladores de base. EMASEO presenta información de toneladas de residuos sólidos reciclables recuperados e ingresos mensuales por reciclador de organizaciones formales que trabajan coordinadamente con el municipio. Este reporte tiene una temporalidad mensual y se lo presenta través de su página web [1] [2][3]. Adicionalmente, la RENAREC ha realizado un levantamiento de información sobre organizaciones formales de recicladores de base de la ciudad de Quito, no obstante, esta información no tiene un sistema de actualización de manera periódica [4].                                                                                                                                                                                        
La Secretaría de Ambiente desarrollará una aplicación para un fácil encuentro de los puntos limpios y puntos de acopio de varios residuos que ofrece el municipio al ciudadano. Además la Secretaría de Ambiente publicó en 2016 el Atlas Ambiental que es una herramienta con datos, funcionamiento operativo actual con la visión del sector residuos que se puede descargar gratuitamente de la página web [5][6].                                                                     
</t>
  </si>
  <si>
    <t>El Municipio de San José, en su página web, informa acerca de la cantidad de residuos recuperados por el programa municipal de reciclaje, en el Boletín Informativo del Observatorio Municipal Nº 12, de octubre de 2014 (36). También es posible acceder al documento "Diagnóstico sobre la Gestión de los Residuos Sólidos en el Cantón de San José", publicado el año 2011 por la Municipalidad de San José. No presenta información actualizada de las cantidades de residuos recuperados por el programa municipal de reciclaje.
El sistema de reciclaje municipal lleva la contabilidad de residuos recuperados por el propio sistema, de acuerdo a peso y tipo de material. Para el material que es recolectado de los 11 puntos de disposición en cada uno de los 11 distritos, existe la identificación del distrito de origen del material. Sin embargo, del material que se entrega directamente en el centro o que siendo recolectado es muy poco, no existe este registro. (34)
Respecto de los residuos reciclables recuperados por fuera del sistema municipal, el Diagnóstico sobre la Gestión de Residuos Sólidos del Cantón de San José señala, “la recuperación de materiales presenta un panorama complejo debido a la presencia de varias iniciativas o varios actores trabajando en esa actividad, de manera generalmente informal. Entre estos se encuentran algunos grupos, pero sobre todo son personas individuales, muy frecuentemente familias de escasos recursos o indigentes, los cuales se convierten en recuperadores informales o ‘buzos’. Este tipo de esfuerzo de recuperación ha sido muy poco estudiado y es muy poco o nada lo que se conoce sobre sus actividades o los volúmenes o residuos que recuperan y comercializan”. (35)</t>
  </si>
  <si>
    <t>No existe un sistema municipal de recolección de información  sobre el funcionamiento y el impacto del reciclaje en la ciudad y  de la tarea de los recicladores informales. [1] [2]  Santa Cruz no dispone aun de un PGIRS: se está elaborando uno para el periodo 2018-2023.</t>
  </si>
  <si>
    <t xml:space="preserve">Bogotá cuenta con la campaña "reconoce a tu reciclador, es un vecino más", la cual busca promover la consciencia social de la comunidad en torno al trabajo que desempeña esta población y consigo visualizar y dignificar su labor [1]. Sin embargo, esta campaña no logra un alcance y cobertura suficiente para sensibilizar a los usuarios dada la falta de incentivos a participar en las campañas.  
</t>
  </si>
  <si>
    <t xml:space="preserve">Existen en el marco de la política Ciudad Verde, una campaña masiva destinada a promover la separación en origen [1], se elaboró una Guía para la separación de residuos [2] y un Manual de recomendaciones para separar residuos [3], acompañando la colocación de contenedores (negros y verdes) y la instalación de Puntos Verdes [4] para la disposición inicial voluntaria de residuos, donde se menciona la tarea que realizan los recuperadores en el marco de la gestión de residuos.
Sin embargo, estos materiales no han sido acompañados con una campaña eficaz, y en general toda la información relacionada con la gestión de residuos en el sitio web del Gobierno de la Ciudad de Buenos Aires es dispersa, estática y no periódica. No ha tenido el alcance suficiente, ya que muchos vecinos todavái no separan los residuos en sus hogares [5,6].
</t>
  </si>
  <si>
    <t>No existen campañas de comunicación de manera continua, sin embargo existen campañas esporádicas de los proyectos municipales de reciclaje y reciclaje inclusivo que buscan motivar a la ciudadanía a participar en los mismos [1]. Se cuenta también con iniciativas ciudadanas de voluntariado a nivel barrial, que se han centrado en educar a la ciudadanía sobre la correcta separación de residuos y la entrega directa a los recicladores de base, sobretodo a través de medios digitales y redes sociales [2].  A su vez, existe un aplicativo móvil que permite conocer qué tipo de material se puede reciclar y cómo contactar a los recicladores de base en la ciudad de Quito. Esta herramienta ha sido desarrollada por la organización ReciVeci. Es importante mencionar que esta iniciativa ciudadana al momento se encuentra presente en 2 barrios de Quito, es un proyecto semilla que todavía no genera mayores impactos a nivel de ciudad [2][3][4].</t>
  </si>
  <si>
    <t>Existe regulación para el manejo y disposición de los residuos peligrosos contenida en el Decreto 4741 de 2005 [1]. Sin embargo, existe control sobre la generación de residuos peligros de los grandes generadores mientras que de los pequeños generadores (viviendas) no. Sobre la situación de éstos últimos, se han implementado 7 programas pos consumo desde el 2010 para evitar que la disposición final de residuos como pilas, llantas, envases de plaguicidas, electrodomésticos, medicamentos y luminarias, se realice de manera conjunta con los residuos de origen doméstico [2].
Con respecto a la separación de residuos en la vía pública está prohibido y es multado por el Decreto Distrital 349 de 2014 (Comparendo Ambiental), el cual indica en los numerales 06 y 07 del artículo 7 que es una infracción:
"06.Destapar y extraer, parcial o totalmente, sin autorización alguna, el contenido de las bolsas y recipientes para la basura, una vez colocados para su recolección, en infracción a las normas sobre recuperación y aprovechamiento vigentes.
07. Romper, rasgar, quemar o de cualquier otra manera dañar o destruir las bolsas y recipientes en que los residuos sólidos hayan sido almacenados o depositados para ser objeto de recolección, o abrirlos sin volverlos a cerrar debidamente, o extraer de ellos los residuos y dejar el lugar en que se produzca la extracción en un estado de aseo peor a aquél en que se encontraba".</t>
  </si>
  <si>
    <t xml:space="preserve">En Bogotá, las asociaciones son principalmente de naturaleza comercial.  La  Asociación de Recicladores de Bogotá (ARB),  reclama el reconocimiento de sus derechos frente a diferentes instancias del Estado pero es principalmente una organización de carácter comercial. [4]
En Bogotá existen 170 organizaciones de recicladores de carácter económico las cuales fomentan el ingreso de nuevos recicladores de oficio [1]. En Bogotá existen asociaciones que agrupan a otras organizaciones de recicladores, las más grandes son 3:
- Asociación de recicladores de Bogotá: Cuenta con 20 organizaciones de recicladores, las cuales agremian más de 3.000 recicladores
- Ecoalianza: Cuenta con 12 organizaciones, las cuales agremian 1.800 recicladores
- Red de Recicladores de Suba: Cuenta con 6 organizaciones las cuales agremian 1.200 recicladores [1]
Sin embargo, existe alta resistencia por parte de los recicladores independientes a asociarse [2] de 21 mil recicladores sólo 6 mil se encuentran agremiados [3]. 
</t>
  </si>
  <si>
    <t xml:space="preserve">Existen tres movimientos nacionales  incipientes (RENAREC, FENAREP y Mov. Nacional) que logran cierto nivel de presencia en ciertas instancias de interlocución.
Las  asociaciones en Lima son mayoritariamente de carácter económico: existen 28 organizaciones de recicladores, de carácter económico, que hacen parte del Programa de Incentivos  en Lima: Nuevo Porvenir, Las Renacientes, Cielito Lindo, Virgen del Carmen, Fray Martin de Porres, Parque de el Agustino, Salvemos al planeta, R Jesús María Recicla, Los Amigos de la Victoria, Mi Perú, Asociación 11 de mayo, MARCAPLAS, ATELIRES, Serenidad y Trabajo, Atrimac, Santa Rosa, ATALIR, Mirando al Futuro, Los Pinos, Santa Beatriz, ATSULYR, ASOCER, Asoc. 21 de Junio, ASOTRI, ECO Recicla SAC, Pamplona, RECI-CON-SUR, RUPA [1].
No es complicado acceder a las organizaciones de recicladores, sin embargo sólo el 30% de los recicladores ha decidido continuar como informal [2].
</t>
  </si>
  <si>
    <t xml:space="preserve">Casi todas las organizaciones de clasificadores/recicladores son de carácter comercial a excepción de la Unión de Clasificadores de Residuos Urbanos Sólidos (UCRUS) que es de carácter sindical/político. [2]. La mayoría de las asociaciones son cooperativas que surgen de la necesidad de trabajar conjuntamente y casi siempre promovidas por alguna ONG o por la administración. [1] 
</t>
  </si>
  <si>
    <t xml:space="preserve">Existe una Red Nacional de Recicladores del Ecuador (RENAREC) que agrupa a 38 organizaciones, con más de 1.200 miembros a nivel nacional  [1]. La  RENAREC es un gremio y movimiento social que ha logrado posicionarse políticamente, y ha realizado acciones concretas para el impulso y fortalecimiento de los derechos de los recicladores de base a nivel nacional [2][3]. En el levantamiento de información sobre reciclaje inclusivo en el 2014, se evidenció que el 6% de recicladores de base se encuentran organizados formalmente, y que el 50% está dispuesto a pertenecer a una organización formal  [2][4].   
La Normativa nacional enmarcada en la Economía Popular y Solidaria, motiva a la organización formal de grupos vulnerables, en este caso a recicladores de base [2]. Sin embargo, los procesos administrativos y legales para la conformación de asociaciones y/o cooperativas, es complicado y se torna en una dificultad para los recicladores de base. [1].   
</t>
  </si>
  <si>
    <t xml:space="preserve">Las asociaciones de recicladores en Santa Cruz  son todas de carácter económico (cooperativas y microempresas). NOTA - La información que sigue hace referencia a las organizaciones de carácter económico.
Hay 47 asociaciones informales agrupadas, a su vez en 3 asociaciones, de las que  2 disponen de personalidad jurídica legalizada: Red de Recolectores Santa Cruz Santa Cruz  y Arericruz. Otra asociación, Recicladores Bolivia, no dispone personalidad jurídica pues es de reciente aparición (se trata de una escisión de Red de Recolectores Santa Cruz Santa Cruz surgida en los últimos meses).  Estas dos son las que en mayor grado coordinan las acciones del resto. Dado que el resto de asociaciones no tienen personalidad jurídica, se ha querido ir incorporando a recicladores individuales de otras asociaciones e incluso fusionar asociaciones, pasando así a disponer de  personalidad jurídica, eso no ha sido posible a gran escala, pero sí se han ido incorporando nuevos socios. El proceso es muy simple, se propone en asamblea la incorporación de nuevos miembros y se vota su aceptación, o no, alguna vez se ha rechazado a alguna persona. [1]
Las 47 asociaciones se agrupan en: 
Red de Recolectores Santa Cruz Santa Cruz, es la mayor y más antigua de las 3, tiene bajo su paraguas 26 asociaciones (sin personalidad jurídica) que cuentan con entre 11 y 25 personas cada una. Trabajan en diferentes áreas de la ciudad, realizan asambleas propias y venden de forma conjunta bajo el número fiscal de Red de Recolectores Santa Cruz Santa Cruz.
Recicladores Bolivia, escisión de la anterior por diversos problemas de carácter más personal que de funcionamiento. Está constituida por 10 asociaciones que cuenta con entre 10 y 15 miembros cada una. Sigue vendiendo bajo Red de Recolectores Santa Cruz Santa Cruz dado que no dispone de número fiscal para hacerlo. Es cercana a Arericruz.
Arericruz, de hecho no son recolectores, se identifican/son identificados por el resto más como acopiadores que como recicladores. Son 11 asociaciones muy pequeñas, de entre 2 y 4 personas. Compran materiales a recolectores que no están asociados a ninguna asociación y tienen acuerdos con empresas para la recolección (los compran de hecho) de residuos que son asimilables a los urbanos. Disponen de una mínima maquinaria, básicamente compactadoras. [1] [2]
El proceso de creación no es complicado en exceso, pero como todo procedimiento que involucre a la administración requiere de unas acciones y tempos concretos. Los recicladores informales difícilmente pueden realizar estas tareas por sí solos, muchos no saben leer ni escribir... no disponen de documento de identidad [3] </t>
  </si>
  <si>
    <t>En las organizaciones el interés es beneficiar a los recicladores y participar ante los entes gubernamentales por la protección de los derechos. Se cuenta con estatutos, aunque todos los integrantes no los lean. Debido a la carencia de recursos no hay esquemas de financiación a los integrantes. Se realiza reporte contable y se pagan los impuestos al Departamento de Impuestos y Aduanas Nacionales. Existe además un registro de cada uno de los miembros y éste se entrega a la Unidad Administrativa Especial de Servicios Públicos. También se cuenta con un registro continuo de materiales recolectados y desde este año se entregará esta información a la Superintendencia de Servicios Públicos Domiciliarios [1].
Con los asociados se realizan asambleas y reuniones informativas y se les convoca cuando es necesario a marchas y protestas. En las asambleas se realiza votación para que las decisiones se tomen democráticamente [1].
La Asociación de Recicladores de Bogotá tiene  con 20 organizaciones de recicladores, las cuales agremian más de 3.000 recicladores, es ahora la más grande de la ciudad [1].</t>
  </si>
  <si>
    <t xml:space="preserve">Se desconoce el nivel de inclusión de la Unión de Clasificadores de Residuos Urbanos Sólidos--UCRUS.
Con respecto a las cooperativas, desde el Ministerio de Desarrollo Social (MIDES) se apoya la creación de cooperativas sociales, dentro de varios ámbitos, también en el del reciclado de residuos. Las cooperativas creadas deberían reportar sus estados de cuentas al MIDES, así como tener estatutos pero como se lleva desde otro área del Ministerio, no hay conocimiento de ello.  [1]
En las cooperativas de Montevideo por norma general existen estatutos disponibles (se crearon con la participación de todos los asociados), hay rendición de cuentas internamente pero no a una entidad superior ni a la administración. En la Unión de Clasificadores de Aglomerado de Polietileno (UCAP) de los tres dirigentes que hay, uno es mujer. [2]
En la Cooperativa Integral Laboral, de 6 miembros, hay 2 mujeres que no participan de los órganos directivos, aunque una de ellas ha manifestado su interés en participar y lo hará en cuanto se renueven los cargos. [3]
</t>
  </si>
  <si>
    <t xml:space="preserve">Las asociaciones de recicladores en Santa Cruz  son todas de carácter económico.  El nivel de inclusión es medio, dado que el equipo directivo reporta los estados contables (y cualquier otro asunto que se crea relevante) a la asamblea que se reúne cada mes pero no reporta a ningún ente oficial. En estas reuniones se habla abiertamente de todos los temas a condición que se comenten previamente para poder incorporarlos al orden del día. Se levantan actas de las reuniones. Las asociaciones disponen de un registro de miembros. Los estatutos están disponibles para todos los miembros y de hecho, en las asociaciones que las componen se promueve que dispongan de un estatuto propio además del de la asociación que dispone de personalidad jurídica, es decir, tienen dos: uno propio y otro general.  No realizan ninguna actividad que vaya más allá de lo necesario para poder ejercer su trabajo y vender los materiales al mejor precio posible, así, no llevan a cabo ninguna capacitación de género. [1] [2]
 </t>
  </si>
  <si>
    <t>La Alianza Nacional de Reciclaje organiza asambleas permanentes de asociaciones de recicladores del país y donde participan 35 organizaciones  de Bogotá, que corresponden a las más grandes de la ciudad.   Particularmente la Asociación de Recicladores de Bogotá participa a nivel internacional como la secretaría de la Red de Recicladores de América Latina y el Caribe. y tiene presencia en la alianza global de recicladores [1].
Adicionalmente, desde el Ministerio de Vivienda, Ciudad y Territorio se han habilitado instancias de participación nacional y municipal. A nivel nacional se cuenta con la Alianza Nacional de Reciclaje Inclusivo en la cual tiene asiento la Asociación Nacional de Recicladores. A nivel municipal se cuenta con:
1. Grupos Coordinadores de formulación del PGIRS, en los cuales deben estar lideres de recicladores sentados con demás instancias de los municipios que tienen incidencia en la gestión de residuos sólidos.
2. Comités de Cuentas, creado por el Decreto 596 de 2016, en el cual se sientan los representantes de las organizaciones de recicladores de oficio en proceso de formalización con los prestadores tradicionales del servicio público de aseo con el fin de realizar un cuadre de cuentas en relación con la facturación y recaudo de recursos de la tarifa de aprovechamiento y el pago respectivo a cada una de las organizaciones [2].</t>
  </si>
  <si>
    <t xml:space="preserve">En San Pablo, la interrelación entre recicladores se lleva a cabo de acuerdo al nivel de cooperativa. Las cooperativas naturales (primer nivel) proporcionan servicios directamente a sus miembros.  Las cooperativas centrales y federaciones de cooperativas (segundo nivel) proporcionan servicios de integración de actividades, espacios de diálogo y capacitación,  y utilización recíproca de los servicios a las cooperativas asociadas individuales. Las confederaciones cooperativas (tercer nivel) son quienes orientan y coordinan las actividades de las cooperativas centrales y federaciones de cooperativas [1] . 
A nivel nacional existen comités nacionales y comités  estatales donde participa el Movimiento Nacional dos Catadores de Materiais Reciclaveis (MNCR).  El movimiento de recicladores de Sao Paulo se está integrando con el movimiento de recicladores de Belo Horizonte, para llevar a cabo acciones en conjunto. En la dimensión internacional, el Movimiento Nacional dos Catadores de Materiais Reciclaveis (MNCR) tienen contactos con recicladores de África y Asia, y participa en Redlacre. [2] </t>
  </si>
  <si>
    <t>La Red de Recolectores Santa Cruz participa especialmente en las reuniones de la Red Lacre (Recicladores de Latinoamérica). Son identificados por la Red Lacre como los representantes de Bolivia, si bien no existe ningún reconocimiento de ello a nivel interno. El encuentro realizado en Santa Cruz a principios de octubre de 2016 (los días 7 y 8 de octubre), buscó establecer esa representatividad a nivel nacional, siendo el primer encuentro nacional de recicladores que se realizaba en Bolivia. Esta misma representatividad ya se intentó en 2011, pero no se pudo concretar. La Red de Recolectores Santa Cruz es identificada como el representante de Bolivia pudiendo participar en diversas reuniones a nivel internacional, lo que los situó en el mapa latinoamericano de los recicladores.
A nivel nacional hay contactos periódicos con recicladores del resto del país. En el acto de principios de octubre de 2016 han participado recicladores de 6 de los 9 departamentos del país pues se buscaba reactivar la creación de la Red Nacional de Recicladores de Bolivia.
A nivel municipal no hay establecido un esquema de diálogo organizado, pero las asociaciones son las representantes de todos los recicladores cuando ello es necesario y así lo reconoce la municipalidad pues dialoga indistintamente con las 3 asociaciones. [1]</t>
  </si>
  <si>
    <t xml:space="preserve">Existen espacios de diálogo y coordinación entre diferentes actores de la cadena de valor del reciclaje a nivel municipal y nacional. Se participa en discusiones con intermediarios y bodegueros y con el sector industrial que participa en la Iniciativa Regional para el Reciclaje y el Compromiso Empresarial para el Reciclaje (CEMPRE), generalmente se participa dos veces al año en esta mesa [1] o a veces no se le da continuidad. Dentro de este espacio se discuten qué acciones pueden desarrollarse para mejorar el acceso de los recicladores al mercado formal de reciclaje [2]. 
Adicionalmente, desde el Ministerio de Vivienda, Ciudad y Territorio se ha promovido la Alianza Nacional para el Reciclaje Inclusivo donde participan los Ministerios de Comercio, Industria y Turismo,  Ambiente y Desarrollo Sostenible y de Trabajo, el sector industrial, Fundación AVINA y la Asociación Nacional de Recicladores, a fin de promover el reciclaje inclusivo a nivel nacional para promover el desarrollo social y el aprovechamiento de los residuos sólidos[3]. El objetivo de esta alianza es promover la participación de los recicladores en los servicios formales de l servicio público de aseo.
Desde el ámbito municipal, los Planes de Gestión Integral de Residuos Sólidos [4], los cuales tienen por objetivo definir el rumbo que tendrán los residuos en un horizonte de 12 años. Además, alinear las acciones de los municipios con las directrices a nivel nacional en lo que se refiere a manejo de residuos sólidos.
No obstante, a pesar que existen espacios de discusión entre los actores, es necesario revisar el papel de cada uno y el objetivo del espacio ya que en algunas ocasiones se conforman como espacios improductivos [5]. 
</t>
  </si>
  <si>
    <t xml:space="preserve">No hay espacios de dialogo entre distintos actores de la cadena de valor de reciclaje que sean de tipo institucional  [1][2], o en el caso que existan estos espacios, los procesos no son transparentes. 
Hay una coalición de empresas, Cempre, que tiene un convenio con el MNCR pero principalmente para decidir temas políticos y mecanismos de estímulo [1]. Los espacios de diálogo son en su mayoría entre recicladores[2]. No existe un foro o espacios de discusión entre cada uno de los niveles de la cadena.  Por el contrario, el gobierno de Brasil busca eliminar intermediarios de la cadena de reciclaje, por lo que solo existe diálogo y vinculo entre cooperativas - catadores e industria. Tampoco hay una interlocución directa entre los intermediarios [1]. </t>
  </si>
  <si>
    <t xml:space="preserve">Existe un nivel superior de representación de las mujeres. Nohra Padilla es la presidenta de la Asociación de Recicladores de Bogotá que es la más grande de la ciudad y del país y ganadora del premio Goldman Environment Prize en el año 2013 [1], allí mismo la junta directiva está compuesta por 5 mujeres y cuatro hombres. Las organizaciones de recicladores normalmente están conformadas por 45% de mujeres y 55% de hombres.[2] </t>
  </si>
  <si>
    <t xml:space="preserve">No se conocen datos exactos sobre el nivel de la participación de las mujeres en las organizaciones de los recicladores. Aún así, las informaciones existentes dejan suponer que exista un grado de participación mediano o superior. Guillermina de la Torre es la líder del Unión de Pepenadores del Distrito Federal Rafael Gutiérrez Moreno [1], entidad que agremia cerca de mil mujeres sobre un total de 1.000 pepenadores (45% del total) [2]. De los 600 pepenadores agremiados en el Frente Único de Pepenadores cerca del 50% son mujeres [3]. En el Directorio de la Sección del SUTGDF (trabajadores de limpia)  existe un "Secretario de Acción Femenil" (actualmente es María de la Luz Hernández Flores); no se conoce el número exacto de mujeres involucradas en el servicio de limpia, aunque se considera que su número esté en un rango entre el 10% y 20% del total de los trabajadores de limpia, con mayor concentración en el sector de los barrenderos. Son muy pocas las mujeres que tienen el rol de chofer o machetero [4]. </t>
  </si>
  <si>
    <t>Existe una presencia mayoritaria de mujeres recicladoras en la ciudad de Quito, con una representatividad de más del 70% [1][2][3][4]. En los últimos años, se evidencia un cambio de género en el liderazgo de organizaciones a nivel local y nacional. La RENAREC cuenta con una directiva conformada en más de 75% por mujeres desde los últimos 3 años, así como también, el 100% de las asociaciones de recicladores de base de Quito son presididas por mujeres [3].   
A pesar de estos significativos datos que presentan una alta representatividad de género femenino en la toma de decisiones de organizaciones formales de recicladores, no se han presentado proyectos/programas e incentivos para motivar y fortalecer la participación y empoderamiento de mujeres en cargos directivos [3].</t>
  </si>
  <si>
    <t>Pese a que no existen organizaciones de carácter político en Sao Paulo, la participación de las mujeres dentro de las cooperativas depende de sus características  y de su ubicación  [1]. Varias de las asociaciones pueden tener participación de hasta un 75% de mujeres [2]. Por ejemplo, 10 de las 15 cooperativas apoyadas por la ONG Reciclázaro son lideradas por mujeres, quienes trabajan por ampliar y fortalecer su participación en el reciclaje [3].</t>
  </si>
  <si>
    <t>El nivel de representación de las mujeres es alto:  el 80% de los recolectores son mujeres en la Red de Recolectores Santa Cruz Santa Cruz y Recicladores Bolivia, en Arericruz son el 50%. La directiva de Red de recolectoras esté compuesta por 3 mujeres (entre ellas la presidenta) y un hombre; la de Recolectores Bolivia por un hombre (que ejerce de presidente) y dos mujeres. [1] [2] Arericruz tiene un formato diferente y hay un único  representante que es un hombre. [3]
La presidenta de Red de Recolectores Santa Cruz cuando acude a una reunión o acto intenta que se presenten también presidentas de sus asociaciones adheridas (aunque sean asociaciones no establecidas legalmente), aunque no estén en el equipo directivo.  
Sin embargo, en los estatutos no hay una mención expresa a la promoción directiva de las mujeres, ni tampoco se realizan capacitaciones en ningún ámbito.</t>
  </si>
  <si>
    <t xml:space="preserve">No se evidencia una participación formal de las organizaciones de recicladores en la cadena de valor de reciclaje en Quito (servicio de recolección diferenciada, transporte, acopio/clasificación y negociación). Sin embargo, existe una relación logística entre asociaciones de recicladores  y Municipio a través de los CEGAM, donde se llega recolectar y comercializar 200 ton/mes [1][2][3][6]. Es importante mencionar que no se evidencia una relación formal e institucional entre asociaciones de recicladores y municipio, la relación existente entre estos actores corresponde exclusivamente a proyectos y/o programas específicos [2]. 
Algunas organizaciones de recicladores mantienen relaciones operativas con empresas recicladoras, en dónde se logran acuerdos en  términos de logística y precios, sin embargo, no se cuenta con documentos que formalicen esta relación [1][4].  La gran mayoría de organizaciones de recicladores participan activamente con dos actores de la cadena de valor de reciclaje, los generadores, a través de la compra de material, y los intermediarios, a través de la venta. Es importante mencionar, que en la gran mayoría de casos, no se cuenta con instrumentos que formalicen estas transacciones [1][5]. </t>
  </si>
  <si>
    <t xml:space="preserve">Los recursos con los que se trabaja normalmente son donados por parte de Organizaciones No Gubernamentales (ONG)  o de las industrias cuando aportan maquinaria o recursos aportados por el gobierno, pero no como mecanismos de financiamiento [1]. La industria prefiere otorgar maquinaria en vez de realizar préstamos y la maquinaria normalmente responde a necesidades específicas de sus propios materiales , por ejemplo Tetrapak ha otorgado la maquinaria para el alistamiento del material multicapas, otras organizaciones como Familia otorgan créditos para que solventen una primera vez su capital de trabajo o les entrega bodegas que ellos han arrendado[2] [3]. </t>
  </si>
  <si>
    <t xml:space="preserve">No existen mecanismos de financiamiento formal para organizaciones de recicladores de base a nivel nacional y local [1][2][3][4][5].   En el año 2012 la RENAREC tuvo un programa de fondo semilla para asociaciones de recicladores a nivel nacional, se entregó crédito a 5 organizaciones de recicladores para fomentar procesos productivos como compra de material y equipamiento  [1].  
Desde el año 2015, la RENAREC mantiene reuniones de trabajo con el gobierno nacional con el objetivo de diseñar e implementar un programa a nivel nacional que permita a los recicladores acceder a créditos, de acuerdo a sus capacidades de pago, para desarrollar su actividad. Este convenio está aún en negociación [1]. 
Por otro lado, en Quito, algunas empresas recicladoras tienen mecanismos de adelantos económicos a modo de préstamo a organizaciones de recicladores de base. Estos desembolsos no forman parte de un sistema formal entre actores de la cadena de valor, y por ende, no logran impactos significativos en la eficiencia productiva de las organizaciones de recicladores [1][4].
</t>
  </si>
  <si>
    <t>Las asociaciones han intentado conseguir financiación para sus actividades, pero no les ha sido posible. Básicamente indican que el hecho de no poseer propiedades y el no disponer de contratos formales con municipalidad o empresas no garantiza a los bancos el que estas devuelvan el dinero prestado y por tanto no se les otorga ese crédito.  [1]</t>
  </si>
  <si>
    <t>En el 90% de los casos, el acceso al material es en las calles antes del paso del vehículo recolector o en los contenedores de residuos [1][2]; también se dan casos de convenios con establecimientos públicos, comercios, instituciones educativas, conjuntos residenciales que ha cambio de recurso económicos, limpieza o campañas educativas entregan el material a los recicladores[2].
Sin embargo, es importante señalar que la separación de residuos en la vía pública está prohibido y es multado por el Decreto Distrital 349 de 2014 (Comparendo Ambiental), el cual indica en los numerales 06 y 07 del artículo 7 que es una infracción:
"06.Destapar y extraer, parcial o totalmente, sin autorización alguna, el contenido de las bolsas y recipientes para la basura, una vez colocados para su recolección, en infracción a las normas sobre recuperación y aprovechamiento vigentes.
07. Romper, rasgar, quemar o de cualquier otra manera dañar o destruir las bolsas y recipientes en que los residuos sólidos hayan sido almacenados o depositados para ser objeto de recolección, o abrirlos sin volverlos a cerrar debidamente, o extraer de ellos los residuos y dejar el lugar en que se produzca la extracción en un estado de aseo peor a aquél en que se encontraba".
Sin embargo, cabe resaltar que el artículo 1  del Decreto 539 de 2014 indica que la interpretación de las infracciones anteriormente mencionadas no podrá impedir el ejercicio de la actividad de reciclaje, salvo que estas conductas representen riesgo a la salud pública y al medio ambiente. En la forma en que los recicladores llevan a cabo su actividad (rompiendo bolsas, esparciendo residuos en la vía pública) aplican los anteriores numerales, ya que afecta la salud pública, incluyéndose los mismos.</t>
  </si>
  <si>
    <t xml:space="preserve">No existe recolección diferenciada en el municipio [4]. Por otra parte,  las organizaciones de recicladores cuentan con convenios con grandes generadores o multiusuarios quienes les entregan el material separado en la fuente [1] [2] [3].
El Plan de Gestión Integral de Residuos Sólidos actualizado contempla estrategias para llevar a cabo recolección selectiva y que el material aprovechable sea recolectado por organizaciones de recicladores [4]. 
</t>
  </si>
  <si>
    <t>En Brasil, la recolección selectiva de residuos con inclusión a recicladores es preferencial  para las municipalidades bajo una política pública que fue inicialmente incorporada en 2007 por la Política Nacional de Saneamiento Básico  [1]. Para el caso de San Pablo,  93 de los 96 distritos cuentan con recolección diferenciada de residuos. La municipalidad tiene convenios con 22 cooperativas de recicladores quienes llevan a cabo esta recolección. Las empresas de aseo se encargan de la recolección de los residuos no aprovechables mientras que los recicladores recolectan los residuos reciclables en zonas residenciales. [2]</t>
  </si>
  <si>
    <t>De los 12 distritos urbanos de Santa Cruz de la Sierra la recolección selectiva se ha implantado en 5 de ellos [1]. La recolección selectiva municipal involucra a recicladores de base a través de la contratación, como personal de la compañía de aseo urbano Vega Solvi, de 36 recolectores. Forman parte del  personal de la compañía, no del municipio. Actuamente, y hasta finales del 2017, está en marcha un asesortamiento institucional por parte de las organizaciones Swisscontact (cooperación suiza) y GIZ (Cooperación alemana) para la implantación de la recolección selectiva de residuos de escombros, aparatos eléctricos y electrónicos, y otros residuos voluminosos. Este  asesoramiento se está realizando a personal de la municipalidad y de EMACRUZ, y no implica la participacióin de recicladores. [2]
Así pues se puede decir que no involucra directamente a recicladores de base, pues una vez contratados dejan de ser recicladores pasando a ser empleados. La involucración de los recicladores se daría si se les contratara el servicio directamente a las asociaciones.</t>
  </si>
  <si>
    <t xml:space="preserve">Los recicladores tienen acceso a instalaciones para el almacenamiento y la clasificación de materiales. El Distrito les ha entregado en comodato   4 bodegas públicas en las cuales se lleva a cabo la clasificación y separación [1]. Sin embargo, los recicladores llevan a cabo la separación de los residuos en la acera, abriendo las bolsas y retirando el material que pueden comercializar [2]. </t>
  </si>
  <si>
    <t xml:space="preserve">El nivel de desarrollo técnico depende de la organización. Normalmente todas tienen al menos una compactadora para entregar los materiales prensados por temas de espacio, algunas otras organizaciones cuentan con moledoras y en su mayoría cuentan con un vehículo para recolectar a grandes generadores [1].
Sin embargo en general, el nivel de tecnificación de las organizaciones es medio bajo, la razón principal es que deben pagarse altos costos de arrendamiento que no permiten que se hagan inversiones en otros equipos [2]. </t>
  </si>
  <si>
    <t xml:space="preserve">El nivel de desarrollo técnico alcanzado en la clasificación (o pre-procesamiento) de materiales reciclables por parte de la mayoría de agrupaciones de recicladores en Quito, es bajo [1][2][3][4][5]. La mayoría de centros de acopio son pequeñas bodegas o patios de las viviendas de los recicladores, donde no tienen suficiente espacio, el trabajo es precario, y por ende se da ninguna actividad de procesamiento o agregación de valor a los residuos recuperados [1][2][4][5]. 
Se puede considerar que las organizaciones de recicladores que trabajan en los CEGAM tienen un nivel de desarrollo técnico medio, pues tienen maquinaria básica que les permite entregar el material con algún tipo de valor agregado, sobre todo compactación. [1][2][3].                                                                 
</t>
  </si>
  <si>
    <t>En los últimos años se evidencia un crecimiento y fortalecimiento significativo de la industria de reciclaje en el Ecuador: en el periodo 2012-2014 hubo una inversión de más de US$ 200 millones, principalmente, en el sector de reciclaje de papel/cartón, chatarra y PET [1].  En el procesamiento de papel y cartón se cuenta con la presencia de 4 empresas principalmente que recuperan un aproximado de 183.000 ton/año que representa el 53% de su demanda, del cual los recicladores de base recuperan el 29% [2]. En el sector de la chatarra, se cuenta con 3 empresas representativas, y se recupera un aproximado de 408.000 ton/año, que representa el 70% de su demanda, y en dónde los recicladores de base recuperan el 2%  [2]. En el sector de PET, se cuenta con 4 empresas recicladoras, que recuperan un aproximado de 48.300 ton/año que representa el 99% de la demanda, y en dónde los recicladores de base recolectan el 31% [2]. En cuanto al vidrio, en base a información del Ministerio del Medioambiente (MAE), actualmente existen 105.504 toneladas de botellas y envases de vidrio en el mercado del país de las cuales apenas se recicla el 19%. Con la política planteada por el MAE la meta es llegar a reciclar un mínimo del 80% de lo puesto en el mercado a seis años plazo [3].</t>
  </si>
  <si>
    <t xml:space="preserve">Los recicladores que se formalizan para hacer la recolección de residuos sí pueden participar en la recolección de los grandes productores a partir de la obligación de esos productores a tener un sistema de gestión de residuos teniendo contratado a un gestor formal. Algunos recicladores individuales después de contactar con generadores de residuos (o de cambiar la relación con comercios con los que ya venían trabajando) y hacer sus cálculos se compraron un pequeño camión y se formalizaron para dar ese servicio. [1] [2] [3] Sin embargo, no hay contratos en el marco del servicio municipal de aseo. </t>
  </si>
  <si>
    <t>En la actual licitación del servicio de aseo urbano no está contemplada la contratación de asociaciones de recicladores. A partir de la nueva licitación, a convocar en 2018, cabría la posibilidad de que las asociaciones de recicladores pudiesen participar en algunos servicios concretos. Los técnicos municipales avalan la contratación de los recicladores, por ejemplo, en la planta de clasificación de Normandía, o en el servicio de recolección diferenciada.  Por otro lado, las asociaciones de recicladores están trabajando en la planta de Normandía con un contrato, pero firmado con la empresa concesionario, no con el municipio.[1]</t>
  </si>
  <si>
    <t xml:space="preserve">No existen mecanismos de pago periódico fijo para los recicladores de base por servicios prestados. 
Existe lo que podría decirse un pago anticipado en la forma de que ECOPET, empresa recicladora industrial del plástico PET. Dado que su maquinaria de troceado requiere que las botellas estén con un cierto grado de compactación, ECOPET entregó, en usufructo y a cambio de su correcta manutención, una prensa a una empresa transportista y con el tiempo ha pasado a propiedad de la empresa [3]
Hay que diferenciar dos grupos de recicladores, pues:
- Los clasificadores que están trabajando en las plantas de selección de envases reciben una cantidad económica que varía mes a mes. Los clasificadores venden los materiales que les llegan a las plantas de clasificación y el importe es para ellos. Los costes de amortización, operativos y de mantenimiento de las plantas corren a cargo del Fideicomiso (compuesto por la Intendencia Municipal de Montevideo, el MIDES y la Cámara de Industria), que además aporta una cantidad variable cada mes para que los clasificadores ingresen un mínimo de 18.000 pesos (641US$) mensuales. Si con las ventas ingresan esa cantidad mínima, no se aporta nada.
- El resto de recicladores, estén en cooperativas o trabajan individualmente en la calle, estos no reciben pagos fijos. [1] [2]
</t>
  </si>
  <si>
    <t xml:space="preserve">Los 62 recicladores de la cooperativa Coopercaps, que laboran en las Centrales de Reciclaje, reciben un pago mensual por su vinculación directa como operarios, mientras que los recicladores informales que llevan a cabo la recolección en las calles y aquellos que realizan recolección selectiva en la ciudad, no cuentan con mecanismos de pago periódicos, ya que su pago depende de la venta de la cantidad de material recolectado [1][2].
Sin embargo, hay casos de pago a los recicladores por servicios de educación ambiental por el municipio, empresa o institución, pago por la administración de Puntos de entrega de materiales reciclables, por servicios ambientales y por destinación correcta [3].
Adicionalmente, la Prefeitura de Sao Paulo, en 2016 formalizó el contrato y la remuneración a las cooperativas que están vinculadas a la misma, destinando US$ 1,314 para el pago de su salario por servicio prestado [4]. </t>
  </si>
  <si>
    <t>Los recicladores no reciben ninguna remuneración fija. Operan en la planta de Normandía, donde reciben ingresos que proceden únicamente de la venta de los materiales clasificados. Tampoco pagan gastos operativos ni de mantenimiento de la misma planta. [1]</t>
  </si>
  <si>
    <t>Tanto la Intendencia de Montevideo como el Ministerio de Desarrollo Social (MIDES) están intentando buscar una diversificación de las tareas de los recicladores en otras tipologías laborales, fuera de las tareas de reciclaje. [1]  Hay acciones de la Intendencia, sin que sean regulares ni dentro de ningún marco legal, en un acuerdo con el Instituto Nacional de Empleo y Formación Profesional (INEFOP), para la promoción de la inserción de los recicladores en otros sectores de la economía, como la construcción y la alimentación. [2]</t>
  </si>
  <si>
    <t>En San Pablo, no existen programas de diversificación de los servicios prestados por recicladores en actividades de aseo, pero si de actividades de servicios ambientales, como programas de educación ambiental prestados al municipio, empresas o instituciones [1]. Dentro de las cooperativas, mientras algunos salen a las calles a recolectar materiales, otros cumplen las actividades administrativas de la cooperativa, y rotan cada vez que lo acuerdan, pero siempre cumplen su rol como reciclador[2].</t>
  </si>
  <si>
    <t>No hay programas de diversificación establecidos en Santa Cruz. [1]
La Red de Recolectores Santa Cruz ha establecido acuerdos con empresas locales (Aguas del Urubó y Mendocina, ambas de bebidas) para recogerles los residuos de descartes de la producción y otros asimilables a urbanos de sus instalaciones, siendo esa una diversificación no del trabajo en sí, pero sí del cliente, están pasando a dar servicios a empresas y no tan sólo a la municipalidad [2]</t>
  </si>
  <si>
    <t>Los recicladores reciben en promedio 600 mil pesos al mes por la venta del material y por la remuneración a partir de la tarifa que pagan los usuarios, sin embargo este valor no incluye prestaciones sociales [1]. En comparación con el salario mínimo,  de $689.455 pesos colombianos/mes, este valor corresponde al 87%. [2]</t>
  </si>
  <si>
    <t>En el año 2014, el ingreso mensual por reciclador en promedio a nivel nacional fue de US$ 230 [1], en el mismo año el salario básico unificado (SBU) a nivel nacional fue de US$ 340 [2] ,y por ende, el porcentaje de ingreso promedio de recicladores de base comparado con el SBU fue del 67.65% .  Actualmente, el salario básico unificado (SBU) en el Ecuador es de US$ 366 en el 2016 [3], y el ingreso promedio de un reciclador de base es de USD 180 mensuales [4], lo que corresponde al 49,18% del SBU. La diferencia significativa en ingreso promedio mensual percibido por recicladores de base, corresponde principalmente a la caída de precios de petróleo a nivel mundial, y a la recesión económica del Ecuador.</t>
  </si>
  <si>
    <t>El salario mínimo nacional en Brasil es de 880 Reales [1]. El ingreso promedio de un reciclador es de  600 Reales [2]. Esto representa un 68% de ingreso salarial de los recicladores frente al salario nacional.</t>
  </si>
  <si>
    <t>No hay datos concretos sobre trabajo infantil para la ciudad de Montevideo. Sin embargo dentro del Plan de Atención Nacional a la Emergencia Social (PANES) que estuvo vigente entre 2005 y 2007,  se calculaba que había al menos 570 menores que trabajan en la clasificación de residuos en Uruguay. Aunque se reconocía en él y se reconoce hoy en día que es muy difícil obtener datos reales. Además en el PANES no estaban registrados todos los recicladores. Cabe destacar también que gran parte del trabajo infantil se realiza dentro del hogar, en las tareas propias de la clasificación secundaria, por lo que resulta invisible a la mayor parte de la sociedad. [1] [2] [3] [4].</t>
  </si>
  <si>
    <t xml:space="preserve">En las cooperativas de Sao Paulo no existe trabajo infantil [1]. Sin embargo, se han evidenciado casos de este tipo en el reciclaje informal [2]. Existen cooperativas y ONGs que realizan programas para alfabetizar y fomentar la inserción escolar de hijos de recicladores, como es el caso de COOPAMARE y la ONG Caritas[3]. También se han desarrollado actividades recreativas con niños que han trabajado en el reciclaje informal para difundir sus derechos y deberes e incentivarlos a acceder a la educación [4]. </t>
  </si>
  <si>
    <t xml:space="preserve">No hay una política definida para introducir el enfoque de género a las organizaciones. En la práctica se otorga un tiempo de descanso a las mujeres embarazadas, pero dado que no es remunerado la familia debe asumir este costo, por lo cual las mujeres trabajan en estado de embarazo hasta el nacimiento; adicionalmente se cuenta con guardería en horarios diurnos [1].
Por otra parte, el Distrito otorgará una ayuda para reemplazar los vehículos de tracción humana, lo cual beneficiaría principalmente a las mujeres. Sin embargo, esto tardará ya que primero deben llevarse a cabo los estudios de salud ocupacional [2]. </t>
  </si>
  <si>
    <t>El enfoque de género en las condiciones de trabajo  es bajo. En las plantas de clasificación se dispone de baños diferenciados y se reciben capacitaciones en ámbitos de convivencia, trabajo conjunto, pero no en aspectos de género. Esta situación es muy diferente en el resto de los clasificadores donde no hay ni tan sólo baños diferenciados, pues no hay lugares de almacenamiento, ni baños, más allá de los propios hogares. [1] [2] [3].  El PANES, calculaba que el 21,4% de los clasificadores inscritos en el mismo eran mujeres. [4]</t>
  </si>
  <si>
    <t>El vertedero Cateura, opera como relleno sanitario desde 1984 y según los planes iniciales debería haber sido cerrado en 1999. Sin embargo, el mismo sigue operando hasta la fecha. Las inundaciones del 2015 volvieron a poner el tema de discusión de cierre de Cateura como una prioridad ya que se temía que la crecida del rio desborde el vertedero. Durante las discusiones de cierre de Cateura se contempló que los recicladores sigan trabajando en el lugar por un periodo de varios años. [1,2,3]
El Plan Maestro de Gestión Integral de Residuos Sólidos Urbanos para el Área Metropolitana de Asunción propone que Cateura opere hasta el 2020 y que se transforme parte del area que ocupa actualmente en una Estación de Transferencia combinada con Planta de Separación y Clasificación (ET/PS), a fin de transferir todos los residuos solidos urbanos generados en Asunción al Relleno Sanitario de El Farol o aquel que se implemente por parte del concesionario actual (EMPO). [4]</t>
  </si>
  <si>
    <t>En Bogotá no existen vertederos a cielo abierto. Sin embargo, a nivel nacional no existen estos planes. Se esta trabajando en un piloto en el Pacifico Colombiano y desde el Ministerio de Vivienda, Ciudad y Territorio se han enviado comentarios al Departamento Nacional de Planeación para que el CONPES incluya una estrategia especifica con recursos destinados para esta labor [1].</t>
  </si>
  <si>
    <t>Quito cerró el botadero a cielo abierto en el año 2003, y por ende, no se cuenta con planes inclusivos con respecto a esta temática [1][2][4]. Sin embargo, la Empresa Pública Metropolitana de Gestión Integral de Residuos Sólidos (EMGIRS EP), empresa municipal encargada de la operación de las Estaciones de Transferencia Sur y Norte; de las Escombreras de El Troje y Piedras Negras; y del Relleno Sanitario del Distrito Metropolitano de Quito (DMQ)  ha empezado un proceso de contratación para la planta de clasificación y selección de material reciclable en la Estación de Transferencia Sur, en dónde, se ha contratado a 17 recicladores de base como operarios de la misma [3].</t>
  </si>
  <si>
    <t>Se dispone de un relleno sanitario, el de Normandía, no de botaderos a cielo abierto. Al cierre de Normandía se creará un nuevo relleno sanitario [1].  Hay identificados puntos de vertido incontrolado (o basurales)  y se está trabajando para su limpieza y cierre definitivo pues causan suciedad, olores e incendios incontrolados. [2] Hay planes inclusivos en otros lugares del país donde sí hay vertederos a cielo abierto. [3]</t>
  </si>
  <si>
    <t xml:space="preserve">Dependiendo de la recolección existen procedimientos de seguridad en el sitio, sin embargo en general no cuenta con esta clase de procedimiento [1]. El distrito a través de la Secretaría de Salud realiza eventualmente exámenes y realiza planes de vacunación pero no se llevan a cabo con regularidad[2].
Elsta institución adicionalmente, en algunas ocasiones ha entregado uniformes a las diferentes asociaciones  quienes distribuyen la dotación a sus recicladores asociados [2], pero generalmente no se cuenta con elementos de protección personal como guantes, tapabocas y botas[1]. 
En la anterior administración 3.900 recicladores que usaban carretas con animales recibieron una sustitución del vehículo automotor, debido a una política animalista, el 90% de las personas recibió un vehículo automotor y el porcentaje restante recibió auxilio de vivienda o apoyo a un proyecto productivo. Sin embargo, aún existen 13.000 recicladores que tienen vehículos de tracción humana. Dependiendo de la ruta del reciclador él tiene lugares cercanos para clasificar y almacenar, pero usualmente se realiza en las calles [1].
La mayoría de los recicladores que realizan la recolección en la acera no tienen acceso a baños, duchas y zonas de comer, en cambio aquellos que laboran en el centro de acopio sí cuentan con éstas [2]. Aun hace falta fortalecer la separación en la fuente en los usuarios residenciales, ya que aún presentan los residuos peligrosos y especiales  (pilas, luminarias, aerosoles, otros) mezclados con los residuos ordinarios [2].
</t>
  </si>
  <si>
    <t>Este aspecto depende de la organización de la asociación, algunas dotan a los recicladores con guantes, botas y tapabocas. [1] Sin embargo, en la mayoría de los casos no se cumple con ninguno de los criterios [1][2].
Los recicladores se enfrentan a riesgos ocasionados por accidentes de tránsito, cortes por residuos puntiagudos y postura inadecuada gracias a la carencia de equipo de transporte adecuado [3].</t>
  </si>
  <si>
    <t>La situación es mixta: los recicladores cuentan con algunas herramientas. Cabe diferenciar  la situación en la planta de selección de Normandía y la de los recicladores que realizan sus tareas en la calle. En Normandía hay lavabos (aunque no diferenciados), se cuenta con espacio para la selección y almacenamiento de los materiales, y se usan parcialmente elementos de seguridad. Pero eso no es así para la mayoría de los recicladores, que clasifican sus residuos en casa, teniendo a su disposición la escasa infraestructura de higiene de que disponen, usan algunos elementos de seguridad como guantes (y poca cosa más) y no reciclan residuos peligrosos, pero en los que para nada hay análisis de riesgos ni elementos de seguridad en el reciclaje. [1] [2]</t>
  </si>
  <si>
    <t>[1] Consejo Municipal de Santa Cruz de la Sierra "Ley Autonómica Municipal de Aseo Urbano Nº 295" aprobada el 23 de junio de 2016.
http://www.emacruz.com.bo/wp-content/uploads/2016/07/LEY-AUTONOMICA-DE-ASEO-URBANO-295-2016.pdf
[2] Honorable Consejo Municipal de Santa Cruz de la Sierra. Ordenanza Municipal 043/2006. 17 de julio de 2006
http://www.concejomunicipalscz.gob.bo/portal/biblioteca/ordenanzas.php?buscar-por=id&amp;id=OM-2006-043#OM-2006-043
[3] Anónimo. Empresa Municipal de Aseo Urbano de Santa Cruz de la Sierra (EMACRUZ) 10 de octubre de 2016</t>
  </si>
  <si>
    <t>[1] Flores, Laura Emilce. Dirección General de Salud Ambiental, Ministerio de Salud Publica y Bienestar Social. 8 de Septiembre de 2016
[2] Villarejo, Sebastián. Consejal Municipal, Municipalidad de Asunción. 16 de Septiembre de 2016</t>
  </si>
  <si>
    <t>[1]  Gutiérrez, Juan Carlos. Gerente de Ekored. 20 de septiembre de 2016.
[2]  Entrevistas a dos  expertos de CEMPRE.  23 de Septiembre 2016.
[3] Marín, Carolina. Asesora de la dirección de desarrollo sectorial del Viceministerio de Agua y Saneamiento Básico del Ministerio de Vivienda, Ciudad y Territorio. 3 de octubre de 2016. 
[4] Ruiz, Silvio. Líder de la Asociación de Recicladores de Bogotá. 20 de septiembre de 2016.</t>
  </si>
  <si>
    <t xml:space="preserve">[1]  Korber, Mira. 2014. "El Recuperador Urbano Reconstruido: Una perspectiva Crítica sobre la Gestión de Residuos Urbanos en Buenos Aires y las Nuevas Políticas Públicas de "Ciudad Verde". [http://digitalcollections.sit.edu/cgi/viewcontent.cgi?article=3014&amp;context=isp_collection]
[2] Entrevista con Alejandro Valiente, Militante del Movimiento de Trabajadores Excluidos (MTE), acompañante técnico de la Cooperativa el Amanecer de los Cartoneros y de la Federación Argentina de Cartoneros y Recicladores (FACYR). 
[3] Entrevista con Alicia Montoya, Responsable Técnica Cooperativa El Álamo. 22 de septiembre de 2016.
[4] Entrevista con Pablo Schamber, Antropólogo Investigador del Consejo Nacional de Investigaciones Científicas y Técnicas (CONICET) - Universidad Nacional de Quilmes / Universidad Nacional de Lanús.
</t>
  </si>
  <si>
    <t>[1] Gentini, MariCarmen. Área social de la División Limpieza de la Intendencia de Montevideo (IM) 19 de octubre de 2016
[2] Observatorio Territorio Uruguay. Territorio y Municipios en Uruguay http://www.otu.opp.gub.uy/sites/default/files/docsBiblioteca/arquisur_n02_52_71.pdf
[3] Beledo, Leticia. Asesora de la División Limpieza de la Intendencia de Montevideo. 26 de octubre de 2016</t>
  </si>
  <si>
    <t>[1]  Soler, Fabricio. FELSBERG Advogados. 14 de octubre de 2016.
[2] Gomes Prol Otero, Gabriela. Coordinadora técnica. Abrelpe. 13 de octubre de 2016.
[3]  Amorin, Davi. Representante de comunicaciones. Movimiento Nacional dos Catadores de Materiais Reciclaveis. 13 de octubre de 2016. 
[4] Guimarães da Silva, Anderson. Coordinador. Serviço Franciscano de Solidariedade Sefras Reciclagem - Recifran. 26 de octubre de 2016.
[5] Carletti, Camile. Coordinadora de proyectos sociaambientales. Reciclazaro. 25 octubre de 2016.
[6] Ministerio de Medio Ambiente. Comisión Interministerial para la Inclusión de Recicladores. Publicado en 2014 [http://www.mma.gov.br/cidades-sustentaveis/residuos-solidos/catadores-de-materiais-reciclaveis/comite-interministerial-para-inclusao-dos-catadores]</t>
  </si>
  <si>
    <t xml:space="preserve">[1] González, Carolina. Asesora de la Subdirección de Aprovechamiento de la Unidad Administrativa Especial de Servicios Públicos  UAESP. 20 de septiembre de 2016. 
[2] Unidad Administrativa Especial de Servicios Públicos - UAESP. "Plan de Gestión Integral de Residuos Sólidos 2016-2027". Publicado en diciembre de 2015. [http://pagdll.uaesp.gov.co/index.php/plan-de-gestion-integral-de-residuos-solidos-pgirs-final/13-aprovechamiento]
[3] Unidad Administrativa Especial de Servicios Públicos - UAESP. "Plan de Gestión Integral de Residuos Sólidos - PGIRS. Actualización". Publicado en septiembre de 2016. [http://www.uaesp.gov.co/images/1Actualizacion%20PGIRS%20VF%20-%20300916.pdf]
[4] Unidad Administrativa Especial de Servicios Públicos - UAESP. "Informe del plan de inclusión para el segundo trimestre de 2016". Publicado en junio de 2016
</t>
  </si>
  <si>
    <t>[1] Buenos Aires Ciudad. Dirección de Políticas de Reciclado Urbano (DGREC). [http://www.buenosaires.gob.ar/areas/med_ambiente/higiene_urbana/separacion_reciclado.php?menu_id=22655]
[2] Legislatura de la Ciudad Autónoma de Buenos Aires "Ley N° 5495 / 15: Presupuesto de la Administración del Gobierno de la Ciudad Autónoma de Buenos Aires" [http://www.buenosaires.gob.ar/hacienda/presupuesto/distribucion-presupuestaria-ano-2016] 
[3] Presupuesto Jurisdiccional - Ministerio de Ambiente y Espacio Público. [http://www.buenosaires.gob.ar/hacienda/presupuesto/distribucion-presupuestaria-ano-2016]. 
[4] Entrevista con Alicia Montoya, Responsable Técnica Cooperativa El Álamo. 22 de septiembre de 2016.
[5] Entrevista con Roberto Felicetti, Director Cooperativa Trabajo y Dignidad. 6 de octubre de 2016.
[6] Entrevista con Pablo Schamber, Antropólogo Investigador del Consejo Nacional de Investigaciones Científicas y Técnicas (CONICET) - Universidad Nacional de Quilmes / Universidad Nacional de Lanús.
[7] Entrevista con Alejandro Valiente, Militante del Movimiento de Trabajadores Excluidos (MTE), forma parte del equipo técnico de la Federación Argentina de Cartoneros y Recicladores (FACYR). Entrevista con Minakowski, Yamil, Director General de Reciclado, Subsecretaría de Higiene Urbana, Ministerio de Ambiente y Espacio Público. Gobierno de la Ciudad Autónoma de Buenos Aires. 7 de Octubre de 2016.</t>
  </si>
  <si>
    <t>[1] Gentini, MariCarmen. Área social de la División Limpieza de la Intendencia de Montevideo (IM) 19 de octubre de 2016</t>
  </si>
  <si>
    <t>[1] Anónimo. Empresa Municipal de Aseo Urbano de Santa Cruz de la Sierra (EMACRUZ) 10 de octubre de 2016
[2] Anónimo.Secretaría Municipal de Medio Ambiente de Santa Cruz de la Sierra.   8 de octubre de 2016</t>
  </si>
  <si>
    <t xml:space="preserve">[1] Legislatura de la Ciudad Autónoma de Buenos Aires. "Ley N° 992 / 02 [http://www.buenosaires.gob.ar/areas/leg_tecnica/sin/normapop09.php?id=31157&amp;qu=c&amp;ft=0&amp;cp=&amp;rl=1&amp;rf=0&amp;im=&amp;ui=0&amp;printi=&amp;pelikan=1&amp;sezion=796791&amp;primera=0&amp;mot_toda=&amp;mot_frase=&amp;mot_alguna=]
</t>
  </si>
  <si>
    <t>[1] Junta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
[2] Rotela, Eduardo. Director Fundación Avina. 6 de Septiembre de 2016
[3] Villarejo, Sebastián. Consejal Municipal, Municipalidad de Asunción. 16 de Septiembre de 2016</t>
  </si>
  <si>
    <t>[1] Legislatura de la Ciudad Autónoma de Buenos Aires. "Ley N° 992 / 02 [http://www.buenosaires.gob.ar/areas/leg_tecnica/sin/normapop09.php?id=31157&amp;qu=c&amp;ft=0&amp;cp=&amp;rl=1&amp;rf=0&amp;im=&amp;ui=0&amp;printi=&amp;pelikan=1&amp;sezion=796791&amp;primera=0&amp;mot_toda=&amp;mot_frase=&amp;mot_alguna=]
[2] Entrevista con Yamil Minakowski, Director General de Reciclado, Subsecretaría de Higiene Urbana, Ministerio de Ambiente y Espacio Público. Gobierno de la Ciudad Autónoma de Buenos Aires. 7 de octubre de 2016.
[3]  Entrevista con Alejandro Valiente, Militante del Movimiento de Trabajadores Excluidos (MTE), acompañante técnico de la Cooperativa el Amanecer de los Cartoneros y de la Federación Argentina de Cartoneros y Recicladores (FACYR). 
[4] Entrevista con Alicia Montoya, Responsable Técnica Cooperativa El Álamo. 22 de septiembre de 2016.
[5]  Gobierno de la Ciudad Autónoma de Buenos Aires. "Boletin Oficial N° 3988: Resolución N.º 978 / MAYEPGC / 12" publicado el 5 de septiembre de 2012. 
[http://boletinoficial.buenosaires.gob.ar/documentos/boletines/2012/09/20120905.pdf]
[6] Gobierno de la Ciudad Autónoma de Buenos Aires. "Boletin Oficial N° 3483: Decreto N.º 636 /10" publicado el 17 de agosto de 2010. 
[http://boletinoficial.buenosaires.gob.ar/documentos/boletines/2010/08/20100817].pdf]</t>
  </si>
  <si>
    <t>[1] De la Cruz, Carolina. Coordinadora Programa de segregación en la fuente. Municipalidad Metropolitana de Lima. 5 de octubre de 2016.
[2] Presidencia del Consejo de Ministros. Ley No. 29332 que crea el plan de incentivos a la mejora de la gestión municipal, publicada en 2009.
[3]Pérez Vélez, Hernán R. Gestión y manejo de residuos sólidos en la Municipalidad Metropolitana de Lima. Marzo 31 de 2016.
[4] Concejo Metropolitano de Lima. Ordenanza No. 1854 para promover, impulsar y regular el reciclaje de los residuos sólidos en la provincia de Lima, publicada en diciembre de 2014.
[5] Paucar, Justo. Líder Reciclador. Los Tigres de las 200 millas. 5 de octubre de 2016
[6] Uscameita, Walter. Líder Reciclador. Asociación de recicladores de Lima. 11 de octubre de 2016.</t>
  </si>
  <si>
    <t>[1] Congreso Nacional. Ley 12305 de 2010 sobre la Política Nacional de Residuos Sólidos. Publicada en agosto de 2010. 
[2]Amorin, Davi. Representante de comunicaciones. Movimiento Nacional dos Catadores de Materiais Reciclaveis. 13 de octubre de 2016. 
[3]Lima, Nathalia. Gestión de proyectos. Giral. 17 de octubre de 2016. 
[4 ] Gomes Prol Otero, Gabriela. Coordinadora técnica. Abrelpe. 13 de octubre de 2016</t>
  </si>
  <si>
    <t xml:space="preserve">[1]Ultima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
[5]Junta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
[6]Rotela, Eduardo. Director Fundación Avina. 6 de Septiembre de 2016
[7] Villarejo, Sebastián. Consejal Municipal, Municipalidad de Asunción. 16 de Septiembre de 2016
[8] Flores, Laura Emilce. Dirección General de Salud Ambiental, Ministerio de Salud Publica y Bienestar Social. 8 de Septiembre de 2016   </t>
  </si>
  <si>
    <t xml:space="preserve">[1] Marín, Carolina. Asesora de la dirección de desarrollo sectorial del Viceministerio de Agua y Saneamiento Básico del Ministerio de Vivienda, Ciudad y Territorio. 3 de octubre de 2016. 
[2] Unidad Administrativa Especial de Servicios Públicos - UAESP. "Plan de Gestión Integral de Residuos Sólidos - PGIRS. Actualización". Publicado en septiembre de 2016. [http://www.uaesp.gov.co/images/1Actualizacion%20PGIRS%20VF%20-%20300916.pdf]
</t>
  </si>
  <si>
    <t xml:space="preserve">[1] Legislatura de la Ciudad Autónoma de Buenos Aires. "Ley N° 992 / 02 [http://www.buenosaires.gob.ar/areas/leg_tecnica/sin/normapop09.php?id=31157&amp;qu=c&amp;ft=0&amp;cp=&amp;rl=1&amp;rf=0&amp;im=&amp;ui=0&amp;printi=&amp;pelikan=1&amp;sezion=796791&amp;primera=0&amp;mot_toda=&amp;mot_frase=&amp;mot_alguna=]
[2] Gobierno de la Ciudad Autónoma de Buenos Aires. "Resolución N° 753 / GCABA / MMAGC / 07"  [http://www.buenosaires.gob.ar/areas/leg_tecnica/sin/normapop09.php?id=107711&amp;qu=c&amp;ft=0&amp;cp=&amp;rl=1&amp;rf=&amp;im=&amp;ui=0&amp;printi=&amp;pelikan=1&amp;sezion=&amp;primera=0&amp;mot_toda=&amp;mot_frase=&amp;mot_alguna=]
[3] Gobierno de la Ciudad Autónoma de Buenos Aires. "Boletin Oficial N° 3653: Disposición N° 13/DGREC/2011" publicado el 29 de julio de 2011. [http://boletinoficial.buenosaires.gob.ar/documentos/boletines/2011/04/20110429.pdf]
[4] Entrevista con Yamil Minakowski, Director General de Reciclado, Subsecretaría de Higiene Urbana, Ministerio de Ambiente y Espacio Público. Gobierno de la Ciudad Autónoma de Buenos Aires. 7 de octubre de 2016.
[5] Entrevista con Alicia Montoya, Responsable Técnica Cooperativa El Álamo. 22 de septiembre de 2016.
[6]  Entrevista con Alejandro Valiente, Militante del Movimiento de Trabajadores Excluidos (MTE), acompañante técnico de la Cooperativa el Amanecer de los Cartoneros y de la Federación Argentina de Cartoneros y Recicladores (FACYR). </t>
  </si>
  <si>
    <t>[1] Anónimo.Secretaría Municipal de Medio Ambiente de Santa Cruz de la Sierra.   8 de octubre de 2016
[2]  Aparicio, Vidal. Presidente de la Fundación Participación Ciudadana  Alivio de la Pobreza (FPAP)  05 de octubre de 2016
[3] AVINA et al. "Gestión de residuos sólidos urbanos con inclusión de recicladores en Bolivia. Su vinculación con el sector público" 2014
http://pasocierto.com/assets/dd8-bo_recolectores_servicio-p%C3%BAblico_bolivia.pdf</t>
  </si>
  <si>
    <t xml:space="preserve">[1] Ministerio de Vivienda, Ciudad y Territorio. "Decreto 1077 de 2015". Publicado en 2015.
[2] Congreso de Colombia." Ley 142 de 1994". Publicada en Julio de 1994
[3] González, Carolina. Asesora de la Subdirección de Aprovechamiento de la Unidad Administrativa Especial de Servicios Públicos  UAESP. 20 de septiembre de 2016. 
[4] Ministerio de Vivienda, Ciudad y Territorio. "Decreto 596 de 2016" Publicado en abril de 2016.
 </t>
  </si>
  <si>
    <t>[1] Gobierno de la Ciudad Autónoma de Buenos Aires. "Boletin Oficial N° 3483: Decreto N.º 636 /10" publicado el 17 de agosto de 2010. 
[http://boletinoficial.buenosaires.gob.ar/documentos/boletines/2010/08/20100817].pdf]
[2] Buenos Aires Ciudad. Ministerio de Ambiente y Espacio Público. "Concurso Público para la contratación del Servicio Público de Higiene Urbana - Fracción Secos" [http://www.buenosaires.gob.ar/areas/med_ambiente/archivos/secos_final.pdf]
[3] Consulta Pública de Residuos Sólidos Urbanos. "Contratos del Servicio Público de Recolección de Residuos Sólidos Urbanos Secos de la CABA" [http://www.residuosurbanos.org.ar/?p=1439]
[4] Poder Ciudadano [http://poderciudadano.org/]
[5] Fundacion Cambio Democrático [http://www.cambiodemocratico.org/]
[6] Consulta Pública de Residuos Sólidos Urbanos [http://www.residuosurbanos.org.ar/]
[7] Consulta Pública de Residuos Sólidos Urbanos. "Documentación" [http://www.residuosurbanos.org.ar/?cat=46]
[8] Entrevista con Alicia Montoya, Responsable Técnica Cooperativa El Álamo. 22 de septiembre de 2016.
[9] Federación Argentina de Cartoneros y Recicladores (FACYR). "Noticias" [http://facyr.org.ar/con-unidad-y-organizacion-derrotamos-la-privatizacion/]
[10] Entrevista con Alejandro Valiente, Militante del Movimiento de Trabajadores Excluidos (MTE), forma parte del equipo técnico de la Federación Argentina de Cartoneros y Recicladores (FACYR).</t>
  </si>
  <si>
    <t>[1] De la Cruz, Carolina. Coordinadora Programa de segregación en la fuente. Municipalidad Metropolitana de Lima. 5 de octubre de 2016.
[2]  De la Torre, Eduardo. Coordinador Programa Basura Cero y Pro-Reciclador. Ciudad Saludable. 20 de septiembre de 2016.
[3] Uscameita, Walter. Líder Reciclador. Asociación de recicladores de Lima. 11 de octubre de 2016.</t>
  </si>
  <si>
    <t>[1] Gentini, MariCarmen. Área social de la División Limpieza de la Intendencia de Montevideo (IM) 19 de octubre de 2016
[2] Ychuste, Arllene y Clausen, Daniel. Área Recicladores de la Organización San Vicente-Padre Cacho. 14 de octubre de 2016
[3] Soria, Sergio. Integrante de la Comisión Directiva de la Cooperativa Unión de Aglomerado de Polietileno (UCAP) 25 de octubre de 2016
[4] Presentación de la empresa Consorcio Ambiental del Plata (CAP) http://www.teyma.com/web/es/teymamedioambiente/servicios/higiene/index.html
[5] Beledo, Leticia. Asesora de la División Limpieza de la Intendencia de Montevideo. 26 de octubre de 2016</t>
  </si>
  <si>
    <t>[1]Lima, Nathalia. Gestión de proyectos. Giral. 17 de octubre de 2016. 
[2]Soler, Fabricio. FELSBERG Advogados. 14 de octubre de 2016. 
[3] Amorin, Davi. Representante de comunicaciones. Movimiento Nacional dos Catadores de Materiais Reciclaveis. 13 de octubre de 2016. 
[4] Carletti, Camile. Coordinadora de proyectos sociaambientales. Reciclazaro. 25 octubre de 2016.
[5] Caldas Saad de Oliveira, Ana Amélia. A Gestão de Resíduos Sólidos à luz da legislação vigente e da jurisprudência do Tribunal de Contas do Estado de São Paulo. Pubicado en 2013. [https://www4.tce.sp.gov.br/sites/default/files/residuos_solidos_anaamelia.pdf]
[6] Instituto Nenuca de Desenvolvimiento Sustentável. Prestação de Serviços de Coleta Seletiva por Empreendimentos de Catadores: instrumentos metodológicos para contratação. Publicado en 2013. [http://www.insea.org.br/publicacoes/insea-prestacao_servicos_coleta_seletiva-instrumento-metodologico-para-contratacao.pdf]
[7] Guimarães da Silva, Anderson. Coordinador. Serviço Franciscano de Solidariedade Sefras Reciclagem - Recifran. 26 de octubre de 2016.</t>
  </si>
  <si>
    <t>[1] Página web oficial del Sistema de Contratación de Bienes y Servicios (SICOES). https://www.sicoes.gob.bo/portal/index.php
[2] Anónimo. Empresa Municipal de Aseo Urbano de Santa Cruz de la Sierra (EMACRUZ) 10 de octubre de 2016
[3] Santa Cruz Para Todos. http://santacruzparatodos.blogspot.com/2012/12/siete-empresas-se-presentan-reunion-de.html</t>
  </si>
  <si>
    <t>[1] De la Cruz, Carolina. Coordinadora Programa de segregación en la fuente. Municipalidad Metropolitana de Lima. 5 de octubre de 2016.
[2]Municipalidad Metropolitana de Lima. PIGARS de la provincia de Lima 2015 - 2025.
[3] Paucar, Justo. Líder Reciclador. Los Tigres de las 200 millas. 5 de octubre de 2016
[4] Uscameita, Walter. Líder Reciclador. Asociación de recicladores de Lima. 11 de octubre de 2016.</t>
  </si>
  <si>
    <t>[1] Página web de la empresa municipal EMACRUZ http://www.emacruz.com.bo/2016/07/19/emacruz-socializa-ley-municipal-de-aseo-urbano-en-los-distritos/
[2] Aquí se indican todas las socializaciones que se realizaron en su momento https://www.facebook.com/vegasolvi/posts/1124746607568118
[3] Anónimo.  "Recicladores Bolivia". 8 de octubre de 2016</t>
  </si>
  <si>
    <t xml:space="preserve">[1] Legislatura de la Ciudad Autónoma de Buenos Aires. "Ley N° 3709 / 10: Campaña Educativa para el tratamiento de los residuos sólidos urbanos". [http://www.buenosaires.gob.ar/areas/leg_tecnica/sin/normapop09.php?id=165473&amp;qu=c&amp;ft=0&amp;cp=&amp;rl=1&amp;rf=&amp;im=&amp;ui=0&amp;printi=&amp;pelikan=1&amp;sezion=1094340&amp;primera=0&amp;mot_toda=&amp;mot_frase=&amp;mot_alguna=]
[2] Buenos Aires Ciudad. "Escuelas Verdes" [http://www.buenosaires.gob.ar/escuelasverdes/institucional/acciones-y-resultados] 
[3] Entrevista con Alicia Montoya, Responsable Técnica Cooperativa El Álamo. 22 de septiembre de 2016.
[4]  Entrevista con Alejandro Valiente, Militante del Movimiento de Trabajadores Excluidos (MTE), acompañante técnico de la Cooperativa el Amanecer de los Cartoneros y de la Federación Argentina de Cartoneros y Recicladores (FACYR). 
</t>
  </si>
  <si>
    <t>[1] Gentini, MariCarmen. Área social de la División Limpieza de la Intendencia de Montevideo (IM) 19 de octubre de 2016
[2] Instituto de la Seguridad Social de Uruguay. Condiciones que debe cumplir un monotributo, figura de legalización de actividades económicas. http://www.bps.gub.uy/6668/monotributo-ley-18083.html
[3] Soria, Sergio. Integrante de la Comisión Directiva de la Cooperativa Unión de Aglomerado de Polietileno (UCAP) 25 de octubre de 2016</t>
  </si>
  <si>
    <t>[1] Guanoluisa, Laura. Presidenta de RENAREC. 22 de septiembre de 2016. 
[2] Riera, Fernando. Gerente de EMGIRS. 28 de septiembre de 2016. 
[3] Informante Anónimo. 27 de septiembre de 2016.</t>
  </si>
  <si>
    <t>[1] Congreso de Colombia." Ley 142 de 1994". Publicada en Julio de 1994
[2] González, Carolina. Asesora de la Subdirección de Aprovechamiento de la Unidad Administrativa Especial de Servicios Públicos  UAESP. 20 de septiembre de 2016. 
[3] Unidad Administrativa Especial de Servicios Públicos - UAESP. "Plan de Gestión Integral de Residuos Sólidos - PGIRS. Actualización". Publicado en septiembre de 2016. [http://www.uaesp.gov.co/images/1Actualizacion%20PGIRS%20VF%20-%20300916.pdf]
[4]  Ruiz, Silvio. Líder de la Asociación de Recicladores de Bogotá. 20 de septiembre de 2016.
[5] Ministerio de Vivienda, Ciudad y Territorio. "Decreto 596 de 2016" Publicado en abril de 2016.
[6]  Entrevistas a dos  expertos de CEMPRE.  23 de Septiembre 2016.</t>
  </si>
  <si>
    <t>[1] Buenos Aires Ciudad. Ministerio de Ambiente y Espacio Público. "Concurso Público para la contratación del Servicio Público de Higiene Urbana - Fracción Secos" [http://www.buenosaires.gob.ar/areas/med_ambiente/archivos/secos_final.pdf]
[2] Entrevista con Yamil Minakowski, Director General de Reciclado, Subsecretaría de Higiene Urbana, Ministerio de Ambiente y Espacio Público. Gobierno de la Ciudad Autónoma de Buenos Aires. 7 de octubre de 2016.
[3] Entrevista con Alicia Montoya, Responsable Técnica Cooperativa El Álamo. 22 de septiembre de 2016.
[4] Entrevista con Roberto Felicetti, Director Cooperativa Trabajo y Dignidad. 6 de octubre de 2016.
[5] Entrevista con Alejandro Valiente, Militante del Movimiento de Trabajadores Excluidos (MTE), acompañante técnico de la Cooperativa el Amanecer de los Cartoneros y de la Federación Argentina de Cartoneros y Recicladores (FACYR). 
[6] Korber, Mira. 2014. "El Recuperador Urbano Reconstruido: Una perspectiva Crítica sobre la Gestión de Residuos Urbanos en Buenos Aires y las Nuevas Políticas Públicas de "Ciudad Verde". [http://digitalcollections.sit.edu/cgi/viewcontent.cgi?article=3014&amp;context=isp_collection]
[7] Abduca, Ricardo G. 2011. "Acariciando lo áspero: El itinerario cartonero como construcción del territorio". In Francisco M. Suarez y Pablo J. Schamber eds., Recicloscopio II: Miradas sobre recuperadores, políticas públicas y subjetividades en América Latina. Buenos Aires: Ediciones CICCUS.</t>
  </si>
  <si>
    <t>[1] Peña, Cecilia. Directora de Desarrollo Empresarial de EMASEO. 3 de octubre de 2016. 
[2] Riera, Fernando. Gerente de EMGIRS. 28 de septiembre de 2016. 
[3] Guanoluisa, Laura. Presidenta de RENAREC. 22 de septiembre de 2016.   
[4] Pisuña, Elvia. Presidenta de Asociación Nuevo Amanecer. 28 de noviembre de 2016.</t>
  </si>
  <si>
    <t>[1] Anónimo.Secretaría Municipal de Medio Ambiente de Santa Cruz de la Sierra.   8 de octubre de 2016</t>
  </si>
  <si>
    <t>[1] Marín, Carolina. Asesora de la dirección de desarrollo sectorial del Viceministerio de Agua y Saneamiento Básico del Ministerio de Vivienda, Ciudad y Territorio. 3 de octubre de 2016. 
[2] Comisión de Regulación de Agua Potable y Saneamiento Básico - CRA. "Resolución CRA 720 de 2015". Publicada en julio de 2015. 
[3] Ministerio de Vivienda, Ciudad y Territorio. "Decreto 596 de 2016" Publicado en abril de 2016.
[4] González, Carolina. Asesora de la Subdirección de Aprovechamiento de la Unidad Administrativa Especial de Servicios Públicos  UAESP. 20 de septiembre de 2016. 
[5] Gutiérrez, Juan Carlos. Gerente de Ekored. 20 de septiembre de 2016.</t>
  </si>
  <si>
    <t>[1] Gentini, MariCarmen. Área social de la División Limpieza de la Intendencia de Montevideo (IM) 19 de octubre de 2016
[2] Beledo, Leticia. Asesora de la División Limpieza de la Intendencia de Montevideo. 26 de octubre de 2016
[3] Soutera, Federico. Dirección General de Medio Ambiente (DINAMA) Ministerio de Vivienda, Ordenamiento Territorial y Medio Ambiente. 26 de octubre de 2016</t>
  </si>
  <si>
    <t xml:space="preserve">[1] Lima, Nathalia. Gestión de proyectos. Giral. 17 de octubre de 2016. 
[2] Soler, Fabricio. FELSBERG Advogados. 14 de octubre de 2016. 
[3] Gomes Prol Otero, Gabriela. Coordinadora técnica. Abrelpe. 13 de octubre de 2016
[4] AES Eletropaulo. Projetos Eficiência Energética. Publicado en 2013. </t>
  </si>
  <si>
    <t>[1] Anónimo. Empresa Municipal de Aseo Urbano de Santa Cruz de la Sierra (EMACRUZ) 10 de octubre de 2016</t>
  </si>
  <si>
    <t xml:space="preserve">[1] Ychuste, Arllene y Clausen, Daniel. Área Recicladores de la Organización San Vicente-Padre Cacho. 14 de octubre de 2016
[2]Gentini, MariCarmen. Área social de la División Limpieza de la Intendencia de Montevideo (IM) 19 de octubre de 2016
</t>
  </si>
  <si>
    <t>[1] Peña, Cecilia.  Directora de Desarrollo Empresarial de EMASEO. 3 de octubre de 2016. 
[2] Riera, Fernando. Gerente de EMGIRS. 28 de septiembre de 2016. 
[3] EMASEO.Indicadores de Gestión [http://www.emaseo.gob.ec/la-institucion/indicadores-de-gestion/#efd21f6548babf219]   
[4] Guanoluisa, Laura. Presidenta de RENAREC. 22 de septiembre de 2016.   
[5] Arias, Verónica. Secretaria de Ambiente de la Secretaría de Ambiente. 10 de octubre de 2016. 
[6] Secretaría de Ambiente. [www.quitoambiente.gob.ec.]</t>
  </si>
  <si>
    <t xml:space="preserve">[1] Marín, Carolina. Asesora de la dirección de desarrollo sectorial del Viceministerio de Agua y Saneamiento Básico del Ministerio de Vivienda, Ciudad y Territorio. 3 de octubre de 2016. 
</t>
  </si>
  <si>
    <t xml:space="preserve">[1] Buenos Aires Ciudad. "Ciudad Verde: Separación en origen" [http://www.buenosaires.gob.ar/ciudadverde/separacion]
[2] Buenos Aires Ciudad "Guía para la separación de residuos" [http://www.buenosaires.gob.ar/sites/gcaba/files/guia_de_separacion_de_residuos_domesticos_-_gcba_12.pdf]
[3] Buenos Aires Ciudad "Recomendaciones para separar nuestros residuos" [http://www.buenosaires.gob.ar/sites/gcaba/files/recomendaciones_para_separar_nuestros_residuos_-_gcba_2.pdf]
[4] Buenos Aires Ciudad. "Ciudad Verde: Puntos verdes en plazas y parques" [http://www.buenosaires.gob.ar/ciudadverde/separacion/donde/puntos-verdes]
[5] Diario Clarin [http://www.clarin.com/ciudades/basura-separacion_en_origen-reciclaje-multas-sanciones-inspecciones_0_1238876138.html] 
[6]  Reciclaje con inclusión [http://www.reciclajeinclusion.org.ar/noticias/aunque-hay-mas-contenedores-en-la-ciudad-casi-no-se-separa-basura-en-las-casas/]  </t>
  </si>
  <si>
    <t>[1] Gentini, MariCarmen. Área social de la División Limpieza de la Intendencia de Montevideo (IM) 19 de octubre de 2016
[2] Campaña "Mi barrio clasifica", de la Intendencia Municipal de Montevideo. http://www.montevideo.gub.uy/servicios-y-sociedad/limpieza/limpieza-con-vos-lo-estamos-haciendo
[3] Campaña. "Tu envase sirve" de la Intendencia de Montevideo. http://www.montevideo.gub.uy/servicios-y-sociedad/limpieza-y-medio-ambiente/limpieza/tu-envase-sirve
[4] Baraibar, Federico. Director ejecutivo. Compromiso Empresarial para el Reciclaje (CEMPRE). 21 de octubre de 2016
[5] Beledo, Leticia. Asesora de la División Limpieza de la Intendencia de Montevideo. 26 de octubre de 2016</t>
  </si>
  <si>
    <t>[1] Peña, Cecilia.  Directora de Desarrollo Empresarial de EMASEO. 3 de octubre de 2016. 
[2] ReciVeci [http://www.reciveci.ec] 
[3] Redacción Quito. 26 de septiembre de 2016. "Una aplicación que ayuda en el reciclaje". Revista Líderes. Pp
[4] Sorgato, Valeria. 27 de enero 2016. "Una campaña en favor del reciclaje en Quito" El Comercio [http://www.elcomercio.com/tendencias/campana-reciclaje-quito-recicladores-reciveci.html]</t>
  </si>
  <si>
    <t>[1] Presentación del Programa EMACRUZ llama a tu puerta. Documento interno de trabajo, no publicado.
[2] Anónimo. Empresa Municipal de Aseo Urbano de Santa Cruz de la Sierra (EMACRUZ) 10 de octubre de 2016
[3] El Deber. 2016. "Contenedores: Con más espacios en los mercados", 8 de septiembre http://www.eldeber.com.bo/santacruz/contenedores-mas-espacios-mercados.html
[4] https://www.facebook.com/vegasolvi/posts/1124746607568118</t>
  </si>
  <si>
    <t>[1] Decreto Nº 182/013 - Reglamentación para la gestión ambientalmente adecuada de los residuos sólidos industriales y asimilados. http://www.elderechodigital.com/acceso1/legisla/decretos/d1300182.html
[2] Gentini, MariCarmen. Área social de la División Limpieza de la Intendencia de Montevideo (IM) 19 de octubre de 2016
[3] Soutera, Federico. Dirección General de Medio Ambiente (DINAMA) Ministerio de Vivienda, Ordenamiento Territorial y Medio Ambiente. 26 de octubre de 2016.
[4] Secretaría General de la Intendencia Municipal de Montevideo. Resolución 2528/14. 2014 http://www.montevideo.gub.uy/asl/sistemas/gestar/resoluci.nsf/9c58528e7d7b0c24832579430045924a/b79e2e696bfd2ae183257d1700637538?OpenDocument</t>
  </si>
  <si>
    <t>[1]  Ruiz, Silvio. Líder de la Asociación de Recicladores de Bogotá. 20 de septiembre de 2016.
[2] González, Carolina. Asesora de la Subdirección de Aprovechamiento de la Unidad Administrativa Especial de Servicios Públicos  UAESP. 20 de septiembre de 2016. 
[3] Unidad Administrativa Especial de Servicios Públicos - UAESP. "Plan de Gestión Integral de Residuos Sólidos - PGIRS. Actualización". Publicado en septiembre de 2016. [http://www.uaesp.gov.co/images/1Actualizacion%20PGIRS%20VF%20-%20300916.pdf]
[4] Asociación de Recicladores de Bogotá (ARB), sitio web: http://asociacionrecicladoresbogota.org/</t>
  </si>
  <si>
    <t>[1] Federación Argentina de Cartoneros y Recicladores (FACYR) [http://facyr.org.ar/]
[2] Entrevista con Alejandro Valiente, Militante del Movimiento de Trabajadores Excluidos (MTE), forma parte del equipo técnico de la Federación Argentina de Cartoneros y Recicladores (FACYR).
[3] Confederación de Trabajadores de la Economía Popular (CTEP) [http://ctepargentina.org/]
[4] Resumen Latinoamericano. "Argentina: Que es la CTEP". [http://www.resumenlatinoamericano.org/2015/02/08/argentina-que-es-la-ctep/]
[4] Ministerio de Trabajo, Empleo y Seguridad Socal. "Resolución N° 32 / 2016"
[http://servicios.infoleg.gob.ar/infolegInternet/verNorma.do%3Bjsessionid=B90A7BD14D987584CF216CCA84E62479?id=258340]
[5] [http://www.infogremiales.com.ar/reconocimiento-para-los-trabajadores-de-economia-popular/]
[6] Diario Clarin. [http://www.clarin.com/politica/Cristina_Kirchner-Mauricio_Macri-Carlos_Tomada_0_1489651301.html]
[7] Honorable Congreso de la Nación. "Ley N° 23.551: Asociaciones Sindicales" [http://servicios.infoleg.gob.ar/infolegInternet/anexos/20000-24999/20993/norma.htm]</t>
  </si>
  <si>
    <t>[1] Ruiz Ríos, Albina. Presidenta y fundadora de Ciudad Saludable. Publicado en 
[2] Uscameita, Walter. Líder Reciclador. Asociación de recicladores de Lima. 11 de octubre de 2016.</t>
  </si>
  <si>
    <t>[1] Guanoluisa, Laura. Presidenta de RENAREC. 22 de septiembre de 2016.   
[2] Iniciativa Regional para el Reciclaje Inclusivo. 2015. Reciclaje Inclusivo y Recicladores de Base en el Ecuador. [http://reciclajeinclusivo.org/wp-content/uploads/2016/04/Reciclaje-Inlcusivo-y-Recicladores-de-base-en-EC.pdf] 
[3] TeleSur. 19 de marzo de 2015. "Ecuador celebra Día internacional del Reciclador" [http://www.telesurtv.net/news/Ecuador-celebra-Dia-internacional-del-Reciclador-20150319-0040.html]       
[4] RENAREC. [https://renarec.wordpress.com/]</t>
  </si>
  <si>
    <t>[1] Tamayo, Neida. Presidenta y Rivero, Karina Secretaria de la asociación Red de Recolectores Santa Cruz Santa Cruz. 7 y 8 de octubre de 2016
[2] Anónimo.  "Recicladores Bolivia". 8 de octubre de 2016
[3]  Aparicio, Vidal. Presidente de la Fundación Participación Ciudadana  Alivio de la Pobreza (FPAP)  05 de octubre de 2016</t>
  </si>
  <si>
    <t xml:space="preserve">[1]  Instituto Nacional de Asociativismo y Economía Social. [http://www.inaes.gob.ar/]
[2] Entrevista con Alejandro Valiente, Militante del Movimiento de Trabajadores Excluidos (MTE), acompañante técnico de la Cooperativa el Amanecer de los Cartoneros y de la Federación Argentina de Cartoneros y Recicladores (FACYR). </t>
  </si>
  <si>
    <t>[1] Guanoluisa, Laura. Presidenta de RENAREC. 22 de septiembre de 2016. 
[2] Pisuña, Elvia. Presidenta de Asociación Nuevo Amanecer. 28 de noviembre de 2016. 
[3] RENAREC. [https://renarec.wordpress.com/] 
[4] Informante anónimo. 27 de septiembre de 2016.</t>
  </si>
  <si>
    <t>[1] Tamayo, Neida; Presidenta y Rivero, Karina Secretaria; de la asociación Red de Recolectores Santa Cruz. 7 y 8 de octubre de 2016
[2] Anónimo.  "Recicladores Bolivia". 8 de octubre de 2016</t>
  </si>
  <si>
    <t xml:space="preserve">[1] Federación Argentina de Cartoneros y Recicladores (FACYR) [http://facyr.org.ar/]
[2] Alianza Global de Recicladores. [http://globalrec.org/es/]
[3] Federación Argentina de Cartoneros y Recicladores. "Noticias". http://facyr.org.ar/primera-capacitacion-popular-para-los-trabajadores-cartoneros-carreros-y-recicladores-de-todo-el-pais/
[4] Entrevista con Alejandro Valiente, Militante del Movimiento de Trabajadores Excluidos (MTE), acompañante técnico de la Cooperativa el Amanecer de los Cartoneros y de la Federación Argentina de Cartoneros y Recicladores (FACYR). 
[5]  Alianza Global de Recicladores. [http://globalrec.org/es/2014/06/10/cartonera-integrante-de-la-ctep-en-la-conferencia-de-la-oit/]
</t>
  </si>
  <si>
    <t>[1] Guanoluisa, Laura. Presidenta de RENAREC. 22 de septiembre de 2016. 
[2] Pisuña, Elvia. Presidenta de Asociación Nuevo Amanecer. 28 de noviembre de 2016.</t>
  </si>
  <si>
    <t>[1]  Ruiz, Silvio. Líder de la Asociación de Recicladores de Bogotá. 20 de septiembre de 2016.
[2]  Entrevistas a dos  expertos de CEMPRE.  23 de Septiembre 2016.
[3] Marín, Carolina. Asesora de la dirección de desarrollo sectorial del Viceministerio de Agua y Saneamiento Básico del Ministerio de Vivienda, Ciudad y Territorio. 3 de octubre de 2016. 
[4] González, Carolina. Asesora de la Subdirección de Aprovechamiento de la Unidad Administrativa Especial de Servicios Públicos  UAESP. 20 de septiembre de 2016. 
[5] Gutiérrez, Juan Carlos. Gerente de Ekored. 20 de septiembre de 2016.</t>
  </si>
  <si>
    <t xml:space="preserve">[1] Federación Argentina de Cartoneros y Recicladores (FACYR). "Noticias" [http://facyr.org.ar/jornada-cartonera-en-la-legislatura-portena/]
[2] Entrevista con Alicia Montoya, Responsable Técnica Cooperativa El Álamo. 22 de septiembre de 2016.
[3] Federación Argentina de Cartoneros y Recicladores (FACYR). "Noticias" [http://facyr.org.ar/con-unidad-y-organizacion-derrotamos-la-privatizacion/]
[4]  Entrevista con Alejandro Valiente, Militante del Movimiento de Trabajadores Excluidos (MTE), acompañante técnico de la Cooperativa el Amanecer de los Cartoneros y de la Federación Argentina de Cartoneros y Recicladores (FACYR). 
[5] Parlamentario. "Noticias" [http://www.parlamentario.com/noticia-95182.html] 
[6] Instituto Argentino del Envase (IAE) [http://www.packaging.com.ar/web/]
[7] Entrevista a Horacio Martino, Gerente de Medio Ambiente de Tetra Pak y Vicepresidente de CEMPRE Argentina. 2 de octubre de 2016.
</t>
  </si>
  <si>
    <t>[1] Guanoluisa, Laura. Presidenta de RENAREC. 22 de septiembre de 2016. 
[2] Pisuña, Elvia. Presidenta de Asociación Nuevo Amanecer. 28 de noviembre de 2016.
[3] Guerrero, Fabián. Gerente de REPAPERS. 28 de septiembre de 2016.</t>
  </si>
  <si>
    <t>[1] Women in informal employment: Globalizing and organizing. "Bogotá Recycler Nohra Padilla Praised on World Stage". Fecha de publicación desconocida.  
[2] Ruiz, Silvio. Líder de la Asociación de Recicladores de Bogotá. 20 de septiembre de 2016.</t>
  </si>
  <si>
    <t xml:space="preserve">[1] Diario La Voz. [http://www.lavoz.com.ar/temas/el-alamo-despues-del-infierno].
[2] Buenos Aires Ciudad. [http://www.buenosaires.gob.ar/noticias/vecinas-destacadas-de-la-ciudad]
[3] Entrevista con Alejandro Valiente, Militante del Movimiento de Trabajadores Excluidos (MTE), acompañante técnico de la Cooperativa el Amanecer de los Cartoneros y de la Federación Argentina de Cartoneros y Recicladores (FACYR). </t>
  </si>
  <si>
    <t>[1]Ruiz Ríos, Albina. Presidenta y fundadora de Ciudad Saludable. Publicado en 2014
[2] Paucar, Justo. Líder Reciclador. Los Tigres de las 200 millas. 5 de octubre de 2016
[3] Uscameita, Walter. Líder Reciclador. Asociación de recicladores de Lima. 11 de octubre de 2016.</t>
  </si>
  <si>
    <t>[1] Iniciativa Regional para el Reciclaje Inclusivo. 2015. Reciclaje Inclusivo y Recicladores de Base en el Ecuador. 
[2]￼ Secretaría de Ambiente. 2014. "Informe Final: Censo a Gestores Ambientales de Menor Escala en la Ciudad de Quito".  
[3] Guanoluisa, Laura. Presidenta de RENAREC. 22 de septiembre de 2016. 
[4] Peña, Cecilia.  Directora de Desarrollo Empresarial de EMASEO. 3 de octubre de 2016.</t>
  </si>
  <si>
    <t>[1] Guimarães da Silva, Anderson. Coordinador. Serviço Franciscano de Solidariedade Sefras Reciclagem - Recifran. 26 de octubre de 2016.
[2] IPEA. Catadores de Materiais Recicláveis, Um encontro nacional. Publicado en 2016
[3] Carletti, Camile. Coordinadora de proyectos sociaambientales. Reciclazaro. 25 octubre de 2016.</t>
  </si>
  <si>
    <t>[1] Tamayo, Neida; Presidenta y Rivero, Karina Secretaria; de la asociación Red de Recolectores Santa Cruz. 7 y 8 de octubre de 2016
[2] Anónimo.  "Recicladores Bolivia". 8 de octubre de 2016
[3] Anónimo.Secretaría Municipal de Medio Ambiente de Santa Cruz de la Sierra.   8 de octubre de 2016</t>
  </si>
  <si>
    <t>[1] Ruiz, Silvio. Líder de la Asociación de Recicladores de Bogotá. 20 de septiembre de 2016.
[2] Gutiérrez, Juan Carlos. Gerente de Ekored. 20 de septiembre de 2016.</t>
  </si>
  <si>
    <t xml:space="preserve">[1] Buenos Aires Ciudad. "Ciudad Verde" [http://www.buenosaires.gob.ar/ciudadverde/separacion/porque/cooperativas-de-recuperadores-urbanos]
[2] Entrevista con Alejandro Valiente, Militante del Movimiento de Trabajadores Excluidos (MTE), acompañante técnico de la Cooperativa el Amanecer de los Cartoneros y de la Federación Argentina de Cartoneros y Recicladores (FACYR). 
[3] Legislatura de la Ciudad Autónoma de Buenos Aires. "Ley N° 992 / 02 [http://www.buenosaires.gob.ar/areas/leg_tecnica/sin/normapop09.php?id=31157&amp;qu=c&amp;ft=0&amp;cp=&amp;rl=1&amp;rf=0&amp;im=&amp;ui=0&amp;printi=&amp;pelikan=1&amp;sezion=796791&amp;primera=0&amp;mot_toda=&amp;mot_frase=&amp;mot_alguna=]
[4] Buenos Aires Ciudad [http://www.buenosaires.gob.ar/higiene/registro-unico-de-cooperativas-de-trabajo]
[5] Gobierno de la Ciudad Autónoma de Buenos Aires. "Resolución N° 753 / GCABA / MMAGC / 07"  [http://www.buenosaires.gob.ar/areas/leg_tecnica/sin/normapop09.php?id=107711&amp;qu=c&amp;ft=0&amp;cp=&amp;rl=1&amp;rf=&amp;im=&amp;ui=0&amp;printi=&amp;pelikan=1&amp;sezion=&amp;primera=0&amp;mot_toda=&amp;mot_frase=&amp;mot_alguna=]
[6] Instituto Nacional de Asociativismo y Economía Social. [http://www.inaes.gob.ar/]
[7] Observatorio Económico Social de la Universidad Nacional de Rosario. Articulo: INAES. [http://www.observatorio.unr.edu.ar/inaes-instituto-nacional-de-asociativismo-y-economia-social/]
</t>
  </si>
  <si>
    <t>[1] Galvez, Moira. Directora ejecutiva de la Fundación para el Reciclaje (FUNDARE) de la Cámara de Industria, Comercio, Servicios y Turismo de Santa Cruz (CAINCO) 10 de octubre de 2016
[2] Anónimo.Secretaría Municipal de Medio Ambiente de Santa Cruz de la Sierra.   8 de octubre de 2016</t>
  </si>
  <si>
    <t>[1] González, Carolina. Asesora de la Subdirección de Aprovechamiento de la Unidad Administrativa Especial de Servicios Públicos  UAESP. 20 de septiembre de 2016. 
[2] Ruiz, Silvio. Líder de la Asociación de Recicladores de Bogotá. 20 de septiembre de 2016.
[3] Gutiérrez, Juan Carlos. Gerente de Ekored. 20 de septiembre de 2016.
[4] Entrevistas a dos  expertos de CEMPRE.  23 de Septiembre 2016.</t>
  </si>
  <si>
    <t xml:space="preserve">[1] Buenos Aires Ciudad. "Ciudad Verde" [http://www.buenosaires.gob.ar/ciudadverde/separacion/porque/cooperativas-de-recuperadores-urbanos]
[2] Buenos Aires Ciudad. Ministerio de Ambiente y Espacio Público. "Concurso Público para la contratación del Servicio Público de Higiene Urbana - Fracción Secos" [http://www.buenosaires.gob.ar/areas/med_ambiente/archivos/secos_final.pdf]
[3] Entrevista con Alejandro Valiente, Militante del Movimiento de Trabajadores Excluidos (MTE), acompañante técnico de la Cooperativa el Amanecer de los Cartoneros y de la Federación Argentina de Cartoneros y Recicladores (FACYR). 
</t>
  </si>
  <si>
    <t>[1] Paucar, Justo. Líder Reciclador. Los Tigres de las 200 millas. 5 de octubre de 2016
[2] Uscameita, Walter. Líder Reciclador. Asociación de recicladores de Lima. 11 de octubre de 2016.</t>
  </si>
  <si>
    <t>[1]  Gentini, MariCarmen. Área social de la División Limpieza de la Intendencia de Montevideo (IM) 19 de octubre de 2016
[2] Charbonier, Esteban.  Responsable del Programa de Clasificadores. Ministerio de Desarrollo Social (MIDES). 18 de octubre de 2016
[3] Fernández, Lucía. Women in Informal Employment (WIEGO). 21 de octubre de 2016
[4] Rosendo, presidente de la Cooperativa Integral Laboral (CIL). 26 de octubre de 2016</t>
  </si>
  <si>
    <t>[1]  Guanoluisa, Laura. Presidenta de RENAREC. 22 de septiembre de 2016. 
[2]  Riera, Fernando. Gerente de EMGIRS. 28 de septiembre de 2016. 
[3] Peña, Cecilia.  Directora de Desarrollo Empresarial de EMASEO. 3 de octubre de 2016.  
[4] Guerrero, Fabián. Gerente de REPAPERS. 28 de septiembre de 2016. 
[5] Pisuña, Elvia. Presidenta de Asociación Nuevo Amanecer. 28 de noviembre de 2016.  
[6] Arias, Verónica. Secretaria de Ambiente de Secretaría de Ambiente. 10 de octubre de 2016.</t>
  </si>
  <si>
    <t>[1] Ruiz, Silvio. Líder de la Asociación de Recicladores de Bogotá. 20 de septiembre de 2016.
[2] Gutiérrez, Juan Carlos. Gerente de Ekored. 20 de septiembre de 2016.
[3]  Entrevistas a dos  expertos de CEMPRE.  23 de Septiembre 2016.</t>
  </si>
  <si>
    <t>[1] Paucar, Justo. Líder Reciclador. Los Tigres de las 200 millas. 5 de octubre de 2016
[2]Huiman, Alberto. CEO Perú Waste Innovation. 20 de septiembre de 2016.
[3] Uscameita, Walter. Líder Reciclador. Asociación de recicladores de Lima. 11 de octubre de 2016.</t>
  </si>
  <si>
    <t xml:space="preserve">[1]  Guanoluisa, Laura. Presidenta de RENAREC. 22 de septiembre de 2016. 
[2]  Riera, Fernando. Gerente de EMGIRS. 28 de septiembre de 2016. 
[3] Peña, Cecilia.  Directora de Desarrollo Empresarial de EMASEO. 3 de octubre de 2016. 
[4] Guerrero, Fabián. Gerente de REPAPERS. 28 de septiembre de 2016. 
[5] Pisuña, Elvia. Presidenta de Asociación Nuevo Amanecer. 28 de noviembre de 2016.  </t>
  </si>
  <si>
    <t xml:space="preserve">[1] Ruiz, Silvio. Líder de la Asociación de Recicladores de Bogotá. 20 de septiembre de 2016.
[2] Marín, Carolina. Asesora de la dirección de desarrollo sectorial del Viceministerio de Agua y Saneamiento Básico del Ministerio de Vivienda, Ciudad y Territorio. 3 de octubre de 2016.
[3]  Alcalde Mayor de Bogotá.  "Decreto 349 DE 2014". Publicado el 27 de agosto de 2014.
</t>
  </si>
  <si>
    <t xml:space="preserve">[1] Buenos Aires Ciudad. Ministerio de Ambiente y Espacio Público. "Concurso Público para la contratación del Servicio Público de Higiene Urbana - Fracción Secos" [http://www.buenosaires.gob.ar/areas/med_ambiente/archivos/secos_final.pdf]. 
[2] Entrevista con Alejandro Valiente, Militante del Movimiento de Trabajadores Excluidos (MTE), acompañante técnico de la Cooperativa el Amanecer de los Cartoneros y de la Federación Argentina de Cartoneros y Recicladores (FACYR).  </t>
  </si>
  <si>
    <t>[1] Guanoluisa, Laura. Presidenta de RENAREC. 22 de septiembre de 2016.   
[2] Pisuña, Elvia. Presidenta de Asociación Nuevo Amanecer. 28 de noviembre de 2016.    
[3] Guerrero, Fabián. Gerente de REPAPERS. 28 de septiembre de 2016. 
[4] Ordenanza Metropolitana Nº 332, publicado el 12 de agosto de 2010.   [http://www.quitoambiente.gob.ec/ambiente/images/Secretaria_Ambiente/Documentos/calidad_ambiental/normativas/ordm_332_sis_gest_int.pdf.] 
[5] Peña, Cecilia.  Directora de Desarrollo Empresarial de EMASEO. 3 de octubre de 2016.  
[6] Riera, Fernando. Gerente de EMGIRS. 28 de septiembre de 2016. 
[7] Arias, Verónica. Secretaria de Ambiente de Secretaría de Ambiente. 10 de octubre de 2016.</t>
  </si>
  <si>
    <t>[1] Tamayo, Neida; Presidenta y Rivero, Karina Secretaria; de la asociación Red de Recolectores Santa Cruz. 7 y 8 de octubre de 2016
[2] Anónimo.  "Recicladores Bolivia". 8 de octubre de 2016
[3] Anónimo. Empresa Municipal de Aseo Urbano de Santa Cruz de la Sierra (EMACRUZ) 10 de octubre de 2016</t>
  </si>
  <si>
    <t xml:space="preserve">[1] Buenos Aires Ciudad. "Ciudad Verde" [http://www.buenosaires.gob.ar/ciudadverde/separacion/porque/cooperativas-de-recuperadores-urbanos]
[2] Buenos Aires Ciudad. Ministerio de Ambiente y Espacio Público. "Concurso Público para la contratación del Servicio Público de Higiene Urbana - Fracción Secos" [http://www.buenosaires.gob.ar/areas/med_ambiente/archivos/secos_final.pdf]
[3] Buenos Aires Ciudad. [http://www.buenosaires.gob.ar/ciudadverde/separacion/como/generadores-especiales]
[4] Buenos Aires Ciudad. [http://www.buenosaires.gob.ar/ciudadverde/separacion/como]
[5] Diario Pagina 12. [http://www.pagina12.com.ar/diario/sociedad/3-251562-2014-07-26.html]
[6] Entrevista con Alejandro Valiente, Militante del Movimiento de Trabajadores Excluidos (MTE), acompañante técnico de la Cooperativa el Amanecer de los Cartoneros y de la Federación Argentina de Cartoneros y Recicladores (FACYR). </t>
  </si>
  <si>
    <t xml:space="preserve">[1] Fernández, Lucía. Women in Informal Employment (WIEGO). 21 de octubre de 2016
[2]  Gentini, MariCarmen. Área social de la División Limpieza de la Intendencia de Montevideo (IM) 19 de octubre de 2016
[3] Baraibar, Federico. Director ejecutivo. Compromiso Empresarial para el Reciclaje (CEMPRE). 21 de octubre de 2016
[4] Indicación de la prohibición de extraer residuos de los contenedores municipales lahttp://normativa.montevideo.gub.uy/armado/68867
</t>
  </si>
  <si>
    <t>[1] Mapa que muestra los distritos en los que se ha implantado la recolecta selectiva en Santa Cruz https://www.facebook.com/vegasolvi/photos/pcb.1124746607568118/1124746560901456/?type=3&amp;theater
[2] Anónimo. Empresa Municipal de Aseo Urbano de Santa Cruz de la Sierra (EMACRUZ) 10 de octubre de 2016</t>
  </si>
  <si>
    <t xml:space="preserve">[1] Buenos Aires Ciudad. [http://www.buenosaires.gob.ar/ciudadverde/separacion/porque/cooperativas-de-recuperadores-urbanos]
[2]  Entrevista con Alejandro Valiente, Militante del Movimiento de Trabajadores Excluidos (MTE), acompañante técnico de la Cooperativa el Amanecer de los Cartoneros y de la Federación Argentina de Cartoneros y Recicladores (FACYR). 
[3] Buenos Aires Ciudad. [http://www.buenosaires.gob.ar/ciudadverde/separacion/como/generadores-especiales]
</t>
  </si>
  <si>
    <t>[1] Guanoluisa, Laura. Presidenta de RENAREC. 22 de septiembre de 2016. 
[2] Peña, Cecilia.  Directora de Desarrollo Empresarial de EMASEO. 3 de octubre de 2016. 
[3] Riera, Fernando. Gerente de EMGIRS. 28 de septiembre de 2016. 
[4] Pisuña, Elvia. Presidenta de Asociación Nuevo Amanecer. 28 de noviembre de 2016.    
[5] Arias, Verónica. Secretaria de Ambiente de Secretaría de Ambiente. 10 de octubre de 2016.</t>
  </si>
  <si>
    <t>[1] Honorable Congreso Nacional. Ley nº 1333 del Medio Ambiente (y sus reglamentos) 15 de junio de 1992 http://www.ine.gob.bo/indicadoresddhh/archivos/alimentacion/nal/Ley%20N%C2%BA%201333.pdf
[2] Anónimo.Secretaría Municipal de Medio Ambiente de Santa Cruz de la Sierra.   8 de octubre de 2016</t>
  </si>
  <si>
    <t xml:space="preserve">[1]  Diario Pagina 12. [http://www.pagina12.com.ar/diario/sociedad/3-251562-2014-07-26.html]
[2]  Entrevista con Alejandro Valiente, Militante del Movimiento de Trabajadores Excluidos (MTE), acompañante técnico de la Cooperativa el Amanecer de los Cartoneros y de la Federación Argentina de Cartoneros y Recicladores (FACYR). </t>
  </si>
  <si>
    <t>[1]Huiman, Alberto. CEO Perú Waste Innovation. 20 de septiembre de 2016. 
[2]Paucar, Justo. Líder Reciclador. Los Tigres de las 200 millas. 5 de octubre de 2016
[3] Uscameita, Walter. Líder Reciclador. Asociación de recicladores de Lima. 11 de octubre de 2016.</t>
  </si>
  <si>
    <t xml:space="preserve">[1] Guanoluisa, Laura. Presidenta de RENAREC. 22 de septiembre de 2016. 
[2] Peña, Cecilia.  Directora de Desarrollo Empresarial de EMASEO. 3 de octubre de 2016.   
[3] Riera, Fernando. Gerente de EMGIRS. 28 de septiembre de 2016. 
[4] Pisuña, Elvia. Presidenta de Asociación Nuevo Amanecer. 28 de noviembre de 2016.   
[5] Guerrero, Fabián. Gerente de REPAPERS. 28 de septiembre de 2016. 
. </t>
  </si>
  <si>
    <t>[1] Anónimo.  "Recicladores Bolivia". 8 de octubre de 2016</t>
  </si>
  <si>
    <t>[1] Aluna Consultores Limitada; CEMPRE. Estudio Nacional de Reciclaje y Recicladores. Publicado en 2011.</t>
  </si>
  <si>
    <t>[1] Entrevista con Alejandro Valiente, Militante del Movimiento de Trabajadores Excluidos (MTE), acompañante técnico de la Cooperativa el Amanecer de los Cartoneros y de la Federación Argentina de Cartoneros y Recicladores (FACYR). 
[2] Schamber, Pablo. 2011. "Despues de los cartoneros: depósitos, recorteros e industrias en el circuito del reciclaje de papeles y cartones en el Conurbano Bonaerense". In Francisco M. Suarez y Pablo J. Schamber eds., Recicloscopio III: Miradas sobre recuperadores urbanos, formas organizativas y circuitos de valorización. Buenos Aires: Ediciones CICCUS.
[3]  Suarez, Francisco. 2011. "El reciclado del plástico en la Región Metropolitanan de Buenos Aires". In Francisco M. Suarez y Pablo J. Schamber eds., Recicloscopio III: Miradas sobre recuperadores urbanos, formas organizativas y circuitos de valorización. Buenos Aires: Ediciones CICCUS.
[4] Rodriguez, Mónica V. 2011. "Recuperación y reciclado del hierro en la Región Metropolitana de Buenos Aires". In Francisco M. Suarez y Pablo J. Schamber eds., Recicloscopio III: Miradas sobre recuperadores urbanos, formas organizativas y circuitos de valorización. Buenos Aires: Ediciones CICCUS.
[5] Entrevista a Horacio Martino, Gerente de Medio Ambiente de Tetra Pak y Vicepresidente de CEMPRE Argentina. 2 de octubre de 2016.
[6] Observatorio Nacional para la Gestión de Residuos Sólidos Urbanos. [http://observatoriorsu.ambiente.gob.ar/herramientas/6/precios-de-referencia-de-materiales-reciclables]
[7] Conexion Reciclado. [http://recicladores.com.ar/?pagina=4]</t>
  </si>
  <si>
    <t xml:space="preserve">[1] Ley de Fomento Ambiental, [https://www.google.com/url?sa=t&amp;rct=j&amp;q=&amp;esrc=s&amp;source=web&amp;cd=2&amp;ved=0ahUKEwi25q24s87PAhUJ9x4KHbKuAEIQFggjMAE&amp;url=http%3A%2F%2Fwww.sri.gob.ec%2FBibliotecaPortlet%2Fdescargar%2Fd0ca6a6e-af46-466e-bb4e-baef66ba3a18%2FLEY%2BDE%2BFOMENTO%2BAMBIENTAL%2BY%2BOPTIMIZACION%2BDE%2BLOSINGRESOS%2BDEL%2BESTADO%2BS583_20111124.pdf&amp;usg=AFQjCNFpsXNGtLUF1xsHhWCSb9IxFwrvDA&amp;sig2=c0jDSwTN8NvIUXti_dtdAg&amp;bvm=bv.135258522,d.cWw] 
[2] Tobar, Andrés. Funcionario de Compañía Ecuatoriana de Reciclaje S.A. 19 de septiembre de 2016. 
[3] Guanoluisa, Laura. Presidenta de RENAREC. 22 de septiembre de 2016.  
[4] Pisuña, Elvia. Presidenta de Asociación Nuevo Amanecer. 28 de noviembre de 2016.   </t>
  </si>
  <si>
    <t>[1] Anónimo.  "Recicladores Bolivia". 8 de octubre de 2016
[2] Tamayo, Neida; Presidenta y Rivero, Karina Secretaria; de la asociación Red de Recolectores Santa Cruz. 7 y 8 de octubre de 2016
[3] Galvez, Moira. Directora ejecutiva de la Fundación para el Reciclaje (FUNDARE) de la Cámara de Industria, Comercio, Servicios y Turismo de Santa Cruz (CAINCO) 10 de octubre de 2016</t>
  </si>
  <si>
    <t>[1]  Entrevistas a dos  expertos de CEMPRE.  23 de Septiembre 2016.
[2] Gutiérrez, Juan Carlos. Gerente de Ekored. 20 de septiembre de 2016.
[3] Aluna Consultores Limitada; CEMPRE. Estudio Nacional de Reciclaje y Recicladores. Publicado en 2011.
[4] Advantis consultores. Recycling market in Colombia. Report for Center for Clean Air Policy. Publicado en 2011.
[5] Asociación de Industriales de Colombia (ANDI). Cartilla de calidades del material reciclable. Publicado en 2013.</t>
  </si>
  <si>
    <t>[1] Ministerio del Ambiente,  [http://webcache.googleusercontent.com/search?q=cache:DR63COY6ZG4J:reciclajeinclusivo.org/wp-content/uploads/2015/02/Programa-naional-para-la-GIRS-por-Paula-Guerra.pdf+&amp;cd=9&amp;hl=en&amp;ct=clnk] 
[2] Iniciativa Regional para el Reciclaje Inclusivo. 2015. Reciclaje Inclusivo y Recicladores de Base en el Ecuador. [http://reciclajeinclusivo.org/wp-content/uploads/2016/04/Reciclaje-Inlcusivo-y-Recicladores-de-base-en-EC.pdf] 
[3] Minisetrio del Ambiente,  [http://www.ambiente.gob.ec/reciclaje-de-vidrio-del-pais-con-actores-estrategicos-del-sector/]</t>
  </si>
  <si>
    <t xml:space="preserve">[1] Ministerio de Vivienda, Ciudad y Territorio. "Decreto 596 de 2016" Publicado en abril de 2016.
[2] Congreso de Colombia." Ley 142 de 1994". Publicada en Julio de 1994.
[3] González, Carolina. Asesora de la Subdirección de Aprovechamiento de la Unidad Administrativa Especial de Servicios Públicos  UAESP. 20 de septiembre de 2016. </t>
  </si>
  <si>
    <t>[1] Uscameita, Walter. Líder Reciclador. Asociación de recicladores de Lima. 11 de octubre de 2016.
[2]Huiman, Alberto. CEO Perú Waste Innovation. 20 de septiembre de 2016. 
[3] De la Cruz, Carolina. Coordinadora Programa de segregación en la fuente. Municipalidad Metropolitana de Lima. 5 de octubre de 2016.
[4]Presidencia del Consejo de Ministros. Ley No. 29332 que crea el plan de incentivos a la mejora de la gestión municipal, publicada en 2009.</t>
  </si>
  <si>
    <t>[1] Fernández, Lucía. Women in Informal Employment (WIEGO). 21 de octubre de 2016
[2] Ychuste, Arllene y Clausen, Daniel. Área Recicladores de la Organización San Vicente-Padre Cacho. 14 de octubre de 2016
[3] Gentini, MariCarmen. Área social de la División Limpieza de la Intendencia de Montevideo (IM) 19 de octubre de 2016</t>
  </si>
  <si>
    <t>[1] González, Carolina. Asesora de la Subdirección de Aprovechamiento de la Unidad Administrativa Especial de Servicios Públicos  UAESP. 20 de septiembre de 2016.
[2] Ruiz, Silvio. Líder de la Asociación de Recicladores de Bogotá. 20 de septiembre de 2016.
[3] Corte Constitucional. "Auto 275 de 2011". Publicado en diciembre de 2011.
[4] Ministerio de Vivienda, Ciudad y Territorio. "Decreto 596 de 2016" Publicado en abril de 2016.
[5] Unidad Administrativa Especial de Servicios Públicos - UAESP. "Plan de Gestión Integral de Residuos Sólidos - PGIRS. Actualización". Publicado en septiembre de 2016. [http://www.uaesp.gov.co/images/1Actualizacion%20PGIRS%20VF%20-%20300916.pdf]</t>
  </si>
  <si>
    <t>[1] Buenos Aires Ciudad. Ministerio de Ambiente y Espacio Público. "Concurso Público para la contratación del Servicio Público de Higiene Urbana - Fracción Secos" [http://www.buenosaires.gob.ar/areas/med_ambiente/archivos/secos_final.pdf]
[2] Entrevista con Yamil Minakowski, Director General de Reciclado, Subsecretaría de Higiene Urbana, Ministerio de Ambiente y Espacio Público. Gobierno de la Ciudad Autónoma de Buenos Aires. 7 de octubre de 2016.
[3] Entrevista con Alicia Montoya, Responsable Técnica Cooperativa El Álamo. 22 de septiembre de 2016.
[4] Entrevista con Roberto Felicetti, Director Cooperativa Trabajo y Dignidad. 6 de octubre de 2016.
[5]  Entrevista con Alejandro Valiente, Militante del Movimiento de Trabajadores Excluidos (MTE), acompañante técnico de la Cooperativa el Amanecer de los Cartoneros y de la Federación Argentina de Cartoneros y Recicladores (FACYR). 
[6] Entrevista a Pablo Schamber, Antropólogo Investigador del Consejo Nacional de Investigaciones Científicas y Técnicas (CONICET) - Universidad Nacional de Quilmes / Universidad Nacional de Lanús.</t>
  </si>
  <si>
    <t xml:space="preserve">[1] Uscameita, Walter. Líder Reciclador. Asociación de recicladores de Lima. 11 de octubre de 2016.
[2] De la Cruz, Carolina. Coordinadora Programa de segregación en la fuente.Municipalidad Metropolitana de Lima. 5 de octubre de 2016.
[2]Huiman, Alberto. CEO Perú Waste Innovation. 20 de septiembre de 2016. </t>
  </si>
  <si>
    <t xml:space="preserve">[1] Entrevista con Alejandro Valiente, Militante del Movimiento de Trabajadores Excluidos (MTE), acompañante técnico de la Cooperativa el Amanecer de los Cartoneros y de la Federación Argentina de Cartoneros y Recicladores (FACYR). </t>
  </si>
  <si>
    <t>[1] Uscameita, Walter. Líder Reciclador. Asociación de recicladores de Lima. 11 de octubre de 2016.
[2]De la Cruz, Carolina. Coordinadora Programa de segregación en la fuente. Municipalidad Metropolitana de Lima. 5 de octubre de 2016.</t>
  </si>
  <si>
    <t>[1]  Gutberlet et. Al. PESQUISA-AÇÃO EM EDUCAÇÃO AMBIENTAL E SAÚDE DOS CATADORES: ESTUDO DE CASO REALIZADO COM INTEGRANTES DE COOPERATIVAS DE COLETA SELETIVA E RECICLAGEM NA REGIÃO  METROPOLITANA DE SÃO PAULO. Publicado en 2016.
[2] Gomes Prol Otero, Gabriela. Coordinadora técnica. Abrelpe. 13 de octubre de 2016</t>
  </si>
  <si>
    <t>[1] Anónimo. Empresa Municipal de Aseo Urbano de Santa Cruz de la Sierra (EMACRUZ) 10 de octubre de 2016
[2] Tamayo, Neida; Presidenta y Rivero, Karina Secretaria; de la asociación Red de Recolectores Santa Cruz. 7 y 8 de octubre de 2016</t>
  </si>
  <si>
    <t>[1] Ruiz, Silvio. Líder de la Asociación de Recicladores de Bogotá. 20 de septiembre de 2016.
[2] Ministerio de Trabajo, sitio web: http://www.mintrabajo.gov.co/</t>
  </si>
  <si>
    <t xml:space="preserve">[1] Entrevista con Alejandro Valiente, Militante del Movimiento de Trabajadores Excluidos (MTE), acompañante técnico de la Cooperativa el Amanecer de los Cartoneros y de la Federación Argentina de Cartoneros y Recicladores (FACYR). 
[2] Consejo Nacional del Empleo, la Productividad y el Salario Mínimo, Vital y Móvil. Ministerio de Justicia y Derechos Humanos. "Resolución N° 2/2016: Fíjase salario mínimo vital y móvil".[http://servicios.infoleg.gob.ar/infolegInternet/anexos/260000-264999/261591/norma.htm]
[3] Instituto Nacional de Estadisticas y Censos (INDEC). [http://www.indec.gob.ar/uploads/informesdeprensa/canastas_09_16.pdf]
</t>
  </si>
  <si>
    <t xml:space="preserve">[1] Iniciativa Regional para el Reciclaje Inclusivo. 2015. Reciclaje Inclusivo y Recicladores de Base en el Ecuador. [http://reciclajeinclusivo.org/wp-content/uploads/2016/04/Reciclaje-Inlcusivo-y-Recicladores-de-base-en-EC.pdf ] 
[2] Ministerio del trabajo. [http://www.trabajo.gob.ec/340-dolares-es-el-salario-basico-para-el-2014/]    
[3] Ministerio del trabajo. [http://www.trabajo.gob.ec/usd-366-sera-el-salario-basico-que-regira-en-el-2016/] 
[4] Guanoluisa, Laura. Presidenta de RENAREC. 22 de septiembre de 2016. 
</t>
  </si>
  <si>
    <t xml:space="preserve">[1] Entrevista con Alejandro Valiente, Militante del Movimiento de Trabajadores Excluidos (MTE), acompañante técnico de la Cooperativa el Amanecer de los Cartoneros y de la Federación Argentina de Cartoneros y Recicladores (FACYR). 
[2] Buenos Aires Ciudad. Ministerio de Ambiente y Espacio Público. "Concurso Público para la contratación del Servicio Público de Higiene Urbana - Fracción Secos" [http://www.buenosaires.gob.ar/areas/med_ambiente/archivos/secos_final.pdf]
</t>
  </si>
  <si>
    <t xml:space="preserve">[1] UNICEF Ecuador. [http://www.unicef.org/ecuador/media_21140.htm] 
[2] Ordenanza Metropolitana Nº 332, publicado el 12 de agosto de 2010.   [http://www.quitoambiente.gob.ec/ambiente/images/Secretaria_Ambiente/Documentos/calidad_ambiental/normativas/ordm_332_sis_gest_int.pdf.] 
[3] Guanoluisa, Laura. Presidenta de RENAREC. 22 de septiembre de 2016. 
[4] Pisuña, Elvia. Presidenta de Asociación Nuevo Amanecer. 28 de noviembre de 2016.   
[5] Peña, Cecilia. Directora de Desarrollo Empresarial de EMASEO. 3 de octubre de 2016. </t>
  </si>
  <si>
    <t>[1] Anónimo.  "Recicladores Bolivia". 8 de octubre de 2016
[2] Tamayo, Neida; Presidenta y Rivero, Karina Secretaria; de la asociación Red de Recolectores Santa Cruz. 7 y 8 de octubre de 2016
[3] Anónimo.Secretaría Municipal de Medio Ambiente de Santa Cruz de la Sierra.   8 de octubre de 2016</t>
  </si>
  <si>
    <t xml:space="preserve">[1] Guanoluisa, Laura. Presidenta de RENAREC. 22 de septiembre de 2016. 
[2] Peña, Cecilia.  Directora de Desarrollo Empresarial de EMASEO. 3 de octubre de 2016. 
[3] Riera, Fernando. Gerente de EMGIRS. 28 de septiembre de 2016. 
[4] Pisuña, Elvia. Presidenta de Asociación Nuevo Amanecer. 28 de noviembre de 2016.  </t>
  </si>
  <si>
    <t>[1] Flores, Laura Emilce. Dirección General de Salud Ambiental, Ministerio de Salud Publica y Bienestar Social. 8 de Septiembre de 2016
[2] Ultima Hora. 2015. Junta aprueba cerrar Cateura por riesgo de contaminación. Ultima Hora [http://www.ultimahora.com/junta-aprueba-cerrar-cateura-riesgo-contaminacion-n952623.html]
[3] La Nación. 2015. Cateura al borde del desastre. La Nación [http://www.lanacion.com.py/2015/12/28/cateura-al-borde-del-desastre/]
[4] Secretaría del Ambiente y The Louis Berger Group (2014). Plan Maestro de Gestión Integral de Residuos Sólidos Urbanos para el Área Metropolitana de Asunción, y Acciones Complementarias. Asuncion: SEAM.</t>
  </si>
  <si>
    <t xml:space="preserve">[1] Guanoluisa, Laura. Presidenta de RENAREC. 22 de septiembre de 2016. 
[2] Peña, Cecilia.  Directora de Desarrollo Empresarial de EMASEO. 3 de octubre de 2016. 
[3] Riera, Fernando. Gerente de EMGIRS. 28 de septiembre de 2016. 
[4] Arias, Verónica. Secretaria de Ambiente de Secretaría de Ambiente. 10 de octubre de 2016. </t>
  </si>
  <si>
    <t>[1] Anónimo. Empresa Municipal de Aseo Urbano de Santa Cruz de la Sierra (EMACRUZ) 10 de octubre de 2016
[2] http://www.eldeber.com.bo/santacruz/bomberos-apagan-incendio-microbasural.html
[3] Gutiérrez, Vladimir. Director de Gestión de Residuos Sólidos, Ministerio de Medio Ambiente y Agua (MMAyA) 07 de octubre de 2016</t>
  </si>
  <si>
    <t>[1] Guanoluisa, Laura. Presidenta de RENAREC. 22 de septiembre de 2016. 
[2] Pisuña, Elvia. Presidenta de Asociación Nuevo Amanecer. 28 de noviembre de 2016.   
[3] Guerrero, Fabián. Gerente de REPAPERS. 28 de septiembre de 2016. 
[4] Peña, Cecilia.  Directora de Desarrollo Empresarial de EMASEO. 3 de octubre de 2016. 
[5] Riera, Fernando. Gerente de EMGIRS. 28 de septiembre de 2016.</t>
  </si>
  <si>
    <t>About,</t>
  </si>
  <si>
    <t xml:space="preserve">El marco más amplio para la gestión de residuos del Municipio de Santiago es la Ley Nº 18.695 Orgánica Constitucional de Municipalidades (5), promulada en 1988 y actualizada el 2001 con el Decreto con Fuerza de Ley (DFL) 1-19.704. Establece en su Artículo 3º(letra f) y 25º (letras a y b) la responsabilidad de los municipios, respecto del aseo y ornato de la comuna, la vía pública y los bienes nacionales de uso público y el servicio de extracción de basura. En la misma ley se establece que el Plan Comunal de Desarrollo(tambien conocido como PLADECO) es el instrumento rector del desarollo en la comuna, junto a sus respectivos programas.                                                                                                                                                                       
Para implementar la función de aseo, ornato y recolección de basuras, el Municipio de Santiago se basa en la Ordenanza Nº 77 Aseo en la Comuna, del 23 de Julio de 1998 (6).  En el Artículo 35, la ordenanza obliga "cuando el municipio lo indique", a entregar los residuos separados, de manera de contribuir con campañas de reciclaje que el Municipio implemente. Prohibe también el "transporte o  aprovechamiento de basuras domiciliarias sin previa autorización de la Municipalidad", la que deberá estar en concordancia con lo dispuesto por el Servicio de Salud Metropolitano del Ambiente (SESMA). Retirar residuos de la comuna sin autorización, es una "falta gravísima" que debe ser sancionada con una multa cercana a los USD 350.                                                                                                             
El actual gobierno municipal, en el marco del Plan de Desarrollo Comunal 2014-2020 (PLADECO) (7) ha desarrollado e implementado una Política Ambiental Municipal (8) que contempla 10 Planes Estratégicos en ámbitos sensibles del municipio. Uno de ellos es el Plan de Gestión Integral de Residuos Domiciliarios, que implementa 8 programas (iniciativas de reciclaje diversas), de los cuales 3 consideran la inclusión de recicladores de base:  
a) Programa de Reciclaje de Residuos Inorgánicos Puerta a Puerta en Ecobarrios: este programa trabaja con recicladores de base inscritos en el municipio y busca implementar sistemas de separación en origen y recolección diferenciada de reciclables: Papel, Cartón, Latas, Tetrapack y PET. El sistema de recolección es bajo la modalidad puerta a puerta (para casas) o en puntos limpios comunitarios (para edificios) en día, hora y frecuencia previamente acordados. Hasta ahora este programa se ha focalizado en 2 barrios de la comuna, llamados Yungay y Beauchef, con una cobertura de 280 casas y 20 edificios y un rendimiento de 11,6 ton/año para el año 2015 (7). La participación de estos barrios en el programa de reciclaje, se debe a que por interés e inciativa vecinal y el apoyo del municipio, en ambos barrios se han focalizado una serie de programas ambientales: educación ambiental, huerta urbana, reciclaje de orgánicos, reciclaje de aceite, recolección diferenciada de pilas.   
b) Programa de Reciclaje de Enseres Domiciliarios, que busca el retiro en los barrios, de residuos voluminosos que no puedan ser recoletados por el camión regular de basura. En el caso de que se trate de residuos reutilizables, como muebles, electrodomésticos, se coordina el retiro con el reciclador de base.                                                                             
c) Programa de Reciclaje en Eventos Masivos, que busca desarrollar sistemas de reciclaje especialmente adaptados para eventos. Este programa se ha llevado adelante con recicladores de base en algunos casos.   
Ninguno de estos programas de reciclaje inclusivo, contempla ordenanzas municipales o contratos de servicios con recicladores. A excepción del Programa de Reciclaje en Eventos masivos, que se implementa por primera vez con recicladores el año 2011, en los otros programas, la participación formal de los recicladores no excede los 2 años.                                                        </t>
  </si>
  <si>
    <t xml:space="preserve">Para la operación del sistema de reciclaje municipal, existe un presupuesto municipal de aproximadamente 220 millones de colones anuales (USD 396.607). Sin embargo hasat el momento el sistema de reciclaje comunal no considera la inclusión de los recicladores de base(12).
La municipalidad implementa un sistema de recolección diferenciada de residuos reciclables siendo directamente la responsable de la recolección y transporte de los residuos reciclables –papel, cartón, plástico, metales, vidrio y tetrapack- previamente separados por las organizaciones locales y organizado en 11 rutas, una para cada distrito del cantón (11). Los residuos reciclables recolectados van al Centro de Recuperación de Materiales Valorizables, ubicado en el Distrito de Hatillo, para su pesaje, selección, embalaje, almacenamiento y venta. Cuenta con una infraestructura de 400m2 de planta, 250m2 de oficinas, área de estacionamientos y un equipo humano de 27 personas que trabajan en el centro y en labores de recolección en terreno. 
Cuenta con un equipamiento consistente en:
• 4 vehículos de carga
• 3 compactadoras
• 3 básculas
• 3 toldos para actividades en terreno
• 15 carritos para disposición de reciclables en eventos masivos
• 5 estaciones de reciclaje portátiles 
</t>
  </si>
  <si>
    <t>Existe un marco legal nacional sobre Gestión Integral de Residuos Domiciliarios, orientada al reciclaje ya que prevé en su Art. 4° como objetivo "...Promover la valorización de los residuos domiciliarios, a través de la implementación de métodos y procesos adecuados..." [1].</t>
  </si>
  <si>
    <t xml:space="preserve">La Subdirección de Medio Ambiente y la Dirección de Aseo, llevan la contabilidad de los residuos reciclables recuperados por el programa de reciclaje municipal, según tipo de material y zona de generación. Buscan llevar adelante un sistema de trazabilidad que permita establecer origen y destino de los residuos reciclables recuperados en el programa municipal (51). La parte del programa municipal de reciclaje con inclusión de recicladores, es gestionada desde la Subdirección de Medio Ambiente del municipio, que lleva la contabilidad de los residuos recuperados, en base al respaldo de facturas de compra del material por parte de las empresas recuperadoras. Esta información consolidada anualmente es presentada a las instancias municipales y hecha pública, en reportes anuales para la rendición de cuentas de la alcaldía (52).                                                                                                                       
En paralelo hay un sistema informal de reciclaje que opera en la comuna, que atiende al sector comercial y de servicios, en el que participan mayoritariamente los recicladores de base, del cual no se tiene registro (53). </t>
  </si>
  <si>
    <t>Los líderes de las agrupaciones de recicladores participan en espacios de interlocución a nivel municipal y  nacional. A nivel municipal, los lideres de las organizaciones tienen un diálogo constante con las instituciones locales y con las secciones locales de los principales partidos políticos. Sin embargo, la comunicación entre pares entre las 4 organizaciones es escasa y ocasional [3]. Los líderes a nivel nacional participan y dan opiniones en medios de comunicación y en partidos políticos [1], mas no hay evidencia de diálogo con otras organizaciones de los recicladores de base del país  [3]. Así mismo, se evidencia que líderes como Pablo Téllez del Frente Único de Recicladores informales participa en eventos internacionales relativos a las problemáticas de los recicladores [2] pero se considera que la vinculación internacional de las organizaciones de recicladores sea escasa y  ocasional [3].</t>
  </si>
  <si>
    <t>A nivel nacional, existen espacios de dialogo entre la industria del reciclaje, gobiernos de distintos niveles y recicladores organizados: en estos espacios la representatividad de los recicladores la tiene el Movimiento de Recicladores de Chile. A partir de estos espacios se ha ido visibilizando a los recicladores como actores de la cadena del reciclaje y sus problemáticas específicas. Esto ha permitido que se vayan abriendo mejores posibilidades comerciales para los recicladores, sin embargo el factor organizativo y la escala de recuperación son factores críticos a la hora de lograr mejoras comerciales. (66)
Desde el Proyecto  "Reciclaje Inclusivo Comunal" ejecutado por Fundación Casa de La Paz y Movimiento de Recicladores de Chile, se ha apoyado la gestión de venta del material reciclado por el Programa de Reciclaje Inclusivo Municipal. Esto ha permitido acceder a contacto directo con una empresa recuperadora y mejoras en los precios de venta. (67)</t>
  </si>
  <si>
    <t xml:space="preserve">No se encontró evidencia de asociaciones de recicladores inscritas y vigentes, en la comuna de Santiago. La única organización de la que se tiene evidencia es la que se constituyó con el apoyo del Proyecto "Reciclaje Inclusivo Comunal", implementado por Fundación Casa de La Paz y el Movimiento de Recicladores de Chile. Se trata de la cooperativa "Santiago Recolecta", que se constituyó con 10 miembros, 5 de los cuales son mujeres (50%).   El único estudio realizado en Chile que ha medido la participación de las mujeres recicladoras en organizaciones, fue publicado el año 2010: las organizaciones estudiadas en la Región Metropolitana fueron 3, de la Comuna de Maipú y mostraron que en promedio el porcentaje de participación de las mujeres recicladoras en organizaciones es del 37,2%. (68) </t>
  </si>
  <si>
    <t xml:space="preserve">Todos los metales, ferrosos y no ferrosos, se pueden procesar en Uruguay, por ejemplo a través de la empresa fundidora WERBA.
Todos los plásticos se pueden procesar industrialmente en Uruguay. El problema es que llega menos material que la capacidad instalada de la planta. Una marca local de agua (y otras bebidas) está incorporando hasta un 25% de PET reciclado en sus envases. La empresa Ecopet tiene capacidad para comprar todo el PET que les llega de los recicladores.
Con respecto al papel y cartón , hay plena capacidad de transformación de esos residuos en Uruguay. Pedernal, por ejemplo, es el más grande productor de papel de origen reciclado.  A los recicladores industriales de papel y cartón les llega menos del 50% de sus necesidades de materia prima de origen de recicladores. El resto proviene de otros orígenes: bancos, grandes empresas, etc.  [1] [2]
En el caso del vidrio, desde 2008 existe la empresa ENVIDRIO [3].
</t>
  </si>
  <si>
    <t>No existen prohibiciones legales pero no hay contrataciones con los recicladores de base. [1,2,3]</t>
  </si>
  <si>
    <t>Teniendo en cuenta que la municipalidad no permite la contratación directa de agrupaciones de recicladores no realiza pagos a las mismas. [1]</t>
  </si>
  <si>
    <t>[1] Baraibar, Federico. Director ejecutivo. Compromiso Empresarial para el Reciclaje (CEMPRE). 21 de octubre de 2016
[2] Luis, Pablo. Recicladora industrial de plástico tipo PET. ECOPET. 26 de octubre de 2016
[3] CEMPRE. Vidrio. http://www.cempre.org.uy/index.php?option=com_content&amp;view=article&amp;id=88&amp;Itemid=106</t>
  </si>
  <si>
    <t>[1] Entrevista a Peter Cohen, consultor; 8 septiembre 2016. 
[2] Entrevista a Reynaldo Hernandez, representante de PASA BELIZE Ltd; 30 agosto 2016. 
[3] Entrevista a Robert Prahiam, reciclador de base de la Estación de Transferencia de 3 mile George Price Highway; 31 agosto 2016.</t>
  </si>
  <si>
    <t xml:space="preserve">Organizaciones de recicladores de base que hacen parte del sistema de operativo de aseo de Bogotá. Cabe señalar que en Bogotá, los usuarios del servicio público de aseo pagan una tarifa correspondiente al cargo mensual por recolección y transporte de los residuos sólidos. De esta tarifa, un porcentaje es destinado al pago a los recicladores de base, tanto independientes como formalizados, que se encuentran en el Registro Único de Recicladores de Oficio (RURO) desde el año 2012. Por tanto, el número de organizaciones de recicladores que son contratados y remunerados por parte del sistema de gestión de residuos de Bogotá es indefinido. </t>
  </si>
  <si>
    <t>Cantidad de viviendas (o habitantes) con servicio de recolección diferenciada de residuos en relación con la totalidad de viviendas (o habitantes) del cantón. No existen cifras de cobertura del sistema de reciclaje municipal, dado que no se trata de un servicio estable, sino a pedido o de acuerdo a las actividades puntuales que organice el municipio. El año 2015, el sistema atendió aproximadamente a 20.000 personas, lo que corresponde a un 5,7% de la población del cantón.</t>
  </si>
  <si>
    <t xml:space="preserve">Residuos sólidos  generados en el área urbana que son dispuestos en relleno sanitario en el último año. </t>
  </si>
  <si>
    <t xml:space="preserve">Cantidad de residuos con  potencial reciclable destinados a su aprovechamiento en relación con los residuos recolectados y recuperados por el reciclador. Los materiales que son identificados con potencial reciclable son papel, cartón, plástico, metal y vidrio. </t>
  </si>
  <si>
    <t xml:space="preserve">Porcentaje de los principales materiales que se encuentran en la bolsa de residuos de Santa Cruz y con potencial para ser reintroducidos al sistema económico.
</t>
  </si>
  <si>
    <t>2009, 2014</t>
  </si>
  <si>
    <t>La ciudad de Bogotá Distrito Capital, es la capital de Colombia, se encuentra ubicada en el centro del país sobre la cordillera oriental. Comprende 20 localidades: Usaquén, Chapinero, Santa Fe, San Cristóbal, Usme, Tunjuelito, Bosa, Kennedy, Fontibón, Engativá, Suba, Barríos Unidos, Teusaquillo, Los Mártires, Antonio Nariño, Puente Aranda, La Candelaria, Rafael Uribe, Ciudad Bolívar y Sumapaz.</t>
  </si>
  <si>
    <t>La Ciudad Autónoma de Buenos Aires es la Capital Federal de la República Argentina (sede del Gobierno Federal), tiene un régimen de gobierno autónomo desde el año 1996. Se divide político-administrativamente en 15 comunas (48 barríos). La ciudad tiene una superficie apenas superíor a los 200 km2 pero es el centro de la Área Metropolitana de Buenos Aires, con la consiguiente migración diaria de personas desde los municipios de la provincia de Buenos Aires.</t>
  </si>
  <si>
    <t>La Ciudad de Belice es la ciudad más grande de la nación centroamericana de Belice. Se encuentra en la desembocadura del río Belice  en la costa del Caribe. Se extiende más allá de la Milla 8 en la Autopista del Oeste y Milla 13 o 14 en el norte, en el puente Haulover. La ciudad propiamente dicha se suele dividir en dos áreas: Northside, delimitada por el Haulover Creek y termina en el este en el área de Fort George, y Southside, que se extiende hasta las afueras de la ciudad y la zona del puerto y que incluye el centro.  La Ciudad de Belice está  administrada por el "Belize City Council" (autoridad municipal con elección directa) y es la capital del Distrito de Belice.</t>
  </si>
  <si>
    <t>La ciudad de Quito está compuesta por 32 parroquias urbanas y 33 parroquias rurales y suburbanas. Cada parroquia está compuesta por barríos. El Distrito Metropolitano de Quito está dividido en 8 administraciones zonales que permiten descentralizar algunos servicios del Municipio.</t>
  </si>
  <si>
    <t>Página web del Municipio de San José: www.msj.go.cr
Contraloría General de la República, División de Fiscalización Operativa y Evaluativa. "Auditoría Operativa Recolección de Residuos Ordinaríos". 2016</t>
  </si>
  <si>
    <t>Intendencia de Santiago. 2012.  Información Geográfica:http://www.intendenciametropolitana.gov.cl/informacion_geografica_2.html
Ilustre Municipalidad de Santiago.  Censo Nacional de Población y Vivienda y la Encuesta de Caracterización Social.http://www.observatoríosantiago.cl/estadisticas-comunales/</t>
  </si>
  <si>
    <t>Desplazar en el eje X</t>
  </si>
  <si>
    <t>Desplazar en el eje Y</t>
  </si>
  <si>
    <t xml:space="preserve">0= No 
1= Sí o no existen vertederos a cielo abierto
</t>
  </si>
  <si>
    <t>15.¿Existe adecuada regulación y control sobre clasificación y manejo de desechos especiales y/o  peligrosos y sobre clasificación en la calle?</t>
  </si>
  <si>
    <t>9.¿La normativa/ estrategia municipal de residuos sólidos: fue desarrollada de manera participativa?</t>
  </si>
  <si>
    <t xml:space="preserve">12.¿Existen incentivos de reciclaje para los usuarios? </t>
  </si>
  <si>
    <t>18.¿Las asociaciones: participan en espacios de interlocución o diálogo con pares?</t>
  </si>
  <si>
    <t>Asunción se encuentra ubicada a la margen este del río Paraguay, frente a la confluencia del mismo con el río Pilcomayo. La ciudad, conformada por 6 distritos y 68 barríos, limita al noroeste con la ciudad de Mariano Roque Alonso, al este con las ciudades de Luque y Fernando de la Mora y al sur con las ciudades de Lambaré y Villa Elisa. Asunción es un municipio autónomo, no adscrito a ningún departamento.</t>
  </si>
  <si>
    <t>La Ciudad de México comprende 16 delegaciones políticas (que a partir de 2018 se transformarán en "Demarcaciones Territoriales" cuyo gobierno estará a cargo de "Alcaldías"): Álvaro Obregón, Azcapotzalco, Benito Juárez, Coyoacán , Cuajimalpa de Morelos, Cuauhtémoc, Gustavo A. Madero,  Iztacalco, Iztapalapa, La Magdalena Contreras, Miguel Hidalgo, Milpa Alta, Tláhuac, Tlalpan, Venustiano Carranza y Xochimilco.</t>
  </si>
  <si>
    <t>San Pablo es la capital del Estado de San Pablo, el estado más importante de Brasil ya que alberga el parque industrial más grande del país y  el centro financiero más dinámico  y uno de los más importantes de Latinoamérica. Se encuentra ubicado en el sureste del país, cerca al Atlántico sur. La ciudad se divide en 31 sub-alcaldías agrupadas en 9 regiones.</t>
  </si>
  <si>
    <t>Prefeitura de Sao Paulo - Secretaria de Serviços Públicos. http://www.prefeitura.sp.gov.br/cidade/secretarias/upload/servicos/arquivos/PGIRS-2014.pdf</t>
  </si>
  <si>
    <t>La ciudad de Santa Cruz comprende 12 distritos urbanos (en los que está basada toda la información) y 4 rurales, que son: Piraí; Norte interno; Estación Argentina; El Pai; Norte; Carretera a Cotoca; Villa 1º de Mayo; Plan 3.000; Palmasola; El Bajío; Central; Nuevo Palmar; Viru Viru; El Dorado; Guapilo; Palmar del Oratorío.</t>
  </si>
  <si>
    <t>Instituto Nacional de Estadística de Bolívia: http://www.concejomunicipalscz.gob.bo/portal/index.php/participa/mapas-importantes/mapas-de-los-distritos
Instituto Nacional de Estadística de Bolívia: http://www.ine.gob.bo/indice/atlasmunicipal.aspx</t>
  </si>
  <si>
    <t xml:space="preserve">La Ley Nº 3956 de 2009 sobre Gestión Integral de los Residuos Sólidos establece el régimen jurídico para la producción y gestión responsable de los residuos sólidos. Si bien la ley en el Artículo 23 reconoce y menciona el reciclaje, lo hace de manera general y no contempla la inclusión de los actores informales. La Ley solo reconoce como “sistemas de aprovechamiento”, el reciclaje, la recuperación, la reducción, el compostaje, la lombricultura y otros que la tecnología desarrolle y tenga habilitación de las autoridades competentes" dejando de lado cualquier mención relacionada a los recicladores informales.  [1,2]
 </t>
  </si>
  <si>
    <t>En este modelo los puntajes de 0 a 100 representan los puntos más bajos y más altos, respectivamente, medidos por los criterios de cada indicador. Los puntajes son normalizados (0-100, donde 100 = más favorable).</t>
  </si>
  <si>
    <t>3D Plot Save Country</t>
  </si>
  <si>
    <t>circle_QUIT</t>
  </si>
  <si>
    <t>Mercado</t>
  </si>
  <si>
    <t>Los precios que se presentan en esta sección corresponden al Estudio Nacional de Reciclaje elaborado en el año 2011. Sin embargo, conviene mencionar que estos precios varían en el tiempo e incluso por las cantidades de los materiales, e incluso responden a los precios de los materiales vírgenes [1].
-Papel archivo: Recuperación: $500, Alistamiento: $687, Transformación: $750
-Papel periódico: Recuperación: $80, Alistamiento: $150, Transformación: $240
-Cartón: Recuperación: $150, Alistamiento: $275, Transformación: $400
-Plásticos flexibles: Recuperación: $200, Alistamiento: $350, Transformación: $2.600
-Plásticos rígidos soplados: Recuperación: $400, Alistamiento: $550, Transformación: $2.750
-Metales ferrosos: Recuperación: $200, Alistamiento: $250, Transformación: $570
-Aluminio: Recuperación: $1.000, Alistamiento: $1.400, Transformación: $2.650
-Cobre: Recuperación: $4.000, Alistamiento: $5.800, Transformación: $15.200
-Vidrio: Recuperación: $40, Alistamiento: $70, Transformación: $163</t>
  </si>
  <si>
    <t xml:space="preserve">El primer instrumento público que orienta la gestión de residuos como tal en Chile, es la Política Integral de Residuos Sólidos (PGIRS), aprobada por el Consejo Directivo de la Comisión Nacional del Medio Ambiente (CONAMA) en Enero de 2005 (1).Entre los principios de esta política, se establece una “estrategia jerarquizada” de acciones en la gestión de los residuos, que establece el siguiente orden de prioridad: evitar, minimizar, tratar y disponer. Dentro este marco, la minimización se conforma de tres procesos: reducir, reusar y reciclar (Fundamento 3). La undécima Línea de Acción de la PGIRS -“Implementar una estrategia de minimización”- identifica como base de la minimización la separación en fuente, y exige la implementación de una estrategia de reciclaje de residuos sólidos domiciliarios para estimular “proyectos de reciclaje atractivos desde el punto de vista técnico y económico, tanto de municipalidades, como de recolectores independientes y organizaciones sin fines de lucro” (Línea de Acción 11).                                                            
El año 2016 ha sido aprobada la Ley 20.920 Marco de Gestión de Residuos, Responsabilidad Extendida del Productor y Fomento al Reciclaje (2). En esta Ley, conocida como 'Ley REP' se reconoce a los recicladores de base como "Persona natural que, mediante el uso de la técnica artesanal y semi industrial, se dedica en forma directa y habitual a la recolección selectiva de residuos domiciliarios o asimilables y a la gestión de instalaciones de recepción y almacenamiento de tales residuos, incluyendo su clasificación y pretratamiento. Sin perjuicio de lo anterior, se considerarán también como recicladores de base las personas jurídicas que estén compuestas exclusivamente por personas naturales registradas como recicladores de base" (Artículo 3). La Ley REP considera la inclusión como un conjunto de herramientas de capacitación, financiación y formalización orientadas a la integración de los recicladores en la gestión de residuos y el marco de la responsabilidad extendida del productor (Artículo 2c). Específicamente en lo relativo a inclusión de recicladores, la ley considera que:
• Sean consultados para establecer instrumentos de prevención de la generación y la valorización de residuos, así como metas de recolección y valorización. (Artículos 4 y 14).
• Las autoridades exceptúen la licitación abierta cuando se trate de la contratación de recicladores (Artículo 24).
• Los recicladores podrán colaborar en la implementación de programas de educación ambiental sobre valorización de residuos (Artículo 29).
• Las municipalidades podrán celebrar convenios con los recicladores (Artículo 30).
• El Ministerio del Medio Ambiente contará con un fondo para financiar iniciativas municipales o de asociaciones. Uno de los criterios de evaluación y selección de iniciativas será la inclusión de recicladores (Artículo 31).  
• Para operar, los recicladores deben estar certificados en el Sistema Nacional de Certificación de Competencias Laborales, y registrados en el Registro de Emisiones y Transferencia de Contaminantes. Durante los primeros cinco años de vigencia de la ley, podrán registrarse sin dicha certificación (Artículos 32 y 37; Disposiciones Transitorias: Artículo primero) (3)
En el contexto de esta nueva Ley, que impulsa cadenas de recuperación de residuos, surge una oportunidad de inclusión de los recicladores de base, para lo cual se busca generar condiciones para formalizar y regular su actividad para que participen de la gestión de los residuos como gestores reconocidos. Si bien, desde el punto de vista de las políticas públicas, se reconoce el aporte de los recicladores en el actual sistema de gestión de residuos, también se reconoce que su desarrollo como sector ha sido en una lógica de informalidad y exclusión. En este sentido, el año 2016 ha sido firmada también la Política de Inclusión de Recicladores 2016-2020 (4), cuyo objetivo es "impulsar la inclusión social, económica y ambiental de los recicladores/as de base en la gestión ambientalmente adecuada de residuos". Esta política considera tres ejes: ambiental, que busca cuantificar y  aumentar la contribución la contribución de los recicladores a la gestión sustentable de los residuos;  económico, que busca potenciar sus capacidades empresariales; y social, que busca la caracterización y reconocimiento social del aporte de los recicladores de base al reciclaje.                                                                                                                                                                                                      
En esta política de inclusión de reciladores se señala, “La gestión sustentable de residuos, hace necesario un esfuerzo especial a favor de la inclusión, tanto económica, ambiental y social de este sector. Implica un enorme desafío país, debido al carácter informal del sector y las inequidades en el mercado de los residuos. Además, si bien la ley establece la inclusión, exige a su vez estándares de formalización y certificación de competencias del sector, lo que se debe alcanzar en plazos acotados de tiempo (5 años)”.(4) 
A nivel de Región Metropolitana de Santiago, la Estrategia Regional de Desarrollo 2012-2021 de la Intendencia Metropolitana, plantea como uno de sus lineamientos estratégicos el eje “Santiago Limpio y Sustentable”. Dentro de éste plantea “Promover sistemas regionales de reciclaje y tratamiento de residuos”. Sin embargo no menciona nada referido a los recicladores de base. (5) 
El  Programa Santiago Recicla, impulsado por la Secretaría Regional Ministerial del Medio Ambiente Región Metropolitana e Intendencia Región Metropolitana, tiene como objetivo “aumentar de un 14,4% a un 25% el reciclaje de residuos sólidos, asimilables a domiciliarios, en la Región Metropolitana para el año 2020”. Propone 3 líneas de acción: Cadena de Reciclaje, Institucionalidad y Normativa, Difusión y Educación. En una primera fase, el programa tuvo como objetivo realizar un estudio de pre factibilidad, para la instalación y operación de infraestructura para el reciclaje, estimado en 1.000 puntos y centros de reciclaje de distinto tamaño. 
En lo relativo a recicladores de base, dentro de la línea de acción “Cadena de Reciclaje”, busca “Promover la inclusión de los recicladores de base en la recuperación de los residuos reciclables”, planteando como meta a 2 años (2010), para al menos 5 comunas de la Región Metropolitana, la realización de catastros comunales de recicladores, la  formalización de al menos 100 recicladores y el desarrollo de Planes Comunales de Reciclaje Inclusivo.(6)
Producto de la nula implementación del programa a la fecha, éste se ha reformulado entregando la responsabilidad de la construcción al Gobierno Regional Región Metropolitana y abordando la simplificación de trámites con el apoyo de la Secretaría Regional Ministerial de Medio Ambiente Región Metropolitana. La implementación de los sistemas de reciclaje sigue en manos de los municipios, pero ya no requieren coordinarse entre ellos para la gestión.
En este sentido, la opción de trabajar los nuevos sistemas de reciclaje con inclusión de  recicladores o no, será decisión de cada municipio.
La nueva meta es construir 20 “puntos limpios” en 16 comunas, implementar un programa de transferencia de capacidades para escuelas y organizaciones comunitarias y realizar un estudio diagnóstico de recolección de residuos reciclables “casa a casa”. La inversión total para llevar adelante esto es de aproximadamente USD 6 millones, a implementar a partir del 2017. (7)
</t>
  </si>
  <si>
    <t xml:space="preserve">(1) Comisión Nacional de Medio Ambiente. "Política Integral de Residuos Sólidos" aprobada el 17 de Enero de 2005.  [http://www.sinia.cl/1292/articles-26270_pol_rsd]                     
(2) Ministerio de Medio Ambiente. "Ley 20.920 Marco para la Gestión de Residuos, la Responsabilidad Extendida del Productor y Fomento al Reciclaje". Publicada el 1 de Julio de 2016  [http://portal.mma.gob.cl/wp-content/uploads/2015/06/Ley-REP-Ley-No20920.pdf]
(3) Alaniz, Alvaro y Colombina Schaeffer. 2016. “Políticas Públicas para el Reciclaje Inclusivo en 18 países de Latinoamérica.” Documento de Trabajo. Programa de Incidencia, Red Latinoamericana y El Caribe de Recicladores.                        
(4)  Ministerio del Medio Ambiente. "Política de Inclusión de Recicladores 2016-2020", publicado el 8 de agosto de 2016.                 http://portal.mma.gob.cl/wpcontent/uploads/2015/03/Acuerdo-No11-Politica-Inclusion-Recicladores-de-Base.pdf]             
(5) Intendencia Región Metropolitana. "Estrategia Regional de Desarrollo 2012-2021. Región Metropolitana de Santiago".
[http://www.intendenciametropolitana.gov.cl/estrategia_regional_de_desarrollo.html]                                                                
(6) Comisión Nacional del Medio Ambiente Región Metropolitana, Intendencia Región Metropolitana de Santiago, Fundación Casa de La Paz. “Plan de Acción de Reciclaje, Mesa Intersectorial ‘Santiago Recicla', Región Metropolitana, Versión 6.0". 2009.
[http://www.sinia.cl/1292/articles-49815_PlanAccionStgoRecicla2009.pdf]
(7) Entrevista Paola Cofré, Encargada de Residuos y Riesgo Ambiental Secretaría Regional Ministerial de Medio Ambiente Región Metropolitana. 7 de diciembre de 2016
</t>
  </si>
  <si>
    <r>
      <t xml:space="preserve">Hay 47 asociaciones informales agrupadas, a su vez en 3 asociaciones, de las que  2 disponen de personalidad jurídica legalizada: Red de Recolectores Santa Cruz Santa Cruz  y Arericruz. Otra asociación, Recicladores Bolivia, no dispone personalidad jurídica pues es de reciente aparición (se trata de una escisión de Red de Recolectores Santa Cruz Santa Cruz surgida en los últimos meses). En Bolivia, la figura legal que mayoritariamente han adoptado los recicladores que se han formalizado, ha sido la de Asociación. La figura de asociación tiene un valor añadido y es que permite la recepción de materiales y herramientas de trabajo por parte de las municipalidades. [1]
</t>
    </r>
    <r>
      <rPr>
        <sz val="9"/>
        <rFont val="Calibri"/>
        <family val="2"/>
        <scheme val="minor"/>
      </rPr>
      <t>A principios de octubre de 2016 ha</t>
    </r>
    <r>
      <rPr>
        <sz val="9"/>
        <color theme="1"/>
        <rFont val="Calibri"/>
        <family val="2"/>
        <scheme val="minor"/>
      </rPr>
      <t xml:space="preserve"> tenido lugar en Santa Cruz el primer encuentro  nacional de recicladores, acto que ha sido organizado conjunta y coordinadamente por las tres asociaciones que existen en la ciudad. Es la primera vez que eso ocurre.  [2]
Tan sólo la asociación Arericruz está conformada por pequeños empresarios que realizan alguna pequeña transformación de los materiales recuperados y compra y vende materiales negociando con los precios de los mismos. Las otras dos asociaciones son vendedoras de materiales sin ninguna transformación, pero son organizaciones de carácter económico.
</t>
    </r>
  </si>
  <si>
    <r>
      <rPr>
        <sz val="9"/>
        <rFont val="Calibri"/>
        <family val="2"/>
        <scheme val="minor"/>
      </rPr>
      <t xml:space="preserve">El nivel de participación de las organizaciones de recicladores en la cadena de valor del reciclaje es medio, por varios motivos. </t>
    </r>
    <r>
      <rPr>
        <sz val="9"/>
        <color theme="1"/>
        <rFont val="Calibri"/>
        <family val="2"/>
        <scheme val="minor"/>
      </rPr>
      <t xml:space="preserve"> La reciente entrada en vigor del Decreto 2887, por el que las empresas que utilizan Tereftalato de Polietileno PET (excepto las que envasan leche) están obligadas en el futuro inmediato a incorporar en sus envases un 30% de PET reciclado. [1] [2] Esto ha llevado a la Red de Recolectores Santa Cruz a sentarse a negociar con la empresa que recicla el PET para fabricar nuevas botellas de envases en Santa Cruz, EMPACAR, para obtener mejores precios, dado especialmente que no puede suministrarse directamente de los recicladores de Santa Cruz y debe buscar otras fuentes de aprovisionamiento. Estas reuniones se han llevado a cabo a iniciativa de la Red de Recolectores Santa Cruz. [3]
Existen algunos recicladores que trabajan en el sistema formal de recolección diferenciada, pero estas personas están contratadas directamente por Vega Solvi la empresa concesionara del servicio de aseo urbano. En cierto modo han dejado de ser recicladores, pasando a ser empleados de la compañía. Las asociaciones, las 3, son quienes se hacen cargo de la organización del personal y el funcionamiento de la planta de clasificación de Normandía. </t>
    </r>
  </si>
  <si>
    <t xml:space="preserve">Existen 12 cooperativas de recuperadores que se encuentran contratadas para prestar el servicio de recolección de residuos secos generados por la ciudad. Estas cooperativas recolectan, transportan, clasifican, acopian y comercializan la fracción seca de los residuos de la ciudad [1]. Si bien las cooperativas se manejan de manera autónoma, comparten valores/precios de los materiales de manera habitual [2].  
A su vez, existe en un Registro Permanente de Cooperativas y Pequeñas y Medianas Empresas (REPyME) que fue creado por el Art. N° 5 de la Ley N° 992 /02 [3,4], el mismo luego fue transferido por Resolución N° 753 / 07 [5] como subregistro junto con el Registro Único Obligatorio Permanente de Recuperadores Urbanos (RUR) a la órbita del Registro de Operadores de Residuos Sólidos Urbanos que se encuentra en la Dirección General de Políticas de Reciclado Urbano (actual Dirección General de Reciclado).
Por otro lado, existe a nivel nacional un Instituto Nacional de Asociativismo y Economía Social (INAES) que depende del Ministerio de Desarrollo Social de la Nación y es el encargado de legislar, controlar y promover la economía social con respecto a Cooperativas y Mutuales [6]. Todas las cooperativas que se organizan en Argentina deben estar inscriptas en el INAES, el organismo entrega microcréditos, elabora programas de coordinación de promoción, programas de ayuda financiera, entre otros [7].  Si bien es posible acceder a los listados de cooperativas a través del sitio web del INAES, las cooperativas no están desagregadas por actividad específica, con lo cual no es posible identificar la existencia de un numero mayor de cooperativas que trabajen en la ciudad pero que no prestan servicios al gobierno de la ciudad.
</t>
  </si>
  <si>
    <t xml:space="preserve">Existen 12 cooperativas de recuperadores que se encuentran contratadas para prestar el servicio de recolección de residuos secos generados por la ciudad [1]. Estas cooperativas deben realizar según pliego [2] la recolección puerta a puerta de la fracción seca de residuos domiciliarios en zonas asignadas y realizar tareas de promoción de su actividad con los vecinos, luego los materiales son transportados, clasificados y acopiados para su venta. 
Existen dos modalidades de comercialización por parte de los recuperadores:
- clasificación diaria y venta a intermediarios (acopiadores) de la Ciudad de Buenos Aires o de municipios cercanos.
- clasificación, enfardado, acopio y venta a empresas recicladoras directamente. 
Los recuperadores negocian de manera autónoma el precio de los materiales, ya sea recuperador - intermediario o  cooperativa - intermediario/empresa. No existen mecanismos formales de negociación conjunta entre cooperativas pero si tienen comparten valores/precios de los materiales de manera habitual. En las últimas reuniones de la Federación Argentina de Cartoneros y Recicladores (FACYR) surgió la necesidad de promover una Secretaría de Comercialización, especialmente por cuestiones de logística, en función de las localidades que se encuentran alejadas de los centros de venta de materiales (la distancia dificulta la posibilidad de venta debido al costo del transporte) [3].  
</t>
  </si>
  <si>
    <r>
      <t xml:space="preserve">[1] Buenos Aires Ciudad. "Ciudad Verde" [http://www.buenosaires.gob.ar/ciudadverde/separacion/porque/cooperativas-de-recuperadores-urbanos]
[2] Entrevista con Alejandro Valiente, Militante del Movimiento de Trabajadores Excluidos (MTE), acompañante técnico de la Cooperativa el Amanecer de los Cartoneros y de la Federación Argentina de Cartoneros y Recicladores (FACYR). 
[3] Legislatura de la Ciudad Autónoma de Buenos Aires. "Ley N° 992 / 02 [http://www.buenosaires.gob.ar/areas/leg_tecnica/sin/normapop09.php?id=31157&amp;qu=c&amp;ft=0&amp;cp=&amp;rl=1&amp;rf=0&amp;im=&amp;ui=0&amp;printi=&amp;pelikan=1&amp;sezion=796791&amp;primera=0&amp;mot_toda=&amp;mot_frase=&amp;mot_alguna=]
[4] Buenos Aires Ciudad [http://www.buenosaires.gob.ar/higiene/registro-unico-de-cooperativas-de-trabajo]
[5] Gobierno de la Ciudad Autónoma de Buenos Aires. "Resolución N° 753 / GCABA / MMAGC / 07"  [http://www.buenosaires.gob.ar/areas/leg_tecnica/sin/normapop09.php?id=107711&amp;qu=c&amp;ft=0&amp;cp=&amp;rl=1&amp;rf=&amp;im=&amp;ui=0&amp;printi=&amp;pelikan=1&amp;sezion=&amp;primera=0&amp;mot_toda=&amp;mot_frase=&amp;mot_alguna=]
[6] </t>
    </r>
    <r>
      <rPr>
        <sz val="9"/>
        <rFont val="Calibri"/>
        <family val="2"/>
        <scheme val="minor"/>
      </rPr>
      <t xml:space="preserve">Instituto Nacional de Asociativismo y Economía Social. [http://www.inaes.gob.ar/]
[7] Observatorio Económico Social de la Universidad Nacional de Rosario. Articulo: INAES. [http://www.observatorio.unr.edu.ar/inaes-instituto-nacional-de-asociativismo-y-economia-social/]
</t>
    </r>
  </si>
  <si>
    <t>21,950</t>
  </si>
  <si>
    <t>12,000</t>
  </si>
  <si>
    <t>100%</t>
  </si>
  <si>
    <t>64%</t>
  </si>
  <si>
    <t>32,644</t>
  </si>
  <si>
    <t>1,400</t>
  </si>
  <si>
    <t>2,264</t>
  </si>
  <si>
    <t>500</t>
  </si>
  <si>
    <t>10,000</t>
  </si>
  <si>
    <t>200</t>
  </si>
  <si>
    <t>2,270,867.28</t>
  </si>
  <si>
    <t>1,524,509</t>
  </si>
  <si>
    <t>4,705,945</t>
  </si>
  <si>
    <t>1,390</t>
  </si>
  <si>
    <t>762,485</t>
  </si>
  <si>
    <t>145,800</t>
  </si>
  <si>
    <t>2,719,980</t>
  </si>
  <si>
    <t>7,665,000</t>
  </si>
  <si>
    <t>184,706.46</t>
  </si>
  <si>
    <t>942</t>
  </si>
  <si>
    <t>88%</t>
  </si>
  <si>
    <t>99%</t>
  </si>
  <si>
    <t>98%</t>
  </si>
  <si>
    <t>98.7%</t>
  </si>
  <si>
    <t>0%</t>
  </si>
  <si>
    <t>11%</t>
  </si>
  <si>
    <t>8.74%</t>
  </si>
  <si>
    <t>78%</t>
  </si>
  <si>
    <t>40%</t>
  </si>
  <si>
    <t>28%</t>
  </si>
  <si>
    <t>85.38%</t>
  </si>
  <si>
    <t>75.6%</t>
  </si>
  <si>
    <t>93%</t>
  </si>
  <si>
    <t>86.0%</t>
  </si>
  <si>
    <t>94%</t>
  </si>
  <si>
    <t>95%</t>
  </si>
  <si>
    <t>98.9%</t>
  </si>
  <si>
    <t>4%</t>
  </si>
  <si>
    <t>2%</t>
  </si>
  <si>
    <t>1%</t>
  </si>
  <si>
    <t>0.1%</t>
  </si>
  <si>
    <t>0.001%</t>
  </si>
  <si>
    <t>0.4%</t>
  </si>
  <si>
    <t>1.2%</t>
  </si>
  <si>
    <t>1.96%</t>
  </si>
  <si>
    <t>0.89%</t>
  </si>
  <si>
    <t>12%</t>
  </si>
  <si>
    <t>15%</t>
  </si>
  <si>
    <t>14%</t>
  </si>
  <si>
    <t>6.17%</t>
  </si>
  <si>
    <t>14.62%</t>
  </si>
  <si>
    <t>1.1%</t>
  </si>
  <si>
    <t>3%</t>
  </si>
  <si>
    <t>25.71%</t>
  </si>
  <si>
    <t>Escriba el nombre de la ciudad</t>
  </si>
  <si>
    <t>PRODUCTION</t>
  </si>
</sst>
</file>

<file path=xl/styles.xml><?xml version="1.0" encoding="utf-8"?>
<styleSheet xmlns="http://schemas.openxmlformats.org/spreadsheetml/2006/main">
  <numFmts count="22">
    <numFmt numFmtId="42" formatCode="_-&quot;£&quot;* #,##0_-;\-&quot;£&quot;* #,##0_-;_-&quot;£&quot;* &quot;-&quot;_-;_-@_-"/>
    <numFmt numFmtId="41" formatCode="_-* #,##0_-;\-* #,##0_-;_-* &quot;-&quot;_-;_-@_-"/>
    <numFmt numFmtId="43" formatCode="_-* #,##0.00_-;\-* #,##0.00_-;_-* &quot;-&quot;??_-;_-@_-"/>
    <numFmt numFmtId="164" formatCode="_(&quot;$&quot;* #,##0.00_);_(&quot;$&quot;* \(#,##0.00\);_(&quot;$&quot;* &quot;-&quot;??_);_(@_)"/>
    <numFmt numFmtId="165" formatCode="_(* #,##0.00_);_(* \(#,##0.00\);_(* &quot;-&quot;??_);_(@_)"/>
    <numFmt numFmtId="166" formatCode="0.0"/>
    <numFmt numFmtId="167" formatCode="0.0%"/>
    <numFmt numFmtId="168" formatCode="_-&quot;€&quot;\ * #,##0.00_-;\-&quot;€&quot;\ * #,##0.00_-;_-&quot;€&quot;\ * &quot;-&quot;??_-;_-@_-"/>
    <numFmt numFmtId="169" formatCode="#,##0.0"/>
    <numFmt numFmtId="170" formatCode="_ * #,##0.00_ ;_ * \-#,##0.00_ ;_ * &quot;-&quot;??_ ;_ @_ "/>
    <numFmt numFmtId="171" formatCode="_(&quot;£&quot;\ * #,##0_);_(&quot;£&quot;\ * \(#,##0\);_(&quot;£&quot;\ * &quot;-&quot;_);_(@_)"/>
    <numFmt numFmtId="172" formatCode="_(&quot;£&quot;\ * #,##0.00_);_(&quot;£&quot;\ * \(#,##0.00\);_(&quot;£&quot;\ * &quot;-&quot;??_);_(@_)"/>
    <numFmt numFmtId="173" formatCode="#\ ##0.0_-;\-#\ ##0.0_-;_-0.0_-;_-@_ "/>
    <numFmt numFmtId="174" formatCode="#\ ##0.00_-;\-#\ ##0.00_-;_-0.00_-;_-@_ "/>
    <numFmt numFmtId="175" formatCode="#,##0.00;[Red]\(#,##0.00\)"/>
    <numFmt numFmtId="176" formatCode="#,##0_ "/>
    <numFmt numFmtId="177" formatCode="_ * #,##0.00_ ;_ * \!\-#,##0.00_ ;_ * &quot;-&quot;??_ ;_ @_ "/>
    <numFmt numFmtId="178" formatCode="_-* #,##0.00\ _D_M_-;\-* #,##0.00\ _D_M_-;_-* &quot;-&quot;??\ _D_M_-;_-@_-"/>
    <numFmt numFmtId="179" formatCode="#,###,##0"/>
    <numFmt numFmtId="180" formatCode="_-* #,##0.00\ _€_-;\-* #,##0.00\ _€_-;_-* &quot;-&quot;??\ _€_-;_-@_-"/>
    <numFmt numFmtId="181" formatCode="\{0\}"/>
    <numFmt numFmtId="182" formatCode="0.0000"/>
  </numFmts>
  <fonts count="191">
    <font>
      <sz val="11"/>
      <color theme="1"/>
      <name val="Calibri"/>
      <family val="2"/>
      <scheme val="minor"/>
    </font>
    <font>
      <sz val="11"/>
      <color indexed="8"/>
      <name val="Calibri"/>
      <family val="2"/>
    </font>
    <font>
      <sz val="8"/>
      <color indexed="8"/>
      <name val="Calibri"/>
      <family val="2"/>
    </font>
    <font>
      <b/>
      <sz val="8"/>
      <color indexed="8"/>
      <name val="Calibri"/>
      <family val="2"/>
    </font>
    <font>
      <sz val="8"/>
      <name val="Calibri"/>
      <family val="2"/>
    </font>
    <font>
      <sz val="8"/>
      <color indexed="10"/>
      <name val="Calibri"/>
      <family val="2"/>
    </font>
    <font>
      <sz val="8"/>
      <color indexed="8"/>
      <name val="Calibri"/>
      <family val="2"/>
    </font>
    <font>
      <b/>
      <sz val="8"/>
      <color indexed="8"/>
      <name val="Calibri"/>
      <family val="2"/>
    </font>
    <font>
      <sz val="8"/>
      <color indexed="17"/>
      <name val="Calibri"/>
      <family val="2"/>
    </font>
    <font>
      <sz val="10"/>
      <color indexed="8"/>
      <name val="Calibri"/>
      <family val="2"/>
    </font>
    <font>
      <b/>
      <sz val="10"/>
      <color indexed="8"/>
      <name val="Calibri"/>
      <family val="2"/>
    </font>
    <font>
      <sz val="10"/>
      <color indexed="10"/>
      <name val="Calibri"/>
      <family val="2"/>
    </font>
    <font>
      <sz val="8"/>
      <color indexed="10"/>
      <name val="Calibri"/>
      <family val="2"/>
    </font>
    <font>
      <sz val="12"/>
      <color indexed="9"/>
      <name val="Calibri"/>
      <family val="2"/>
    </font>
    <font>
      <sz val="8"/>
      <color indexed="8"/>
      <name val="Arial"/>
      <family val="2"/>
    </font>
    <font>
      <sz val="10"/>
      <name val="Arial"/>
      <family val="2"/>
    </font>
    <font>
      <sz val="10"/>
      <color indexed="8"/>
      <name val="MS Sans Serif"/>
      <family val="2"/>
    </font>
    <font>
      <sz val="12"/>
      <name val="Times New Roman"/>
      <family val="1"/>
    </font>
    <font>
      <u/>
      <sz val="10"/>
      <color indexed="12"/>
      <name val="Arial"/>
      <family val="2"/>
    </font>
    <font>
      <sz val="9"/>
      <color indexed="8"/>
      <name val="Calibri"/>
      <family val="2"/>
    </font>
    <font>
      <sz val="10"/>
      <name val="Calibri"/>
      <family val="2"/>
    </font>
    <font>
      <sz val="11"/>
      <color indexed="9"/>
      <name val="Calibri"/>
      <family val="2"/>
    </font>
    <font>
      <sz val="8"/>
      <color indexed="40"/>
      <name val="Calibri"/>
      <family val="2"/>
    </font>
    <font>
      <b/>
      <sz val="10"/>
      <name val="Arial"/>
      <family val="2"/>
    </font>
    <font>
      <sz val="10"/>
      <color indexed="10"/>
      <name val="Arial"/>
      <family val="2"/>
    </font>
    <font>
      <sz val="10"/>
      <color indexed="8"/>
      <name val="Arial"/>
      <family val="2"/>
    </font>
    <font>
      <sz val="1"/>
      <color indexed="8"/>
      <name val="Courier"/>
      <family val="3"/>
    </font>
    <font>
      <sz val="10"/>
      <name val="Times New Roman"/>
      <family val="1"/>
    </font>
    <font>
      <sz val="7.5"/>
      <name val="Century Schoolbook"/>
      <family val="1"/>
    </font>
    <font>
      <sz val="11"/>
      <name val="SL Swiss"/>
    </font>
    <font>
      <sz val="10"/>
      <name val="Arial CE"/>
    </font>
    <font>
      <sz val="6"/>
      <color indexed="8"/>
      <name val="Arial"/>
      <family val="2"/>
    </font>
    <font>
      <sz val="12"/>
      <name val="宋体"/>
      <charset val="134"/>
    </font>
    <font>
      <sz val="12"/>
      <name val="Calibri"/>
      <family val="2"/>
    </font>
    <font>
      <b/>
      <sz val="8"/>
      <name val="Calibri"/>
      <family val="2"/>
    </font>
    <font>
      <sz val="11"/>
      <name val="Calibri"/>
      <family val="2"/>
    </font>
    <font>
      <b/>
      <sz val="11"/>
      <color indexed="8"/>
      <name val="Calibri"/>
      <family val="2"/>
    </font>
    <font>
      <sz val="8"/>
      <color indexed="38"/>
      <name val="Calibri"/>
      <family val="2"/>
    </font>
    <font>
      <sz val="11"/>
      <color indexed="10"/>
      <name val="Calibri"/>
      <family val="2"/>
    </font>
    <font>
      <sz val="14"/>
      <name val="Calibri"/>
      <family val="2"/>
    </font>
    <font>
      <i/>
      <sz val="12"/>
      <name val="Calibri"/>
      <family val="2"/>
    </font>
    <font>
      <i/>
      <sz val="10"/>
      <name val="Calibri"/>
      <family val="2"/>
    </font>
    <font>
      <sz val="10"/>
      <color indexed="23"/>
      <name val="Arial"/>
      <family val="2"/>
    </font>
    <font>
      <sz val="11"/>
      <color theme="1"/>
      <name val="Calibri"/>
      <family val="2"/>
      <scheme val="minor"/>
    </font>
    <font>
      <sz val="11"/>
      <color theme="0"/>
      <name val="Calibri"/>
      <family val="2"/>
      <scheme val="minor"/>
    </font>
    <font>
      <b/>
      <sz val="8"/>
      <color rgb="FF0070C0"/>
      <name val="Calibri"/>
      <family val="2"/>
    </font>
    <font>
      <sz val="11"/>
      <name val="Calibri"/>
      <family val="2"/>
      <scheme val="minor"/>
    </font>
    <font>
      <i/>
      <sz val="10"/>
      <color rgb="FFFF0000"/>
      <name val="Calibri"/>
      <family val="2"/>
      <scheme val="minor"/>
    </font>
    <font>
      <u/>
      <sz val="11"/>
      <color theme="10"/>
      <name val="Calibri"/>
      <family val="2"/>
    </font>
    <font>
      <b/>
      <sz val="12"/>
      <color rgb="FF0070C0"/>
      <name val="Calibri"/>
      <family val="2"/>
    </font>
    <font>
      <sz val="12"/>
      <color rgb="FF0070C0"/>
      <name val="Calibri"/>
      <family val="2"/>
    </font>
    <font>
      <i/>
      <sz val="11"/>
      <color theme="1"/>
      <name val="Calibri"/>
      <family val="2"/>
      <scheme val="minor"/>
    </font>
    <font>
      <i/>
      <sz val="10"/>
      <color theme="1"/>
      <name val="Calibri"/>
      <family val="2"/>
      <scheme val="minor"/>
    </font>
    <font>
      <i/>
      <sz val="8"/>
      <color indexed="8"/>
      <name val="Calibri"/>
      <family val="2"/>
    </font>
    <font>
      <sz val="8"/>
      <color rgb="FF000000"/>
      <name val="Tahoma"/>
      <family val="2"/>
    </font>
    <font>
      <sz val="12"/>
      <color theme="0"/>
      <name val="Calibri"/>
      <family val="2"/>
    </font>
    <font>
      <i/>
      <sz val="11"/>
      <color rgb="FF382E2C"/>
      <name val="Calibri"/>
      <family val="2"/>
      <scheme val="minor"/>
    </font>
    <font>
      <sz val="8"/>
      <color theme="0"/>
      <name val="Calibri"/>
      <family val="2"/>
    </font>
    <font>
      <sz val="11"/>
      <color rgb="FF808080"/>
      <name val="Calibri"/>
      <family val="2"/>
      <scheme val="minor"/>
    </font>
    <font>
      <b/>
      <sz val="18"/>
      <color theme="3"/>
      <name val="Cambria"/>
      <family val="2"/>
      <scheme val="major"/>
    </font>
    <font>
      <u/>
      <sz val="9.9"/>
      <color theme="10"/>
      <name val="Calibri"/>
      <family val="2"/>
    </font>
    <font>
      <b/>
      <sz val="12"/>
      <color rgb="FF000000"/>
      <name val="Calibri"/>
      <family val="2"/>
    </font>
    <font>
      <sz val="10"/>
      <name val="돋움"/>
      <family val="3"/>
      <charset val="129"/>
    </font>
    <font>
      <sz val="8"/>
      <name val="Futura Lt BT"/>
      <family val="2"/>
    </font>
    <font>
      <sz val="12"/>
      <name val="Arial"/>
      <family val="2"/>
    </font>
    <font>
      <sz val="11"/>
      <name val="Arial"/>
      <family val="2"/>
    </font>
    <font>
      <sz val="11"/>
      <name val="돋움"/>
      <family val="3"/>
      <charset val="129"/>
    </font>
    <font>
      <sz val="12"/>
      <name val="바탕체"/>
      <family val="1"/>
      <charset val="129"/>
    </font>
    <font>
      <sz val="11"/>
      <color theme="1"/>
      <name val="맑은 고딕"/>
      <family val="3"/>
      <charset val="129"/>
    </font>
    <font>
      <sz val="10.5"/>
      <color theme="1"/>
      <name val="Calibri"/>
      <family val="2"/>
      <scheme val="minor"/>
    </font>
    <font>
      <sz val="10"/>
      <color theme="0"/>
      <name val="Calibri"/>
      <family val="2"/>
      <scheme val="minor"/>
    </font>
    <font>
      <b/>
      <sz val="14"/>
      <color theme="8" tint="-0.499984740745262"/>
      <name val="Calibri"/>
      <family val="2"/>
    </font>
    <font>
      <b/>
      <sz val="8"/>
      <color theme="0"/>
      <name val="Calibri"/>
      <family val="2"/>
    </font>
    <font>
      <sz val="8"/>
      <color theme="1"/>
      <name val="Calibri"/>
      <family val="2"/>
      <scheme val="minor"/>
    </font>
    <font>
      <sz val="10"/>
      <name val="MS Sans Serif"/>
      <family val="2"/>
    </font>
    <font>
      <sz val="12"/>
      <name val="DTMLetterRegular"/>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9"/>
      <name val="Verdana"/>
      <family val="2"/>
    </font>
    <font>
      <b/>
      <sz val="11"/>
      <color indexed="63"/>
      <name val="Calibri"/>
      <family val="2"/>
    </font>
    <font>
      <b/>
      <sz val="14"/>
      <color indexed="23"/>
      <name val="Arial"/>
      <family val="2"/>
    </font>
    <font>
      <b/>
      <sz val="10"/>
      <color indexed="8"/>
      <name val="Arial"/>
      <family val="2"/>
    </font>
    <font>
      <sz val="11"/>
      <name val="ＭＳ Ｐゴシック"/>
      <family val="2"/>
      <charset val="128"/>
    </font>
    <font>
      <b/>
      <sz val="12"/>
      <color indexed="8"/>
      <name val="Arial"/>
      <family val="2"/>
    </font>
    <font>
      <sz val="12"/>
      <color theme="1"/>
      <name val="Calibri"/>
      <family val="2"/>
      <scheme val="minor"/>
    </font>
    <font>
      <b/>
      <sz val="12"/>
      <color indexed="8"/>
      <name val="Calibri"/>
      <family val="2"/>
    </font>
    <font>
      <sz val="8"/>
      <color theme="0"/>
      <name val="Calibri"/>
      <family val="2"/>
      <scheme val="minor"/>
    </font>
    <font>
      <sz val="8"/>
      <name val="Calibri"/>
      <family val="2"/>
      <scheme val="minor"/>
    </font>
    <font>
      <b/>
      <sz val="10"/>
      <name val="Calibri"/>
      <family val="2"/>
    </font>
    <font>
      <sz val="10"/>
      <color theme="1"/>
      <name val="Arial"/>
      <family val="2"/>
    </font>
    <font>
      <u/>
      <sz val="10"/>
      <color theme="10"/>
      <name val="Arial"/>
      <family val="2"/>
    </font>
    <font>
      <b/>
      <sz val="14"/>
      <color theme="0"/>
      <name val="Calibri"/>
      <family val="2"/>
      <scheme val="minor"/>
    </font>
    <font>
      <b/>
      <sz val="14"/>
      <name val="Calibri"/>
      <family val="2"/>
      <scheme val="minor"/>
    </font>
    <font>
      <b/>
      <sz val="14"/>
      <color theme="1"/>
      <name val="Calibri"/>
      <family val="2"/>
      <scheme val="minor"/>
    </font>
    <font>
      <b/>
      <sz val="14"/>
      <color rgb="FF0070C0"/>
      <name val="Calibri"/>
      <family val="2"/>
      <scheme val="minor"/>
    </font>
    <font>
      <sz val="10"/>
      <color rgb="FF000000"/>
      <name val="Arial"/>
      <family val="2"/>
    </font>
    <font>
      <sz val="9"/>
      <color theme="1" tint="0.249977111117893"/>
      <name val="Calibri"/>
      <family val="2"/>
    </font>
    <font>
      <b/>
      <sz val="14"/>
      <color rgb="FF00AA3C"/>
      <name val="Calibri"/>
      <family val="2"/>
      <scheme val="minor"/>
    </font>
    <font>
      <b/>
      <sz val="14"/>
      <color rgb="FFC00000"/>
      <name val="Calibri"/>
      <family val="2"/>
      <scheme val="minor"/>
    </font>
    <font>
      <i/>
      <sz val="10"/>
      <color theme="0"/>
      <name val="Calibri"/>
      <family val="2"/>
      <scheme val="minor"/>
    </font>
    <font>
      <sz val="11"/>
      <color rgb="FF000000"/>
      <name val="Calibri"/>
      <family val="2"/>
      <scheme val="minor"/>
    </font>
    <font>
      <b/>
      <sz val="8"/>
      <color theme="1"/>
      <name val="Calibri"/>
      <family val="2"/>
      <scheme val="minor"/>
    </font>
    <font>
      <sz val="8"/>
      <color theme="9" tint="-0.499984740745262"/>
      <name val="Calibri"/>
      <family val="2"/>
      <scheme val="minor"/>
    </font>
    <font>
      <b/>
      <sz val="11"/>
      <color theme="1"/>
      <name val="Calibri"/>
      <family val="2"/>
      <scheme val="minor"/>
    </font>
    <font>
      <sz val="10"/>
      <name val="Calibri"/>
      <family val="2"/>
      <scheme val="minor"/>
    </font>
    <font>
      <b/>
      <sz val="10"/>
      <color indexed="9"/>
      <name val="Calibri"/>
      <family val="2"/>
      <scheme val="minor"/>
    </font>
    <font>
      <b/>
      <sz val="12"/>
      <color indexed="9"/>
      <name val="Calibri"/>
      <family val="2"/>
      <scheme val="minor"/>
    </font>
    <font>
      <sz val="10"/>
      <color indexed="9"/>
      <name val="Calibri"/>
      <family val="2"/>
      <scheme val="minor"/>
    </font>
    <font>
      <u/>
      <sz val="12"/>
      <color indexed="9"/>
      <name val="Calibri"/>
      <family val="2"/>
      <scheme val="minor"/>
    </font>
    <font>
      <b/>
      <sz val="10"/>
      <name val="Calibri"/>
      <family val="2"/>
      <scheme val="minor"/>
    </font>
    <font>
      <b/>
      <sz val="14"/>
      <color indexed="55"/>
      <name val="Calibri"/>
      <family val="2"/>
      <scheme val="minor"/>
    </font>
    <font>
      <b/>
      <sz val="12"/>
      <name val="Calibri"/>
      <family val="2"/>
      <scheme val="minor"/>
    </font>
    <font>
      <b/>
      <sz val="12"/>
      <color theme="0"/>
      <name val="Calibri"/>
      <family val="2"/>
      <scheme val="minor"/>
    </font>
    <font>
      <sz val="11"/>
      <color rgb="FF002451"/>
      <name val="Calibri"/>
      <family val="2"/>
    </font>
    <font>
      <sz val="11"/>
      <color rgb="FF222222"/>
      <name val="Calibri"/>
      <family val="2"/>
      <scheme val="minor"/>
    </font>
    <font>
      <b/>
      <sz val="18"/>
      <color theme="0"/>
      <name val="Calibri"/>
      <family val="2"/>
      <scheme val="minor"/>
    </font>
    <font>
      <b/>
      <sz val="8"/>
      <color theme="0"/>
      <name val="Calibri"/>
      <family val="2"/>
      <scheme val="minor"/>
    </font>
    <font>
      <b/>
      <sz val="11"/>
      <name val="Calibri"/>
      <family val="2"/>
      <scheme val="minor"/>
    </font>
    <font>
      <sz val="10"/>
      <color indexed="8"/>
      <name val="Calibri"/>
      <family val="2"/>
      <scheme val="minor"/>
    </font>
    <font>
      <sz val="11"/>
      <color rgb="FF382E2C"/>
      <name val="Calibri"/>
      <family val="2"/>
      <scheme val="minor"/>
    </font>
    <font>
      <sz val="11"/>
      <color indexed="8"/>
      <name val="Calibri"/>
      <family val="2"/>
      <scheme val="minor"/>
    </font>
    <font>
      <sz val="16"/>
      <color indexed="9"/>
      <name val="Calibri"/>
      <family val="2"/>
      <scheme val="minor"/>
    </font>
    <font>
      <sz val="10"/>
      <color theme="1"/>
      <name val="Calibri"/>
      <family val="2"/>
      <scheme val="minor"/>
    </font>
    <font>
      <sz val="10"/>
      <color rgb="FF382E2C"/>
      <name val="Calibri"/>
      <family val="2"/>
      <scheme val="minor"/>
    </font>
    <font>
      <sz val="12"/>
      <color indexed="9"/>
      <name val="Calibri"/>
      <family val="2"/>
      <scheme val="minor"/>
    </font>
    <font>
      <b/>
      <sz val="10"/>
      <color rgb="FF382E2C"/>
      <name val="Calibri"/>
      <family val="2"/>
      <scheme val="minor"/>
    </font>
    <font>
      <b/>
      <sz val="11"/>
      <color rgb="FF382E2C"/>
      <name val="Calibri"/>
      <family val="2"/>
      <scheme val="minor"/>
    </font>
    <font>
      <sz val="14"/>
      <color indexed="9"/>
      <name val="Calibri"/>
      <family val="2"/>
      <scheme val="minor"/>
    </font>
    <font>
      <sz val="14"/>
      <color indexed="8"/>
      <name val="Calibri"/>
      <family val="2"/>
      <scheme val="minor"/>
    </font>
    <font>
      <sz val="14"/>
      <color theme="1"/>
      <name val="Calibri"/>
      <family val="2"/>
      <scheme val="minor"/>
    </font>
    <font>
      <i/>
      <sz val="10"/>
      <color rgb="FF382E2C"/>
      <name val="Calibri"/>
      <family val="2"/>
      <scheme val="minor"/>
    </font>
    <font>
      <i/>
      <sz val="10"/>
      <color indexed="8"/>
      <name val="Calibri"/>
      <family val="2"/>
      <scheme val="minor"/>
    </font>
    <font>
      <b/>
      <sz val="11"/>
      <color rgb="FFFF0000"/>
      <name val="Calibri"/>
      <family val="2"/>
      <scheme val="minor"/>
    </font>
    <font>
      <b/>
      <sz val="16"/>
      <color theme="1"/>
      <name val="Calibri"/>
      <family val="2"/>
      <scheme val="minor"/>
    </font>
    <font>
      <b/>
      <sz val="12"/>
      <color theme="1"/>
      <name val="Calibri"/>
      <family val="2"/>
      <scheme val="minor"/>
    </font>
    <font>
      <b/>
      <sz val="10"/>
      <color theme="1"/>
      <name val="Calibri"/>
      <family val="2"/>
      <scheme val="minor"/>
    </font>
    <font>
      <b/>
      <u/>
      <sz val="11"/>
      <color rgb="FF0070C0"/>
      <name val="Calibri"/>
      <family val="2"/>
      <scheme val="minor"/>
    </font>
    <font>
      <sz val="14"/>
      <color theme="0"/>
      <name val="Calibri"/>
      <family val="2"/>
      <scheme val="minor"/>
    </font>
    <font>
      <sz val="20"/>
      <name val="Calibri"/>
      <family val="2"/>
      <scheme val="minor"/>
    </font>
    <font>
      <sz val="11"/>
      <color rgb="FF000000"/>
      <name val="Calibri"/>
      <family val="2"/>
    </font>
    <font>
      <sz val="9"/>
      <color theme="1"/>
      <name val="Calibri"/>
      <family val="2"/>
      <scheme val="minor"/>
    </font>
    <font>
      <sz val="14"/>
      <name val="Calibri"/>
      <family val="2"/>
      <scheme val="minor"/>
    </font>
    <font>
      <sz val="14"/>
      <color indexed="8"/>
      <name val="Calibri"/>
      <family val="2"/>
    </font>
    <font>
      <i/>
      <sz val="14"/>
      <color rgb="FF595959"/>
      <name val="Calibri"/>
      <family val="2"/>
      <scheme val="minor"/>
    </font>
    <font>
      <b/>
      <sz val="10"/>
      <color rgb="FF000000"/>
      <name val="Calibri"/>
      <family val="2"/>
      <scheme val="minor"/>
    </font>
    <font>
      <sz val="10"/>
      <name val="Verdana"/>
      <family val="2"/>
    </font>
    <font>
      <sz val="10"/>
      <color indexed="12"/>
      <name val="Verdana"/>
      <family val="2"/>
    </font>
    <font>
      <b/>
      <sz val="10"/>
      <name val="Verdana"/>
      <family val="2"/>
    </font>
    <font>
      <sz val="10"/>
      <color indexed="60"/>
      <name val="Verdana"/>
      <family val="2"/>
    </font>
    <font>
      <i/>
      <sz val="10"/>
      <color indexed="60"/>
      <name val="Verdana"/>
      <family val="2"/>
    </font>
    <font>
      <b/>
      <sz val="14"/>
      <name val="Verdana"/>
      <family val="2"/>
    </font>
    <font>
      <sz val="11"/>
      <color rgb="FFFF0000"/>
      <name val="Calibri"/>
      <family val="2"/>
      <scheme val="minor"/>
    </font>
    <font>
      <i/>
      <sz val="14"/>
      <name val="Calibri"/>
      <family val="2"/>
      <scheme val="minor"/>
    </font>
    <font>
      <sz val="11"/>
      <color theme="1"/>
      <name val="Calibri"/>
      <family val="2"/>
    </font>
    <font>
      <sz val="10"/>
      <color rgb="FF000000"/>
      <name val="Geneva"/>
    </font>
    <font>
      <b/>
      <sz val="9"/>
      <name val="Calibri"/>
      <family val="2"/>
      <scheme val="minor"/>
    </font>
    <font>
      <sz val="8"/>
      <color rgb="FFFF0000"/>
      <name val="Calibri"/>
      <family val="2"/>
      <scheme val="minor"/>
    </font>
    <font>
      <sz val="12"/>
      <color theme="1"/>
      <name val="Times New Roman"/>
      <family val="1"/>
    </font>
    <font>
      <sz val="10"/>
      <color rgb="FFFF0000"/>
      <name val="Arial"/>
      <family val="2"/>
    </font>
    <font>
      <b/>
      <sz val="11"/>
      <color theme="0"/>
      <name val="Calibri"/>
      <family val="2"/>
      <scheme val="minor"/>
    </font>
    <font>
      <sz val="12"/>
      <color theme="0"/>
      <name val="Calibri"/>
      <family val="2"/>
      <scheme val="minor"/>
    </font>
    <font>
      <sz val="48"/>
      <color rgb="FF002451"/>
      <name val="Calibri"/>
      <family val="2"/>
      <scheme val="minor"/>
    </font>
    <font>
      <sz val="12"/>
      <color theme="0" tint="-4.9989318521683403E-2"/>
      <name val="Calibri"/>
      <family val="2"/>
      <scheme val="minor"/>
    </font>
    <font>
      <sz val="11"/>
      <color theme="0" tint="-4.9989318521683403E-2"/>
      <name val="Calibri"/>
      <family val="2"/>
      <scheme val="minor"/>
    </font>
    <font>
      <sz val="12"/>
      <name val="Calibri"/>
      <family val="2"/>
      <scheme val="minor"/>
    </font>
    <font>
      <sz val="12"/>
      <color theme="3" tint="0.39997558519241921"/>
      <name val="Calibri"/>
      <family val="2"/>
      <scheme val="minor"/>
    </font>
    <font>
      <b/>
      <sz val="14"/>
      <color theme="1" tint="0.34998626667073579"/>
      <name val="Calibri"/>
      <family val="2"/>
      <scheme val="minor"/>
    </font>
    <font>
      <b/>
      <sz val="13"/>
      <color rgb="FF4F81BD"/>
      <name val="Cambria"/>
      <family val="1"/>
    </font>
    <font>
      <b/>
      <sz val="12"/>
      <color rgb="FF4F81BD"/>
      <name val="Cambria"/>
      <family val="1"/>
    </font>
    <font>
      <b/>
      <i/>
      <sz val="12"/>
      <color theme="1"/>
      <name val="Calibri"/>
      <family val="2"/>
      <scheme val="minor"/>
    </font>
    <font>
      <b/>
      <sz val="16"/>
      <name val="Calibri"/>
      <family val="2"/>
      <scheme val="minor"/>
    </font>
    <font>
      <b/>
      <i/>
      <sz val="10"/>
      <color rgb="FF382E2C"/>
      <name val="Calibri"/>
      <family val="2"/>
      <scheme val="minor"/>
    </font>
    <font>
      <b/>
      <sz val="14"/>
      <color rgb="FFCF7D0F"/>
      <name val="Calibri"/>
      <family val="2"/>
      <scheme val="minor"/>
    </font>
    <font>
      <sz val="17"/>
      <color theme="0"/>
      <name val="Calibri"/>
      <family val="2"/>
      <scheme val="minor"/>
    </font>
    <font>
      <sz val="12"/>
      <color rgb="FF222222"/>
      <name val="Calibri"/>
      <family val="2"/>
      <scheme val="minor"/>
    </font>
    <font>
      <sz val="10.5"/>
      <color theme="0"/>
      <name val="Calibri"/>
      <family val="2"/>
      <scheme val="minor"/>
    </font>
    <font>
      <sz val="10.5"/>
      <name val="Calibri"/>
      <family val="2"/>
      <scheme val="minor"/>
    </font>
    <font>
      <b/>
      <sz val="10.5"/>
      <color theme="0"/>
      <name val="Calibri"/>
      <family val="2"/>
      <scheme val="minor"/>
    </font>
    <font>
      <sz val="18"/>
      <color theme="0"/>
      <name val="Calibri"/>
      <family val="2"/>
      <scheme val="minor"/>
    </font>
    <font>
      <sz val="9"/>
      <color rgb="FF000000"/>
      <name val="Calibri"/>
      <family val="2"/>
    </font>
    <font>
      <sz val="9"/>
      <name val="Calibri"/>
      <family val="2"/>
      <scheme val="minor"/>
    </font>
    <font>
      <sz val="16"/>
      <color theme="0"/>
      <name val="Calibri"/>
      <family val="2"/>
      <scheme val="minor"/>
    </font>
  </fonts>
  <fills count="69">
    <fill>
      <patternFill patternType="none"/>
    </fill>
    <fill>
      <patternFill patternType="gray125"/>
    </fill>
    <fill>
      <patternFill patternType="solid">
        <fgColor indexed="31"/>
        <bgColor indexed="64"/>
      </patternFill>
    </fill>
    <fill>
      <patternFill patternType="solid">
        <fgColor indexed="13"/>
        <bgColor indexed="64"/>
      </patternFill>
    </fill>
    <fill>
      <patternFill patternType="solid">
        <fgColor indexed="51"/>
        <bgColor indexed="64"/>
      </patternFill>
    </fill>
    <fill>
      <patternFill patternType="solid">
        <fgColor indexed="43"/>
        <bgColor indexed="64"/>
      </patternFill>
    </fill>
    <fill>
      <patternFill patternType="solid">
        <fgColor indexed="8"/>
        <bgColor indexed="64"/>
      </patternFill>
    </fill>
    <fill>
      <patternFill patternType="solid">
        <fgColor theme="4"/>
      </patternFill>
    </fill>
    <fill>
      <patternFill patternType="solid">
        <fgColor rgb="FFFFFFCC"/>
      </patternFill>
    </fill>
    <fill>
      <patternFill patternType="solid">
        <fgColor rgb="FFFF0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rgb="FF44687D"/>
        <bgColor indexed="64"/>
      </patternFill>
    </fill>
    <fill>
      <patternFill patternType="solid">
        <fgColor rgb="FF5B84A2"/>
        <bgColor indexed="64"/>
      </patternFill>
    </fill>
    <fill>
      <patternFill patternType="solid">
        <fgColor rgb="FF8EAAC2"/>
        <bgColor indexed="64"/>
      </patternFill>
    </fill>
    <fill>
      <patternFill patternType="solid">
        <fgColor rgb="FFB5C6D8"/>
        <bgColor indexed="64"/>
      </patternFill>
    </fill>
    <fill>
      <patternFill patternType="solid">
        <fgColor rgb="FFE0E7EF"/>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3"/>
      </patternFill>
    </fill>
    <fill>
      <patternFill patternType="gray0625">
        <fgColor indexed="9"/>
      </patternFill>
    </fill>
    <fill>
      <patternFill patternType="solid">
        <fgColor indexed="61"/>
        <bgColor indexed="64"/>
      </patternFill>
    </fill>
    <fill>
      <patternFill patternType="solid">
        <fgColor indexed="23"/>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FFFFF"/>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rgb="FFDCE6F2"/>
        <bgColor indexed="64"/>
      </patternFill>
    </fill>
    <fill>
      <patternFill patternType="solid">
        <fgColor rgb="FF002451"/>
        <bgColor indexed="64"/>
      </patternFill>
    </fill>
    <fill>
      <patternFill patternType="solid">
        <fgColor rgb="FF005B94"/>
        <bgColor indexed="64"/>
      </patternFill>
    </fill>
    <fill>
      <patternFill patternType="solid">
        <fgColor rgb="FFC7E0F5"/>
        <bgColor indexed="64"/>
      </patternFill>
    </fill>
    <fill>
      <patternFill patternType="solid">
        <fgColor rgb="FF92C5EB"/>
        <bgColor indexed="64"/>
      </patternFill>
    </fill>
    <fill>
      <patternFill patternType="solid">
        <fgColor rgb="FF0F8EC7"/>
        <bgColor indexed="64"/>
      </patternFill>
    </fill>
    <fill>
      <patternFill patternType="solid">
        <fgColor rgb="FF003656"/>
        <bgColor auto="1"/>
      </patternFill>
    </fill>
    <fill>
      <patternFill patternType="solid">
        <fgColor theme="4" tint="0.59999389629810485"/>
        <bgColor auto="1"/>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C00000"/>
        <bgColor indexed="64"/>
      </patternFill>
    </fill>
    <fill>
      <patternFill patternType="solid">
        <fgColor rgb="FFEAEAEA"/>
        <bgColor indexed="64"/>
      </patternFill>
    </fill>
    <fill>
      <patternFill patternType="solid">
        <fgColor rgb="FF00B0F0"/>
        <bgColor indexed="64"/>
      </patternFill>
    </fill>
    <fill>
      <patternFill patternType="solid">
        <fgColor rgb="FF0070C0"/>
        <bgColor indexed="64"/>
      </patternFill>
    </fill>
    <fill>
      <patternFill patternType="solid">
        <fgColor rgb="FF00477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rgb="FFFF0000"/>
        <bgColor rgb="FFD8D8D8"/>
      </patternFill>
    </fill>
  </fills>
  <borders count="79">
    <border>
      <left/>
      <right/>
      <top/>
      <bottom/>
      <diagonal/>
    </border>
    <border>
      <left/>
      <right style="thin">
        <color indexed="64"/>
      </right>
      <top/>
      <bottom/>
      <diagonal/>
    </border>
    <border>
      <left/>
      <right/>
      <top/>
      <bottom style="hair">
        <color indexed="55"/>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style="thin">
        <color indexed="64"/>
      </right>
      <top style="thin">
        <color indexed="64"/>
      </top>
      <bottom/>
      <diagonal/>
    </border>
    <border>
      <left/>
      <right/>
      <top style="thin">
        <color indexed="44"/>
      </top>
      <bottom style="thin">
        <color indexed="4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9"/>
      </left>
      <right style="thin">
        <color indexed="9"/>
      </right>
      <top style="thin">
        <color indexed="9"/>
      </top>
      <bottom style="thin">
        <color indexed="9"/>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tted">
        <color theme="4" tint="0.79998168889431442"/>
      </left>
      <right style="dotted">
        <color theme="4" tint="0.79998168889431442"/>
      </right>
      <top style="thin">
        <color indexed="44"/>
      </top>
      <bottom style="thin">
        <color indexed="44"/>
      </bottom>
      <diagonal/>
    </border>
    <border>
      <left style="thin">
        <color theme="3" tint="0.59996337778862885"/>
      </left>
      <right style="thin">
        <color indexed="44"/>
      </right>
      <top style="thin">
        <color indexed="44"/>
      </top>
      <bottom style="thin">
        <color indexed="44"/>
      </bottom>
      <diagonal/>
    </border>
    <border>
      <left style="thin">
        <color theme="3" tint="0.59996337778862885"/>
      </left>
      <right style="dotted">
        <color theme="4" tint="0.79998168889431442"/>
      </right>
      <top style="thin">
        <color indexed="44"/>
      </top>
      <bottom style="thin">
        <color indexed="44"/>
      </bottom>
      <diagonal/>
    </border>
    <border>
      <left style="medium">
        <color indexed="64"/>
      </left>
      <right style="medium">
        <color indexed="64"/>
      </right>
      <top/>
      <bottom style="thin">
        <color indexed="64"/>
      </bottom>
      <diagonal/>
    </border>
    <border>
      <left style="dotted">
        <color indexed="44"/>
      </left>
      <right style="dotted">
        <color indexed="44"/>
      </right>
      <top/>
      <bottom/>
      <diagonal/>
    </border>
    <border>
      <left/>
      <right style="thin">
        <color rgb="FF6599D9"/>
      </right>
      <top style="thin">
        <color indexed="44"/>
      </top>
      <bottom style="thin">
        <color indexed="44"/>
      </bottom>
      <diagonal/>
    </border>
    <border>
      <left/>
      <right/>
      <top/>
      <bottom style="dotted">
        <color rgb="FF002451"/>
      </bottom>
      <diagonal/>
    </border>
    <border>
      <left/>
      <right/>
      <top/>
      <bottom style="thin">
        <color theme="0"/>
      </bottom>
      <diagonal/>
    </border>
    <border>
      <left/>
      <right/>
      <top/>
      <bottom style="hair">
        <color rgb="FF002451"/>
      </bottom>
      <diagonal/>
    </border>
    <border>
      <left/>
      <right/>
      <top style="dotted">
        <color rgb="FF002451"/>
      </top>
      <bottom style="dotted">
        <color rgb="FF002451"/>
      </bottom>
      <diagonal/>
    </border>
    <border>
      <left style="thin">
        <color rgb="FF002451"/>
      </left>
      <right/>
      <top style="thin">
        <color rgb="FF002451"/>
      </top>
      <bottom style="dotted">
        <color rgb="FF002451"/>
      </bottom>
      <diagonal/>
    </border>
    <border>
      <left/>
      <right/>
      <top style="thin">
        <color rgb="FF002451"/>
      </top>
      <bottom style="dotted">
        <color rgb="FF002451"/>
      </bottom>
      <diagonal/>
    </border>
    <border>
      <left style="thin">
        <color rgb="FF002451"/>
      </left>
      <right/>
      <top style="dotted">
        <color rgb="FF002451"/>
      </top>
      <bottom style="dotted">
        <color rgb="FF002451"/>
      </bottom>
      <diagonal/>
    </border>
    <border>
      <left/>
      <right style="dotted">
        <color rgb="FF002451"/>
      </right>
      <top style="thin">
        <color rgb="FF002451"/>
      </top>
      <bottom style="dotted">
        <color rgb="FF002451"/>
      </bottom>
      <diagonal/>
    </border>
    <border>
      <left style="dotted">
        <color rgb="FF002451"/>
      </left>
      <right style="dotted">
        <color rgb="FF002451"/>
      </right>
      <top style="thin">
        <color rgb="FF002451"/>
      </top>
      <bottom style="dotted">
        <color rgb="FF002451"/>
      </bottom>
      <diagonal/>
    </border>
    <border>
      <left style="dotted">
        <color rgb="FF002451"/>
      </left>
      <right style="dotted">
        <color rgb="FF002451"/>
      </right>
      <top style="dotted">
        <color rgb="FF002451"/>
      </top>
      <bottom style="dotted">
        <color rgb="FF002451"/>
      </bottom>
      <diagonal/>
    </border>
    <border>
      <left/>
      <right/>
      <top style="thin">
        <color rgb="FF002451"/>
      </top>
      <bottom style="thin">
        <color rgb="FF002451"/>
      </bottom>
      <diagonal/>
    </border>
    <border>
      <left/>
      <right style="dotted">
        <color rgb="FF002451"/>
      </right>
      <top style="thin">
        <color rgb="FF002451"/>
      </top>
      <bottom style="thin">
        <color rgb="FF002451"/>
      </bottom>
      <diagonal/>
    </border>
    <border>
      <left style="thin">
        <color rgb="FF002451"/>
      </left>
      <right/>
      <top style="thin">
        <color rgb="FF002451"/>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theme="0"/>
      </left>
      <right style="thin">
        <color theme="0"/>
      </right>
      <top style="thin">
        <color theme="0"/>
      </top>
      <bottom/>
      <diagonal/>
    </border>
    <border>
      <left/>
      <right style="thin">
        <color theme="0"/>
      </right>
      <top style="thin">
        <color theme="0"/>
      </top>
      <bottom/>
      <diagonal/>
    </border>
    <border>
      <left style="medium">
        <color auto="1"/>
      </left>
      <right style="medium">
        <color auto="1"/>
      </right>
      <top/>
      <bottom style="medium">
        <color auto="1"/>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bottom style="medium">
        <color rgb="FF000000"/>
      </bottom>
      <diagonal/>
    </border>
    <border>
      <left style="medium">
        <color indexed="64"/>
      </left>
      <right style="medium">
        <color indexed="64"/>
      </right>
      <top/>
      <bottom style="medium">
        <color indexed="64"/>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dotted">
        <color indexed="44"/>
      </left>
      <right style="dotted">
        <color indexed="44"/>
      </right>
      <top/>
      <bottom style="thin">
        <color rgb="FF002451"/>
      </bottom>
      <diagonal/>
    </border>
    <border>
      <left style="dotted">
        <color rgb="FF002451"/>
      </left>
      <right style="thin">
        <color rgb="FF002451"/>
      </right>
      <top style="thin">
        <color rgb="FF002451"/>
      </top>
      <bottom style="dotted">
        <color rgb="FF002451"/>
      </bottom>
      <diagonal/>
    </border>
    <border>
      <left style="dotted">
        <color rgb="FF002451"/>
      </left>
      <right style="thin">
        <color rgb="FF002451"/>
      </right>
      <top style="dotted">
        <color rgb="FF002451"/>
      </top>
      <bottom style="dotted">
        <color rgb="FF002451"/>
      </bottom>
      <diagonal/>
    </border>
    <border>
      <left style="thin">
        <color rgb="FF002451"/>
      </left>
      <right/>
      <top style="dotted">
        <color rgb="FF002451"/>
      </top>
      <bottom style="thin">
        <color rgb="FF002451"/>
      </bottom>
      <diagonal/>
    </border>
    <border>
      <left/>
      <right/>
      <top style="dotted">
        <color rgb="FF002451"/>
      </top>
      <bottom style="thin">
        <color rgb="FF002451"/>
      </bottom>
      <diagonal/>
    </border>
    <border>
      <left style="dotted">
        <color rgb="FF002451"/>
      </left>
      <right style="dotted">
        <color rgb="FF002451"/>
      </right>
      <top style="dotted">
        <color rgb="FF002451"/>
      </top>
      <bottom style="thin">
        <color rgb="FF002451"/>
      </bottom>
      <diagonal/>
    </border>
    <border>
      <left/>
      <right style="thin">
        <color rgb="FF002451"/>
      </right>
      <top/>
      <bottom/>
      <diagonal/>
    </border>
    <border>
      <left/>
      <right style="thin">
        <color rgb="FF002451"/>
      </right>
      <top style="thin">
        <color rgb="FF002451"/>
      </top>
      <bottom style="dotted">
        <color rgb="FF002451"/>
      </bottom>
      <diagonal/>
    </border>
    <border>
      <left style="dotted">
        <color rgb="FF002451"/>
      </left>
      <right style="thin">
        <color rgb="FF002451"/>
      </right>
      <top style="dotted">
        <color rgb="FF002451"/>
      </top>
      <bottom style="thin">
        <color indexed="64"/>
      </bottom>
      <diagonal/>
    </border>
    <border>
      <left style="dotted">
        <color rgb="FF002451"/>
      </left>
      <right/>
      <top style="dotted">
        <color rgb="FF002451"/>
      </top>
      <bottom style="thin">
        <color indexed="64"/>
      </bottom>
      <diagonal/>
    </border>
    <border>
      <left style="dotted">
        <color rgb="FF002451"/>
      </left>
      <right style="dotted">
        <color rgb="FF002451"/>
      </right>
      <top style="dotted">
        <color rgb="FF002451"/>
      </top>
      <bottom style="thin">
        <color indexed="64"/>
      </bottom>
      <diagonal/>
    </border>
    <border>
      <left/>
      <right/>
      <top style="dotted">
        <color rgb="FF002451"/>
      </top>
      <bottom style="thin">
        <color indexed="64"/>
      </bottom>
      <diagonal/>
    </border>
    <border>
      <left style="dotted">
        <color rgb="FF002451"/>
      </left>
      <right style="thin">
        <color rgb="FF002451"/>
      </right>
      <top style="dotted">
        <color rgb="FF002451"/>
      </top>
      <bottom style="thin">
        <color rgb="FF002451"/>
      </bottom>
      <diagonal/>
    </border>
    <border>
      <left style="thin">
        <color rgb="FF002451"/>
      </left>
      <right style="thin">
        <color rgb="FF002451"/>
      </right>
      <top style="dotted">
        <color rgb="FF002451"/>
      </top>
      <bottom style="thin">
        <color rgb="FF002451"/>
      </bottom>
      <diagonal/>
    </border>
    <border>
      <left style="thin">
        <color rgb="FF002451"/>
      </left>
      <right style="thin">
        <color rgb="FF002451"/>
      </right>
      <top style="dotted">
        <color rgb="FF002451"/>
      </top>
      <bottom style="dotted">
        <color rgb="FF002451"/>
      </bottom>
      <diagonal/>
    </border>
    <border>
      <left style="thin">
        <color theme="3" tint="0.59996337778862885"/>
      </left>
      <right style="thin">
        <color theme="3" tint="0.59996337778862885"/>
      </right>
      <top style="thin">
        <color indexed="44"/>
      </top>
      <bottom style="thin">
        <color theme="3" tint="0.59996337778862885"/>
      </bottom>
      <diagonal/>
    </border>
    <border>
      <left style="thin">
        <color theme="3" tint="0.59996337778862885"/>
      </left>
      <right style="dotted">
        <color theme="4" tint="0.79998168889431442"/>
      </right>
      <top/>
      <bottom style="thin">
        <color indexed="44"/>
      </bottom>
      <diagonal/>
    </border>
    <border>
      <left style="thin">
        <color theme="3" tint="0.59996337778862885"/>
      </left>
      <right style="thin">
        <color theme="3" tint="0.59996337778862885"/>
      </right>
      <top style="thin">
        <color indexed="44"/>
      </top>
      <bottom style="thin">
        <color indexed="4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s>
  <cellStyleXfs count="186">
    <xf numFmtId="0" fontId="0" fillId="0" borderId="0"/>
    <xf numFmtId="0" fontId="15" fillId="0" borderId="0"/>
    <xf numFmtId="0" fontId="15" fillId="0" borderId="0"/>
    <xf numFmtId="3" fontId="24" fillId="0" borderId="0" applyFont="0" applyProtection="0"/>
    <xf numFmtId="169" fontId="24" fillId="0" borderId="0" applyFont="0" applyProtection="0"/>
    <xf numFmtId="166" fontId="24" fillId="0" borderId="0" applyFont="0" applyProtection="0"/>
    <xf numFmtId="2" fontId="24" fillId="0" borderId="0" applyFont="0" applyProtection="0"/>
    <xf numFmtId="1" fontId="25" fillId="0" borderId="0" applyFont="0"/>
    <xf numFmtId="0" fontId="15" fillId="0" borderId="0"/>
    <xf numFmtId="0" fontId="16" fillId="0" borderId="0"/>
    <xf numFmtId="0" fontId="15" fillId="0" borderId="0">
      <alignment horizontal="left" wrapText="1"/>
    </xf>
    <xf numFmtId="0" fontId="15" fillId="0" borderId="0">
      <protection locked="0"/>
    </xf>
    <xf numFmtId="0" fontId="16" fillId="0" borderId="0"/>
    <xf numFmtId="0" fontId="15" fillId="0" borderId="0">
      <alignment horizontal="left" wrapText="1"/>
    </xf>
    <xf numFmtId="0" fontId="15" fillId="0" borderId="0"/>
    <xf numFmtId="0" fontId="15" fillId="0" borderId="0"/>
    <xf numFmtId="0" fontId="15" fillId="0" borderId="0"/>
    <xf numFmtId="0" fontId="17" fillId="0" borderId="0" applyNumberFormat="0" applyFill="0" applyBorder="0" applyAlignment="0" applyProtection="0"/>
    <xf numFmtId="0" fontId="15" fillId="0" borderId="0"/>
    <xf numFmtId="0" fontId="15" fillId="0" borderId="0"/>
    <xf numFmtId="42" fontId="15" fillId="0" borderId="0" applyFont="0" applyFill="0" applyBorder="0" applyAlignment="0" applyProtection="0"/>
    <xf numFmtId="0" fontId="44" fillId="7" borderId="0" applyNumberFormat="0" applyBorder="0" applyAlignment="0" applyProtection="0"/>
    <xf numFmtId="0" fontId="15" fillId="0" borderId="0" applyNumberFormat="0" applyFill="0" applyBorder="0" applyAlignment="0" applyProtection="0"/>
    <xf numFmtId="165" fontId="15" fillId="0" borderId="0" applyFont="0" applyFill="0" applyBorder="0" applyAlignment="0" applyProtection="0"/>
    <xf numFmtId="43" fontId="43" fillId="0" borderId="0" applyFont="0" applyFill="0" applyBorder="0" applyAlignment="0" applyProtection="0"/>
    <xf numFmtId="165" fontId="1" fillId="0" borderId="0" applyFont="0" applyFill="0" applyBorder="0" applyAlignment="0" applyProtection="0"/>
    <xf numFmtId="43" fontId="15" fillId="0" borderId="0" applyFont="0" applyFill="0" applyBorder="0" applyAlignment="0" applyProtection="0"/>
    <xf numFmtId="168" fontId="15" fillId="0" borderId="0" applyFont="0" applyFill="0" applyBorder="0" applyAlignment="0" applyProtection="0"/>
    <xf numFmtId="0" fontId="26" fillId="0" borderId="0">
      <protection locked="0"/>
    </xf>
    <xf numFmtId="0" fontId="26" fillId="0" borderId="0">
      <protection locked="0"/>
    </xf>
    <xf numFmtId="0" fontId="26" fillId="0" borderId="0">
      <protection locked="0"/>
    </xf>
    <xf numFmtId="0" fontId="26" fillId="0" borderId="0">
      <protection locked="0"/>
    </xf>
    <xf numFmtId="0" fontId="26" fillId="0" borderId="0">
      <protection locked="0"/>
    </xf>
    <xf numFmtId="0" fontId="26" fillId="0" borderId="0">
      <protection locked="0"/>
    </xf>
    <xf numFmtId="0" fontId="26" fillId="0" borderId="0">
      <protection locked="0"/>
    </xf>
    <xf numFmtId="0" fontId="18" fillId="0" borderId="0" applyNumberFormat="0" applyFill="0" applyBorder="0" applyAlignment="0" applyProtection="0">
      <alignment vertical="top"/>
      <protection locked="0"/>
    </xf>
    <xf numFmtId="41" fontId="27" fillId="0" borderId="0" applyFont="0" applyFill="0" applyBorder="0" applyAlignment="0" applyProtection="0"/>
    <xf numFmtId="170" fontId="15" fillId="0" borderId="0" applyFont="0" applyFill="0" applyBorder="0" applyAlignment="0" applyProtection="0"/>
    <xf numFmtId="171" fontId="27" fillId="0" borderId="0" applyFont="0" applyFill="0" applyBorder="0" applyAlignment="0" applyProtection="0"/>
    <xf numFmtId="172" fontId="27" fillId="0" borderId="0" applyFont="0" applyFill="0" applyBorder="0" applyAlignment="0" applyProtection="0"/>
    <xf numFmtId="173" fontId="28" fillId="0" borderId="0" applyFill="0" applyBorder="0" applyProtection="0">
      <alignment horizontal="right" vertical="center"/>
    </xf>
    <xf numFmtId="174" fontId="28" fillId="0" borderId="0" applyFill="0" applyBorder="0" applyProtection="0">
      <alignment horizontal="right" vertical="center"/>
    </xf>
    <xf numFmtId="0" fontId="29" fillId="0" borderId="0"/>
    <xf numFmtId="0" fontId="15" fillId="0" borderId="0">
      <alignment horizontal="left" wrapText="1"/>
    </xf>
    <xf numFmtId="0" fontId="43" fillId="0" borderId="0"/>
    <xf numFmtId="0" fontId="43" fillId="0" borderId="0"/>
    <xf numFmtId="0" fontId="15" fillId="0" borderId="0"/>
    <xf numFmtId="0" fontId="15" fillId="0" borderId="0"/>
    <xf numFmtId="0" fontId="20" fillId="0" borderId="0"/>
    <xf numFmtId="0" fontId="15" fillId="0" borderId="0"/>
    <xf numFmtId="0" fontId="30" fillId="0" borderId="0"/>
    <xf numFmtId="0" fontId="1" fillId="8" borderId="7" applyNumberFormat="0" applyFont="0" applyAlignment="0" applyProtection="0"/>
    <xf numFmtId="175" fontId="27" fillId="2" borderId="0"/>
    <xf numFmtId="9" fontId="15" fillId="0" borderId="0" applyFont="0" applyFill="0" applyBorder="0" applyAlignment="0" applyProtection="0"/>
    <xf numFmtId="9" fontId="31" fillId="0" borderId="0" applyFont="0" applyFill="0" applyBorder="0" applyAlignment="0" applyProtection="0"/>
    <xf numFmtId="0" fontId="27" fillId="0" borderId="0" applyNumberFormat="0" applyFont="0" applyBorder="0" applyAlignment="0"/>
    <xf numFmtId="0" fontId="17" fillId="0" borderId="0" applyNumberFormat="0" applyFill="0" applyBorder="0" applyAlignment="0" applyProtection="0"/>
    <xf numFmtId="0" fontId="15" fillId="0" borderId="0"/>
    <xf numFmtId="0" fontId="32" fillId="0" borderId="0"/>
    <xf numFmtId="0" fontId="15" fillId="0" borderId="1"/>
    <xf numFmtId="0" fontId="48"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61" fillId="0" borderId="0"/>
    <xf numFmtId="165" fontId="43" fillId="0" borderId="0" applyFont="0" applyFill="0" applyBorder="0" applyAlignment="0" applyProtection="0"/>
    <xf numFmtId="164" fontId="43" fillId="0" borderId="0" applyFont="0" applyFill="0" applyBorder="0" applyAlignment="0" applyProtection="0"/>
    <xf numFmtId="176" fontId="62" fillId="0" borderId="0" applyNumberFormat="0">
      <alignment vertical="center"/>
    </xf>
    <xf numFmtId="0" fontId="63" fillId="0" borderId="0" applyNumberFormat="0">
      <alignment horizontal="left"/>
    </xf>
    <xf numFmtId="0" fontId="64" fillId="0" borderId="0"/>
    <xf numFmtId="0" fontId="15" fillId="0" borderId="0"/>
    <xf numFmtId="0" fontId="65" fillId="0" borderId="0"/>
    <xf numFmtId="0" fontId="59" fillId="0" borderId="0" applyNumberFormat="0" applyFill="0" applyBorder="0" applyAlignment="0" applyProtection="0"/>
    <xf numFmtId="41" fontId="66" fillId="0" borderId="0" applyFont="0" applyFill="0" applyBorder="0" applyAlignment="0" applyProtection="0"/>
    <xf numFmtId="177" fontId="67" fillId="0" borderId="0" applyFont="0" applyFill="0" applyBorder="0" applyAlignment="0" applyProtection="0"/>
    <xf numFmtId="0" fontId="68" fillId="0" borderId="0">
      <alignment vertical="center"/>
    </xf>
    <xf numFmtId="0" fontId="15" fillId="0" borderId="0">
      <alignment horizontal="left" wrapText="1"/>
    </xf>
    <xf numFmtId="0" fontId="15" fillId="0" borderId="0">
      <alignment horizontal="left" wrapText="1"/>
    </xf>
    <xf numFmtId="0" fontId="16" fillId="0" borderId="0">
      <protection locked="0"/>
    </xf>
    <xf numFmtId="0" fontId="15" fillId="0" borderId="0">
      <protection locked="0"/>
    </xf>
    <xf numFmtId="0" fontId="15" fillId="0" borderId="0">
      <alignment horizontal="left" wrapText="1"/>
    </xf>
    <xf numFmtId="0" fontId="15" fillId="0" borderId="0">
      <alignment horizontal="left" wrapText="1"/>
    </xf>
    <xf numFmtId="38" fontId="74" fillId="0" borderId="0" applyFont="0" applyFill="0" applyBorder="0" applyAlignment="0" applyProtection="0"/>
    <xf numFmtId="0" fontId="15" fillId="0" borderId="0">
      <alignment horizontal="left" wrapText="1"/>
    </xf>
    <xf numFmtId="0" fontId="15" fillId="0" borderId="0">
      <alignment horizontal="left" wrapText="1"/>
    </xf>
    <xf numFmtId="0" fontId="15" fillId="0" borderId="0"/>
    <xf numFmtId="0" fontId="15" fillId="0" borderId="0">
      <alignment horizontal="left" wrapText="1"/>
    </xf>
    <xf numFmtId="0" fontId="16" fillId="0" borderId="0">
      <protection locked="0"/>
    </xf>
    <xf numFmtId="0" fontId="15" fillId="0" borderId="0">
      <protection locked="0"/>
    </xf>
    <xf numFmtId="0" fontId="15" fillId="0" borderId="0">
      <protection locked="0"/>
    </xf>
    <xf numFmtId="0" fontId="15" fillId="0" borderId="0">
      <alignment horizontal="left" wrapText="1"/>
    </xf>
    <xf numFmtId="0" fontId="15" fillId="0" borderId="0">
      <alignment horizontal="left" wrapText="1"/>
    </xf>
    <xf numFmtId="0" fontId="15" fillId="0" borderId="0">
      <alignment horizontal="left" wrapText="1"/>
    </xf>
    <xf numFmtId="0" fontId="15" fillId="0" borderId="0">
      <alignment horizontal="left" wrapText="1"/>
    </xf>
    <xf numFmtId="0" fontId="15" fillId="0" borderId="0"/>
    <xf numFmtId="0" fontId="15" fillId="0" borderId="0"/>
    <xf numFmtId="0" fontId="15" fillId="0" borderId="0">
      <protection locked="0"/>
    </xf>
    <xf numFmtId="0" fontId="15" fillId="0" borderId="0">
      <protection locked="0"/>
    </xf>
    <xf numFmtId="0" fontId="15" fillId="0" borderId="0">
      <alignment horizontal="left" wrapText="1"/>
    </xf>
    <xf numFmtId="0" fontId="15" fillId="0" borderId="0">
      <alignment horizontal="left" wrapText="1"/>
    </xf>
    <xf numFmtId="0" fontId="16" fillId="0" borderId="0">
      <protection locked="0"/>
    </xf>
    <xf numFmtId="0" fontId="15" fillId="0" borderId="0"/>
    <xf numFmtId="0" fontId="15" fillId="0" borderId="0">
      <protection locked="0"/>
    </xf>
    <xf numFmtId="0" fontId="16" fillId="0" borderId="0"/>
    <xf numFmtId="0" fontId="75" fillId="0" borderId="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21" fillId="31"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21" fillId="34" borderId="0" applyNumberFormat="0" applyBorder="0" applyAlignment="0" applyProtection="0"/>
    <xf numFmtId="0" fontId="76" fillId="22" borderId="0" applyNumberFormat="0" applyBorder="0" applyAlignment="0" applyProtection="0"/>
    <xf numFmtId="0" fontId="77" fillId="35" borderId="11" applyNumberFormat="0" applyAlignment="0" applyProtection="0"/>
    <xf numFmtId="0" fontId="78" fillId="36" borderId="12" applyNumberFormat="0" applyAlignment="0" applyProtection="0"/>
    <xf numFmtId="43" fontId="15" fillId="0" borderId="0" applyFont="0" applyFill="0" applyBorder="0" applyAlignment="0" applyProtection="0"/>
    <xf numFmtId="178" fontId="15" fillId="0" borderId="0" applyFont="0" applyFill="0" applyBorder="0" applyAlignment="0" applyProtection="0"/>
    <xf numFmtId="0" fontId="79" fillId="0" borderId="0" applyNumberFormat="0" applyFill="0" applyBorder="0" applyAlignment="0" applyProtection="0"/>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80" fillId="23" borderId="0" applyNumberFormat="0" applyBorder="0" applyAlignment="0" applyProtection="0"/>
    <xf numFmtId="0" fontId="81" fillId="0" borderId="13" applyNumberFormat="0" applyFill="0" applyAlignment="0" applyProtection="0"/>
    <xf numFmtId="0" fontId="82" fillId="0" borderId="14" applyNumberFormat="0" applyFill="0" applyAlignment="0" applyProtection="0"/>
    <xf numFmtId="0" fontId="83" fillId="0" borderId="15" applyNumberFormat="0" applyFill="0" applyAlignment="0" applyProtection="0"/>
    <xf numFmtId="0" fontId="83" fillId="0" borderId="0" applyNumberFormat="0" applyFill="0" applyBorder="0" applyAlignment="0" applyProtection="0"/>
    <xf numFmtId="0" fontId="84" fillId="26" borderId="11" applyNumberFormat="0" applyAlignment="0" applyProtection="0"/>
    <xf numFmtId="0" fontId="85" fillId="0" borderId="16" applyNumberFormat="0" applyFill="0" applyAlignment="0" applyProtection="0"/>
    <xf numFmtId="0" fontId="86" fillId="37" borderId="0" applyNumberFormat="0" applyBorder="0" applyAlignment="0" applyProtection="0"/>
    <xf numFmtId="0" fontId="43" fillId="0" borderId="0"/>
    <xf numFmtId="0" fontId="43" fillId="0" borderId="0"/>
    <xf numFmtId="0" fontId="43" fillId="0" borderId="0"/>
    <xf numFmtId="0" fontId="43" fillId="0" borderId="0"/>
    <xf numFmtId="0" fontId="87" fillId="0" borderId="0"/>
    <xf numFmtId="0" fontId="43" fillId="0" borderId="0"/>
    <xf numFmtId="0" fontId="15" fillId="0" borderId="0"/>
    <xf numFmtId="0" fontId="43" fillId="0" borderId="0"/>
    <xf numFmtId="0" fontId="88" fillId="35" borderId="17" applyNumberFormat="0" applyAlignment="0" applyProtection="0"/>
    <xf numFmtId="0" fontId="15" fillId="0" borderId="0"/>
    <xf numFmtId="0" fontId="16" fillId="0" borderId="0">
      <protection locked="0"/>
    </xf>
    <xf numFmtId="0" fontId="89" fillId="0" borderId="0" applyFill="0" applyAlignment="0">
      <alignment horizontal="left"/>
      <protection locked="0"/>
    </xf>
    <xf numFmtId="179" fontId="90" fillId="38" borderId="0" applyNumberFormat="0" applyBorder="0">
      <protection locked="0"/>
    </xf>
    <xf numFmtId="0" fontId="38" fillId="0" borderId="0" applyNumberFormat="0" applyFill="0" applyBorder="0" applyAlignment="0" applyProtection="0"/>
    <xf numFmtId="0" fontId="91" fillId="0" borderId="0"/>
    <xf numFmtId="0" fontId="25" fillId="39" borderId="18" applyNumberFormat="0" applyFont="0" applyAlignment="0">
      <alignment horizontal="left"/>
      <protection locked="0"/>
    </xf>
    <xf numFmtId="0" fontId="23" fillId="3" borderId="18">
      <alignment horizontal="left"/>
      <protection locked="0"/>
    </xf>
    <xf numFmtId="0" fontId="92" fillId="40" borderId="0" applyFont="0" applyAlignment="0">
      <alignment horizontal="left"/>
      <protection locked="0"/>
    </xf>
    <xf numFmtId="0" fontId="98" fillId="0" borderId="0"/>
    <xf numFmtId="0" fontId="99" fillId="0" borderId="0" applyNumberFormat="0" applyFill="0" applyBorder="0" applyAlignment="0" applyProtection="0">
      <alignment vertical="top"/>
      <protection locked="0"/>
    </xf>
    <xf numFmtId="165" fontId="15" fillId="0" borderId="0" applyFont="0" applyFill="0" applyBorder="0" applyAlignment="0" applyProtection="0"/>
    <xf numFmtId="0" fontId="15" fillId="0" borderId="0"/>
    <xf numFmtId="0" fontId="43" fillId="0" borderId="0"/>
    <xf numFmtId="180" fontId="43" fillId="0" borderId="0" applyFont="0" applyFill="0" applyBorder="0" applyAlignment="0" applyProtection="0"/>
    <xf numFmtId="0" fontId="104" fillId="0" borderId="0"/>
    <xf numFmtId="0" fontId="31" fillId="0" borderId="0"/>
    <xf numFmtId="0" fontId="31" fillId="0" borderId="0"/>
    <xf numFmtId="0" fontId="98" fillId="0" borderId="0"/>
    <xf numFmtId="0" fontId="15" fillId="0" borderId="0"/>
    <xf numFmtId="0" fontId="15" fillId="0" borderId="0"/>
    <xf numFmtId="0" fontId="15" fillId="0" borderId="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9" fontId="43" fillId="0" borderId="0" applyFont="0" applyFill="0" applyBorder="0" applyAlignment="0" applyProtection="0"/>
    <xf numFmtId="0" fontId="154" fillId="0" borderId="0"/>
    <xf numFmtId="0" fontId="43" fillId="0" borderId="0"/>
    <xf numFmtId="0" fontId="43" fillId="0" borderId="0"/>
    <xf numFmtId="0" fontId="43" fillId="0" borderId="0"/>
    <xf numFmtId="0" fontId="15" fillId="0" borderId="0"/>
    <xf numFmtId="0" fontId="43" fillId="0" borderId="0"/>
  </cellStyleXfs>
  <cellXfs count="798">
    <xf numFmtId="0" fontId="0" fillId="0" borderId="0" xfId="0"/>
    <xf numFmtId="0" fontId="6" fillId="0" borderId="0" xfId="0" applyFont="1"/>
    <xf numFmtId="0" fontId="7" fillId="0" borderId="0" xfId="0" applyFont="1"/>
    <xf numFmtId="0" fontId="9" fillId="0" borderId="0" xfId="0" applyFont="1"/>
    <xf numFmtId="0" fontId="3" fillId="0" borderId="0" xfId="0" applyFont="1"/>
    <xf numFmtId="0" fontId="3" fillId="0" borderId="0" xfId="0" applyFont="1" applyAlignment="1">
      <alignment horizontal="right"/>
    </xf>
    <xf numFmtId="0" fontId="2" fillId="0" borderId="0" xfId="0" applyFont="1"/>
    <xf numFmtId="0" fontId="4" fillId="0" borderId="0" xfId="0" applyFont="1"/>
    <xf numFmtId="0" fontId="5" fillId="0" borderId="0" xfId="0" applyFont="1"/>
    <xf numFmtId="166" fontId="6" fillId="0" borderId="0" xfId="0" applyNumberFormat="1" applyFont="1"/>
    <xf numFmtId="1" fontId="6" fillId="0" borderId="0" xfId="0" applyNumberFormat="1" applyFont="1"/>
    <xf numFmtId="0" fontId="6" fillId="0" borderId="0" xfId="0" applyFont="1" applyAlignment="1">
      <alignment horizontal="right"/>
    </xf>
    <xf numFmtId="0" fontId="2" fillId="0" borderId="0" xfId="0" applyFont="1" applyFill="1" applyAlignment="1"/>
    <xf numFmtId="0" fontId="6" fillId="4" borderId="0" xfId="0" applyFont="1" applyFill="1"/>
    <xf numFmtId="0" fontId="2" fillId="0" borderId="0" xfId="0" applyFont="1" applyAlignment="1">
      <alignment horizontal="left"/>
    </xf>
    <xf numFmtId="0" fontId="19" fillId="0" borderId="0" xfId="0" applyFont="1"/>
    <xf numFmtId="0" fontId="10" fillId="0" borderId="0" xfId="0" applyFont="1" applyAlignment="1">
      <alignment vertical="center"/>
    </xf>
    <xf numFmtId="0" fontId="19" fillId="0" borderId="0" xfId="0" applyFont="1" applyAlignment="1">
      <alignment horizontal="left"/>
    </xf>
    <xf numFmtId="0" fontId="4" fillId="0" borderId="0" xfId="0" applyFont="1" applyFill="1" applyAlignment="1"/>
    <xf numFmtId="0" fontId="45" fillId="0" borderId="0" xfId="0" applyFont="1" applyFill="1" applyAlignment="1"/>
    <xf numFmtId="0" fontId="3" fillId="0" borderId="3" xfId="0" applyFont="1" applyBorder="1" applyAlignment="1"/>
    <xf numFmtId="0" fontId="4" fillId="0" borderId="4" xfId="0" applyFont="1" applyBorder="1" applyAlignment="1">
      <alignment horizontal="left"/>
    </xf>
    <xf numFmtId="0" fontId="2" fillId="0" borderId="4" xfId="0" applyFont="1" applyBorder="1" applyAlignment="1">
      <alignment horizontal="left"/>
    </xf>
    <xf numFmtId="0" fontId="2" fillId="0" borderId="4" xfId="0" applyFont="1" applyBorder="1"/>
    <xf numFmtId="0" fontId="2" fillId="0" borderId="0" xfId="0" applyFont="1" applyBorder="1"/>
    <xf numFmtId="0" fontId="12" fillId="0" borderId="5" xfId="0" applyFont="1" applyBorder="1"/>
    <xf numFmtId="1" fontId="9" fillId="0" borderId="0" xfId="0" applyNumberFormat="1" applyFont="1"/>
    <xf numFmtId="0" fontId="9" fillId="0" borderId="0" xfId="0" applyFont="1" applyAlignment="1">
      <alignment vertical="center"/>
    </xf>
    <xf numFmtId="0" fontId="0" fillId="0" borderId="0" xfId="0"/>
    <xf numFmtId="1" fontId="0" fillId="0" borderId="6" xfId="0" applyNumberFormat="1" applyBorder="1"/>
    <xf numFmtId="0" fontId="38" fillId="0" borderId="0" xfId="0" applyFont="1"/>
    <xf numFmtId="0" fontId="21" fillId="6" borderId="0" xfId="0" applyFont="1" applyFill="1"/>
    <xf numFmtId="0" fontId="0" fillId="0" borderId="0" xfId="0" applyAlignment="1">
      <alignment horizontal="right"/>
    </xf>
    <xf numFmtId="166" fontId="0" fillId="0" borderId="0" xfId="0" applyNumberFormat="1"/>
    <xf numFmtId="0" fontId="14" fillId="0" borderId="0" xfId="0" applyFont="1"/>
    <xf numFmtId="0" fontId="14" fillId="0" borderId="0" xfId="0" applyFont="1" applyAlignment="1">
      <alignment horizontal="right"/>
    </xf>
    <xf numFmtId="0" fontId="15" fillId="0" borderId="0" xfId="49"/>
    <xf numFmtId="0" fontId="39" fillId="0" borderId="0" xfId="49" applyFont="1"/>
    <xf numFmtId="0" fontId="40" fillId="0" borderId="0" xfId="49" applyFont="1"/>
    <xf numFmtId="0" fontId="15" fillId="0" borderId="0" xfId="49" applyFont="1"/>
    <xf numFmtId="0" fontId="20" fillId="0" borderId="0" xfId="49" applyFont="1"/>
    <xf numFmtId="169" fontId="41" fillId="0" borderId="0" xfId="49" applyNumberFormat="1" applyFont="1" applyAlignment="1">
      <alignment horizontal="right"/>
    </xf>
    <xf numFmtId="0" fontId="15" fillId="0" borderId="0" xfId="49" applyFill="1"/>
    <xf numFmtId="0" fontId="23" fillId="0" borderId="0" xfId="49" applyFont="1"/>
    <xf numFmtId="0" fontId="15" fillId="9" borderId="0" xfId="49" applyFill="1"/>
    <xf numFmtId="0" fontId="15" fillId="0" borderId="0" xfId="49" applyAlignment="1">
      <alignment horizontal="left"/>
    </xf>
    <xf numFmtId="0" fontId="20" fillId="0" borderId="0" xfId="49" applyFont="1" applyAlignment="1">
      <alignment horizontal="left" vertical="top"/>
    </xf>
    <xf numFmtId="0" fontId="15" fillId="10" borderId="0" xfId="49" applyFill="1"/>
    <xf numFmtId="0" fontId="42" fillId="12" borderId="0" xfId="49" applyFont="1" applyFill="1"/>
    <xf numFmtId="0" fontId="0" fillId="0" borderId="0" xfId="0" applyFill="1" applyBorder="1"/>
    <xf numFmtId="0" fontId="15" fillId="13" borderId="0" xfId="49" applyFill="1"/>
    <xf numFmtId="0" fontId="15" fillId="14" borderId="0" xfId="49" applyFill="1"/>
    <xf numFmtId="0" fontId="15" fillId="14" borderId="0" xfId="49" applyFill="1" applyAlignment="1">
      <alignment horizontal="left"/>
    </xf>
    <xf numFmtId="0" fontId="15" fillId="15" borderId="0" xfId="49" applyFill="1"/>
    <xf numFmtId="0" fontId="15" fillId="15" borderId="0" xfId="49" applyFill="1" applyAlignment="1">
      <alignment horizontal="left"/>
    </xf>
    <xf numFmtId="0" fontId="15" fillId="16" borderId="0" xfId="49" applyFill="1"/>
    <xf numFmtId="0" fontId="15" fillId="16" borderId="0" xfId="49" applyFill="1" applyAlignment="1">
      <alignment horizontal="left"/>
    </xf>
    <xf numFmtId="0" fontId="15" fillId="17" borderId="0" xfId="49" applyFill="1"/>
    <xf numFmtId="0" fontId="15" fillId="17" borderId="0" xfId="49" applyFill="1" applyAlignment="1">
      <alignment horizontal="left"/>
    </xf>
    <xf numFmtId="0" fontId="34" fillId="0" borderId="0" xfId="0" applyFont="1"/>
    <xf numFmtId="0" fontId="2" fillId="0" borderId="8" xfId="0" applyFont="1" applyBorder="1"/>
    <xf numFmtId="0" fontId="2" fillId="0" borderId="9" xfId="0" applyFont="1" applyBorder="1"/>
    <xf numFmtId="0" fontId="40" fillId="0" borderId="0" xfId="0" applyFont="1" applyFill="1" applyAlignment="1"/>
    <xf numFmtId="0" fontId="33" fillId="0" borderId="0" xfId="0" applyFont="1" applyFill="1" applyAlignment="1"/>
    <xf numFmtId="0" fontId="49" fillId="0" borderId="0" xfId="0" applyFont="1" applyFill="1" applyAlignment="1"/>
    <xf numFmtId="0" fontId="50" fillId="0" borderId="0" xfId="0" applyFont="1" applyFill="1" applyAlignment="1"/>
    <xf numFmtId="0" fontId="11" fillId="0" borderId="0" xfId="0" applyFont="1" applyAlignment="1">
      <alignment horizontal="left"/>
    </xf>
    <xf numFmtId="0" fontId="0" fillId="0" borderId="0" xfId="0" applyAlignment="1">
      <alignment horizontal="left"/>
    </xf>
    <xf numFmtId="0" fontId="2" fillId="4" borderId="0" xfId="0" applyFont="1" applyFill="1"/>
    <xf numFmtId="0" fontId="2" fillId="0" borderId="0" xfId="0" applyFont="1" applyAlignment="1">
      <alignment horizontal="right"/>
    </xf>
    <xf numFmtId="1" fontId="2" fillId="0" borderId="0" xfId="0" applyNumberFormat="1" applyFont="1"/>
    <xf numFmtId="166" fontId="2" fillId="0" borderId="0" xfId="0" applyNumberFormat="1" applyFont="1"/>
    <xf numFmtId="0" fontId="0" fillId="0" borderId="0" xfId="0" applyFill="1"/>
    <xf numFmtId="0" fontId="9" fillId="0" borderId="0" xfId="0" applyFont="1" applyAlignment="1">
      <alignment horizontal="right"/>
    </xf>
    <xf numFmtId="0" fontId="11" fillId="0" borderId="0" xfId="0" applyFont="1" applyAlignment="1">
      <alignment horizontal="right"/>
    </xf>
    <xf numFmtId="0" fontId="20" fillId="0" borderId="0" xfId="0" applyFont="1" applyBorder="1" applyAlignment="1">
      <alignment horizontal="left"/>
    </xf>
    <xf numFmtId="0" fontId="53" fillId="0" borderId="0" xfId="0" applyFont="1"/>
    <xf numFmtId="0" fontId="36" fillId="0" borderId="0" xfId="0" applyFont="1"/>
    <xf numFmtId="0" fontId="0" fillId="0" borderId="0" xfId="0" applyFont="1"/>
    <xf numFmtId="0" fontId="0" fillId="0" borderId="0" xfId="0" applyBorder="1"/>
    <xf numFmtId="0" fontId="46" fillId="0" borderId="0" xfId="0" applyFont="1"/>
    <xf numFmtId="0" fontId="56" fillId="0" borderId="0" xfId="0" applyFont="1"/>
    <xf numFmtId="0" fontId="44" fillId="0" borderId="0" xfId="0" applyFont="1"/>
    <xf numFmtId="0" fontId="44" fillId="0" borderId="0" xfId="0" applyFont="1" applyFill="1"/>
    <xf numFmtId="0" fontId="44" fillId="0" borderId="0" xfId="0" applyFont="1" applyAlignment="1">
      <alignment vertical="center"/>
    </xf>
    <xf numFmtId="0" fontId="58" fillId="0" borderId="0" xfId="0" applyFont="1" applyAlignment="1">
      <alignment horizontal="left" readingOrder="1"/>
    </xf>
    <xf numFmtId="0" fontId="52" fillId="0" borderId="0" xfId="0" applyFont="1" applyAlignment="1">
      <alignment vertical="top"/>
    </xf>
    <xf numFmtId="0" fontId="71" fillId="18" borderId="0" xfId="0" applyFont="1" applyFill="1" applyAlignment="1"/>
    <xf numFmtId="0" fontId="55" fillId="19" borderId="0" xfId="0" applyFont="1" applyFill="1" applyAlignment="1"/>
    <xf numFmtId="0" fontId="72" fillId="19" borderId="0" xfId="0" applyFont="1" applyFill="1" applyAlignment="1"/>
    <xf numFmtId="0" fontId="57" fillId="19" borderId="0" xfId="0" applyFont="1" applyFill="1" applyAlignment="1"/>
    <xf numFmtId="0" fontId="49" fillId="11" borderId="0" xfId="0" applyFont="1" applyFill="1" applyAlignment="1"/>
    <xf numFmtId="0" fontId="50" fillId="11" borderId="0" xfId="0" applyFont="1" applyFill="1" applyAlignment="1"/>
    <xf numFmtId="0" fontId="0" fillId="0" borderId="0" xfId="0" applyFont="1" applyBorder="1"/>
    <xf numFmtId="0" fontId="15" fillId="0" borderId="0" xfId="49" applyBorder="1"/>
    <xf numFmtId="0" fontId="73" fillId="0" borderId="0" xfId="0" applyFont="1"/>
    <xf numFmtId="0" fontId="51" fillId="0" borderId="0" xfId="0" applyFont="1" applyAlignment="1">
      <alignment vertical="top"/>
    </xf>
    <xf numFmtId="0" fontId="2" fillId="12" borderId="0" xfId="0" applyFont="1" applyFill="1"/>
    <xf numFmtId="0" fontId="2" fillId="0" borderId="0" xfId="0" applyFont="1" applyFill="1"/>
    <xf numFmtId="0" fontId="47" fillId="0" borderId="0" xfId="0" applyFont="1" applyAlignment="1">
      <alignment vertical="top" wrapText="1"/>
    </xf>
    <xf numFmtId="0" fontId="6" fillId="10" borderId="0" xfId="0" applyFont="1" applyFill="1"/>
    <xf numFmtId="0" fontId="93" fillId="0" borderId="0" xfId="0" applyFont="1"/>
    <xf numFmtId="0" fontId="94" fillId="0" borderId="0" xfId="0" applyFont="1"/>
    <xf numFmtId="0" fontId="94" fillId="0" borderId="0" xfId="0" applyFont="1" applyAlignment="1">
      <alignment horizontal="right"/>
    </xf>
    <xf numFmtId="0" fontId="6" fillId="0" borderId="0" xfId="0" applyFont="1" applyProtection="1">
      <protection locked="0"/>
    </xf>
    <xf numFmtId="0" fontId="6" fillId="3" borderId="0" xfId="0" applyFont="1" applyFill="1" applyProtection="1">
      <protection locked="0"/>
    </xf>
    <xf numFmtId="0" fontId="2" fillId="0" borderId="0" xfId="0" applyFont="1" applyProtection="1">
      <protection locked="0"/>
    </xf>
    <xf numFmtId="0" fontId="2" fillId="0" borderId="0" xfId="44" applyFont="1" applyProtection="1">
      <protection locked="0"/>
    </xf>
    <xf numFmtId="0" fontId="12" fillId="0" borderId="0" xfId="0" applyFont="1" applyProtection="1">
      <protection locked="0"/>
    </xf>
    <xf numFmtId="0" fontId="8" fillId="0" borderId="0" xfId="0" applyFont="1" applyAlignment="1" applyProtection="1">
      <alignment horizontal="right"/>
      <protection locked="0"/>
    </xf>
    <xf numFmtId="0" fontId="37" fillId="0" borderId="0" xfId="0" applyFont="1" applyProtection="1">
      <protection locked="0"/>
    </xf>
    <xf numFmtId="0" fontId="0" fillId="0" borderId="0" xfId="0" applyProtection="1">
      <protection locked="0"/>
    </xf>
    <xf numFmtId="0" fontId="73" fillId="0" borderId="0" xfId="0" applyFont="1" applyProtection="1">
      <protection locked="0"/>
    </xf>
    <xf numFmtId="9" fontId="73" fillId="0" borderId="0" xfId="0" applyNumberFormat="1" applyFont="1" applyProtection="1">
      <protection locked="0"/>
    </xf>
    <xf numFmtId="0" fontId="51" fillId="0" borderId="0" xfId="0" applyFont="1" applyProtection="1">
      <protection locked="0"/>
    </xf>
    <xf numFmtId="0" fontId="95" fillId="41" borderId="0" xfId="0" applyFont="1" applyFill="1" applyAlignment="1">
      <alignment vertical="center" wrapText="1"/>
    </xf>
    <xf numFmtId="0" fontId="95" fillId="42" borderId="0" xfId="0" applyFont="1" applyFill="1" applyAlignment="1">
      <alignment vertical="center" wrapText="1"/>
    </xf>
    <xf numFmtId="0" fontId="55" fillId="19" borderId="0" xfId="0" applyFont="1" applyFill="1" applyAlignment="1">
      <alignment horizontal="left" vertical="top"/>
    </xf>
    <xf numFmtId="0" fontId="95" fillId="41" borderId="0" xfId="0" applyFont="1" applyFill="1" applyAlignment="1">
      <alignment horizontal="left" vertical="top" wrapText="1"/>
    </xf>
    <xf numFmtId="0" fontId="95" fillId="42" borderId="0" xfId="0" applyFont="1" applyFill="1" applyAlignment="1">
      <alignment horizontal="left" vertical="top" wrapText="1"/>
    </xf>
    <xf numFmtId="0" fontId="96" fillId="11" borderId="0" xfId="0" applyFont="1" applyFill="1" applyAlignment="1">
      <alignment horizontal="left" vertical="top" wrapText="1"/>
    </xf>
    <xf numFmtId="0" fontId="96" fillId="0" borderId="0" xfId="0" applyFont="1" applyFill="1" applyAlignment="1">
      <alignment horizontal="left" vertical="top" wrapText="1"/>
    </xf>
    <xf numFmtId="0" fontId="33" fillId="0" borderId="0" xfId="0" applyFont="1" applyFill="1" applyAlignment="1">
      <alignment horizontal="left" vertical="top"/>
    </xf>
    <xf numFmtId="0" fontId="3" fillId="0" borderId="0" xfId="0" applyFont="1" applyBorder="1" applyAlignment="1">
      <alignment horizontal="right"/>
    </xf>
    <xf numFmtId="0" fontId="3" fillId="0" borderId="0" xfId="0" applyFont="1" applyBorder="1" applyAlignment="1"/>
    <xf numFmtId="0" fontId="4" fillId="0" borderId="0" xfId="0" applyFont="1" applyBorder="1"/>
    <xf numFmtId="0" fontId="4" fillId="0" borderId="0" xfId="0" applyFont="1" applyBorder="1" applyAlignment="1">
      <alignment horizontal="left"/>
    </xf>
    <xf numFmtId="0" fontId="5" fillId="0" borderId="0" xfId="0" applyFont="1" applyBorder="1"/>
    <xf numFmtId="0" fontId="22" fillId="0" borderId="0" xfId="0" applyFont="1" applyBorder="1"/>
    <xf numFmtId="0" fontId="2" fillId="0" borderId="0" xfId="164" applyFont="1"/>
    <xf numFmtId="0" fontId="15" fillId="0" borderId="0" xfId="164" applyFont="1"/>
    <xf numFmtId="0" fontId="43" fillId="0" borderId="0" xfId="164"/>
    <xf numFmtId="166" fontId="43" fillId="0" borderId="0" xfId="164" applyNumberFormat="1"/>
    <xf numFmtId="0" fontId="2" fillId="0" borderId="0" xfId="164" applyFont="1" applyAlignment="1">
      <alignment horizontal="right"/>
    </xf>
    <xf numFmtId="1" fontId="2" fillId="0" borderId="0" xfId="164" applyNumberFormat="1" applyFont="1"/>
    <xf numFmtId="166" fontId="2" fillId="0" borderId="0" xfId="164" applyNumberFormat="1" applyFont="1"/>
    <xf numFmtId="166" fontId="2" fillId="0" borderId="0" xfId="164" applyNumberFormat="1" applyFont="1" applyAlignment="1">
      <alignment horizontal="right"/>
    </xf>
    <xf numFmtId="0" fontId="3" fillId="0" borderId="0" xfId="164" applyFont="1"/>
    <xf numFmtId="2" fontId="2" fillId="0" borderId="0" xfId="164" applyNumberFormat="1" applyFont="1"/>
    <xf numFmtId="0" fontId="2" fillId="10" borderId="0" xfId="164" applyFont="1" applyFill="1"/>
    <xf numFmtId="0" fontId="15" fillId="44" borderId="0" xfId="49" applyFill="1" applyAlignment="1">
      <alignment horizontal="left"/>
    </xf>
    <xf numFmtId="0" fontId="0" fillId="10" borderId="0" xfId="0" applyFill="1"/>
    <xf numFmtId="0" fontId="102" fillId="0" borderId="0" xfId="0" applyFont="1" applyAlignment="1">
      <alignment vertical="center"/>
    </xf>
    <xf numFmtId="0" fontId="102" fillId="0" borderId="0" xfId="0" applyFont="1" applyAlignment="1">
      <alignment horizontal="left" vertical="center" wrapText="1"/>
    </xf>
    <xf numFmtId="0" fontId="100" fillId="0" borderId="0" xfId="0" applyFont="1" applyAlignment="1">
      <alignment vertical="center"/>
    </xf>
    <xf numFmtId="0" fontId="97" fillId="0" borderId="0" xfId="0" applyFont="1"/>
    <xf numFmtId="0" fontId="6" fillId="0" borderId="0" xfId="0" applyFont="1" applyBorder="1"/>
    <xf numFmtId="0" fontId="6" fillId="0" borderId="1" xfId="0" applyFont="1" applyBorder="1"/>
    <xf numFmtId="0" fontId="6" fillId="45" borderId="0" xfId="0" applyFont="1" applyFill="1"/>
    <xf numFmtId="0" fontId="2" fillId="45" borderId="0" xfId="0" applyFont="1" applyFill="1"/>
    <xf numFmtId="0" fontId="15" fillId="46" borderId="0" xfId="49" applyFill="1"/>
    <xf numFmtId="0" fontId="15" fillId="19" borderId="0" xfId="49" applyFill="1" applyAlignment="1">
      <alignment horizontal="left"/>
    </xf>
    <xf numFmtId="0" fontId="15" fillId="0" borderId="0" xfId="49" applyFill="1" applyAlignment="1">
      <alignment horizontal="left"/>
    </xf>
    <xf numFmtId="0" fontId="15" fillId="18" borderId="0" xfId="49" applyFill="1" applyAlignment="1">
      <alignment horizontal="left"/>
    </xf>
    <xf numFmtId="0" fontId="15" fillId="47" borderId="0" xfId="49" applyFill="1" applyAlignment="1">
      <alignment horizontal="left"/>
    </xf>
    <xf numFmtId="0" fontId="15" fillId="48" borderId="0" xfId="49" applyFill="1"/>
    <xf numFmtId="0" fontId="15" fillId="49" borderId="0" xfId="49" applyFill="1"/>
    <xf numFmtId="0" fontId="46" fillId="0" borderId="0" xfId="0" applyFont="1" applyAlignment="1">
      <alignment wrapText="1"/>
    </xf>
    <xf numFmtId="0" fontId="46" fillId="0" borderId="0" xfId="0" applyFont="1" applyAlignment="1">
      <alignment vertical="top" wrapText="1"/>
    </xf>
    <xf numFmtId="0" fontId="2" fillId="10" borderId="0" xfId="0" applyFont="1" applyFill="1"/>
    <xf numFmtId="0" fontId="44" fillId="0" borderId="0" xfId="0" applyFont="1" applyAlignment="1">
      <alignment wrapText="1"/>
    </xf>
    <xf numFmtId="0" fontId="51" fillId="0" borderId="0" xfId="0" applyFont="1" applyAlignment="1">
      <alignment vertical="top" wrapText="1"/>
    </xf>
    <xf numFmtId="0" fontId="35" fillId="0" borderId="2" xfId="0" applyFont="1" applyBorder="1" applyProtection="1"/>
    <xf numFmtId="167" fontId="1" fillId="0" borderId="2" xfId="0" applyNumberFormat="1" applyFont="1" applyBorder="1" applyProtection="1"/>
    <xf numFmtId="0" fontId="9" fillId="0" borderId="2" xfId="0" applyFont="1" applyBorder="1" applyProtection="1"/>
    <xf numFmtId="0" fontId="14" fillId="0" borderId="2" xfId="0" applyFont="1" applyBorder="1" applyProtection="1"/>
    <xf numFmtId="0" fontId="1" fillId="0" borderId="0" xfId="0" applyFont="1" applyBorder="1" applyProtection="1"/>
    <xf numFmtId="0" fontId="9" fillId="0" borderId="0" xfId="0" applyFont="1" applyBorder="1" applyProtection="1"/>
    <xf numFmtId="0" fontId="14" fillId="0" borderId="0" xfId="0" applyFont="1" applyBorder="1" applyProtection="1"/>
    <xf numFmtId="0" fontId="1" fillId="0" borderId="2" xfId="0" applyFont="1" applyFill="1" applyBorder="1" applyProtection="1"/>
    <xf numFmtId="0" fontId="45" fillId="0" borderId="0" xfId="0" applyFont="1" applyFill="1" applyAlignment="1" applyProtection="1">
      <protection locked="0"/>
    </xf>
    <xf numFmtId="0" fontId="7" fillId="0" borderId="0" xfId="0" applyFont="1" applyProtection="1">
      <protection locked="0"/>
    </xf>
    <xf numFmtId="0" fontId="8" fillId="0" borderId="0" xfId="0" applyFont="1" applyProtection="1">
      <protection locked="0"/>
    </xf>
    <xf numFmtId="0" fontId="3" fillId="0" borderId="0" xfId="0" applyFont="1" applyProtection="1">
      <protection locked="0"/>
    </xf>
    <xf numFmtId="0" fontId="15" fillId="0" borderId="0" xfId="0" applyFont="1" applyAlignment="1" applyProtection="1">
      <protection locked="0"/>
    </xf>
    <xf numFmtId="0" fontId="0" fillId="0" borderId="0" xfId="0" applyAlignment="1" applyProtection="1">
      <protection locked="0"/>
    </xf>
    <xf numFmtId="0" fontId="2" fillId="0" borderId="0" xfId="164" applyFont="1" applyProtection="1">
      <protection locked="0"/>
    </xf>
    <xf numFmtId="0" fontId="2" fillId="0" borderId="0" xfId="164" applyNumberFormat="1" applyFont="1" applyProtection="1">
      <protection locked="0"/>
    </xf>
    <xf numFmtId="0" fontId="15" fillId="0" borderId="0" xfId="164" applyFont="1" applyProtection="1">
      <protection locked="0"/>
    </xf>
    <xf numFmtId="0" fontId="15" fillId="0" borderId="0" xfId="164" applyNumberFormat="1" applyFont="1" applyProtection="1">
      <protection locked="0"/>
    </xf>
    <xf numFmtId="0" fontId="43" fillId="0" borderId="0" xfId="164" applyProtection="1">
      <protection locked="0"/>
    </xf>
    <xf numFmtId="166" fontId="43" fillId="0" borderId="0" xfId="164" applyNumberFormat="1" applyProtection="1">
      <protection locked="0"/>
    </xf>
    <xf numFmtId="0" fontId="43" fillId="0" borderId="0" xfId="164" applyNumberFormat="1" applyProtection="1">
      <protection locked="0"/>
    </xf>
    <xf numFmtId="0" fontId="2" fillId="10" borderId="0" xfId="164" applyFont="1" applyFill="1" applyProtection="1">
      <protection locked="0"/>
    </xf>
    <xf numFmtId="0" fontId="2" fillId="0" borderId="0" xfId="164" applyNumberFormat="1" applyFont="1" applyAlignment="1" applyProtection="1">
      <alignment horizontal="right"/>
      <protection locked="0"/>
    </xf>
    <xf numFmtId="0" fontId="2" fillId="0" borderId="0" xfId="164" applyFont="1" applyAlignment="1" applyProtection="1">
      <alignment horizontal="right"/>
      <protection locked="0"/>
    </xf>
    <xf numFmtId="2" fontId="2" fillId="0" borderId="0" xfId="164" applyNumberFormat="1" applyFont="1" applyProtection="1">
      <protection locked="0"/>
    </xf>
    <xf numFmtId="1" fontId="2" fillId="0" borderId="0" xfId="164" applyNumberFormat="1" applyFont="1" applyProtection="1">
      <protection locked="0"/>
    </xf>
    <xf numFmtId="166" fontId="2" fillId="0" borderId="0" xfId="164" applyNumberFormat="1" applyFont="1" applyProtection="1">
      <protection locked="0"/>
    </xf>
    <xf numFmtId="166" fontId="2" fillId="0" borderId="0" xfId="164" applyNumberFormat="1" applyFont="1" applyAlignment="1" applyProtection="1">
      <alignment horizontal="right"/>
      <protection locked="0"/>
    </xf>
    <xf numFmtId="0" fontId="3" fillId="0" borderId="0" xfId="164" applyFont="1" applyProtection="1">
      <protection locked="0"/>
    </xf>
    <xf numFmtId="0" fontId="9" fillId="0" borderId="0" xfId="0" applyFont="1" applyAlignment="1">
      <alignment horizontal="right" indent="1"/>
    </xf>
    <xf numFmtId="0" fontId="2" fillId="0" borderId="3" xfId="0" applyFont="1" applyBorder="1"/>
    <xf numFmtId="0" fontId="105" fillId="0" borderId="26" xfId="0" applyFont="1" applyFill="1" applyBorder="1" applyAlignment="1">
      <alignment horizontal="center" vertical="center" wrapText="1"/>
    </xf>
    <xf numFmtId="0" fontId="6" fillId="0" borderId="0" xfId="0" applyFont="1" applyFill="1"/>
    <xf numFmtId="0" fontId="44" fillId="0" borderId="0" xfId="0" applyFont="1" applyAlignment="1">
      <alignment horizontal="left" vertical="top" wrapText="1"/>
    </xf>
    <xf numFmtId="0" fontId="108" fillId="0" borderId="0" xfId="0" applyFont="1" applyAlignment="1">
      <alignment vertical="top"/>
    </xf>
    <xf numFmtId="0" fontId="44" fillId="0" borderId="0" xfId="0" applyFont="1" applyAlignment="1">
      <alignment vertical="center" wrapText="1"/>
    </xf>
    <xf numFmtId="0" fontId="101" fillId="0" borderId="0" xfId="0" applyFont="1" applyAlignment="1">
      <alignment vertical="center"/>
    </xf>
    <xf numFmtId="0" fontId="46" fillId="0" borderId="0" xfId="0" applyFont="1" applyAlignment="1">
      <alignment vertical="center"/>
    </xf>
    <xf numFmtId="0" fontId="46" fillId="0" borderId="0" xfId="0" applyFont="1" applyAlignment="1">
      <alignment vertical="center" wrapText="1"/>
    </xf>
    <xf numFmtId="0" fontId="51" fillId="0" borderId="0" xfId="0" applyFont="1" applyAlignment="1">
      <alignment vertical="center" wrapText="1"/>
    </xf>
    <xf numFmtId="0" fontId="44" fillId="20" borderId="0" xfId="0" applyFont="1" applyFill="1"/>
    <xf numFmtId="0" fontId="4" fillId="0" borderId="0" xfId="0" applyFont="1" applyFill="1" applyBorder="1"/>
    <xf numFmtId="0" fontId="110" fillId="0" borderId="0" xfId="0" applyFont="1"/>
    <xf numFmtId="0" fontId="111" fillId="0" borderId="0" xfId="0" applyFont="1"/>
    <xf numFmtId="0" fontId="96" fillId="0" borderId="0" xfId="0" applyFont="1"/>
    <xf numFmtId="0" fontId="15" fillId="53" borderId="0" xfId="49" applyFill="1" applyAlignment="1">
      <alignment horizontal="left"/>
    </xf>
    <xf numFmtId="0" fontId="15" fillId="54" borderId="0" xfId="49" applyFill="1"/>
    <xf numFmtId="0" fontId="15" fillId="55" borderId="0" xfId="49" applyFill="1" applyAlignment="1">
      <alignment horizontal="left"/>
    </xf>
    <xf numFmtId="0" fontId="15" fillId="52" borderId="0" xfId="49" applyFill="1" applyAlignment="1">
      <alignment horizontal="left"/>
    </xf>
    <xf numFmtId="0" fontId="113" fillId="0" borderId="0" xfId="47" applyNumberFormat="1" applyFont="1" applyFill="1" applyAlignment="1">
      <alignment horizontal="center"/>
    </xf>
    <xf numFmtId="0" fontId="113" fillId="0" borderId="0" xfId="47" applyFont="1" applyFill="1"/>
    <xf numFmtId="0" fontId="113" fillId="0" borderId="0" xfId="47" applyFont="1"/>
    <xf numFmtId="0" fontId="113" fillId="0" borderId="0" xfId="47" applyFont="1" applyBorder="1"/>
    <xf numFmtId="0" fontId="113" fillId="0" borderId="0" xfId="47" applyFont="1" applyFill="1" applyBorder="1"/>
    <xf numFmtId="17" fontId="114" fillId="0" borderId="0" xfId="47" quotePrefix="1" applyNumberFormat="1" applyFont="1" applyFill="1" applyBorder="1" applyAlignment="1">
      <alignment horizontal="left"/>
    </xf>
    <xf numFmtId="0" fontId="115" fillId="0" borderId="0" xfId="47" applyFont="1" applyFill="1" applyAlignment="1">
      <alignment horizontal="left"/>
    </xf>
    <xf numFmtId="0" fontId="116" fillId="0" borderId="0" xfId="47" applyFont="1" applyFill="1" applyAlignment="1">
      <alignment horizontal="left"/>
    </xf>
    <xf numFmtId="0" fontId="117" fillId="0" borderId="0" xfId="35" applyFont="1" applyFill="1" applyAlignment="1" applyProtection="1">
      <alignment horizontal="left"/>
    </xf>
    <xf numFmtId="0" fontId="114" fillId="0" borderId="0" xfId="47" applyFont="1" applyFill="1" applyAlignment="1">
      <alignment horizontal="right"/>
    </xf>
    <xf numFmtId="17" fontId="114" fillId="0" borderId="0" xfId="47" quotePrefix="1" applyNumberFormat="1" applyFont="1" applyFill="1" applyAlignment="1">
      <alignment horizontal="right"/>
    </xf>
    <xf numFmtId="0" fontId="43" fillId="0" borderId="0" xfId="0" applyFont="1" applyBorder="1"/>
    <xf numFmtId="0" fontId="43" fillId="0" borderId="0" xfId="0" applyFont="1" applyFill="1"/>
    <xf numFmtId="0" fontId="112" fillId="0" borderId="0" xfId="0" applyFont="1" applyFill="1"/>
    <xf numFmtId="0" fontId="118" fillId="0" borderId="0" xfId="47" applyFont="1" applyFill="1" applyAlignment="1">
      <alignment horizontal="center" vertical="center"/>
    </xf>
    <xf numFmtId="0" fontId="112" fillId="0" borderId="0" xfId="0" applyFont="1" applyFill="1" applyAlignment="1">
      <alignment horizontal="left" indent="2"/>
    </xf>
    <xf numFmtId="0" fontId="43" fillId="0" borderId="0" xfId="0" applyFont="1" applyFill="1" applyAlignment="1">
      <alignment horizontal="left" indent="2"/>
    </xf>
    <xf numFmtId="0" fontId="119" fillId="0" borderId="0" xfId="47" applyFont="1" applyFill="1"/>
    <xf numFmtId="0" fontId="43" fillId="0" borderId="0" xfId="0" applyFont="1"/>
    <xf numFmtId="0" fontId="69" fillId="0" borderId="0" xfId="0" applyFont="1" applyAlignment="1">
      <alignment vertical="top" wrapText="1"/>
    </xf>
    <xf numFmtId="0" fontId="69" fillId="0" borderId="0" xfId="0" applyFont="1" applyBorder="1" applyAlignment="1">
      <alignment vertical="top" wrapText="1"/>
    </xf>
    <xf numFmtId="0" fontId="46" fillId="0" borderId="0" xfId="0" applyFont="1" applyAlignment="1">
      <alignment horizontal="center" vertical="top" wrapText="1"/>
    </xf>
    <xf numFmtId="0" fontId="56" fillId="0" borderId="0" xfId="0" applyFont="1" applyAlignment="1">
      <alignment wrapText="1"/>
    </xf>
    <xf numFmtId="0" fontId="51" fillId="0" borderId="0" xfId="0" applyFont="1" applyAlignment="1">
      <alignment wrapText="1"/>
    </xf>
    <xf numFmtId="0" fontId="93" fillId="0" borderId="0" xfId="0" applyFont="1" applyAlignment="1">
      <alignment wrapText="1"/>
    </xf>
    <xf numFmtId="0" fontId="13" fillId="51" borderId="0" xfId="0" applyFont="1" applyFill="1" applyAlignment="1" applyProtection="1">
      <alignment vertical="top"/>
    </xf>
    <xf numFmtId="0" fontId="122" fillId="0" borderId="2" xfId="0" applyFont="1" applyBorder="1" applyProtection="1"/>
    <xf numFmtId="0" fontId="124" fillId="51" borderId="0" xfId="0" applyFont="1" applyFill="1" applyAlignment="1">
      <alignment vertical="center" wrapText="1"/>
    </xf>
    <xf numFmtId="0" fontId="0" fillId="0" borderId="0" xfId="0" applyBorder="1" applyAlignment="1">
      <alignment horizontal="left" vertical="center" wrapText="1"/>
    </xf>
    <xf numFmtId="0" fontId="125" fillId="41" borderId="0" xfId="0" applyFont="1" applyFill="1" applyAlignment="1">
      <alignment horizontal="left" vertical="top" wrapText="1"/>
    </xf>
    <xf numFmtId="0" fontId="125" fillId="41" borderId="0" xfId="0" applyFont="1" applyFill="1" applyAlignment="1">
      <alignment vertical="center" wrapText="1"/>
    </xf>
    <xf numFmtId="0" fontId="125" fillId="41" borderId="0" xfId="0" applyFont="1" applyFill="1" applyAlignment="1">
      <alignment horizontal="left" vertical="center" wrapText="1"/>
    </xf>
    <xf numFmtId="0" fontId="124" fillId="51" borderId="0" xfId="0" applyFont="1" applyFill="1" applyAlignment="1">
      <alignment horizontal="left" vertical="center" wrapText="1"/>
    </xf>
    <xf numFmtId="0" fontId="123" fillId="0" borderId="0" xfId="0" applyFont="1" applyFill="1" applyBorder="1" applyAlignment="1">
      <alignment vertical="center" wrapText="1"/>
    </xf>
    <xf numFmtId="0" fontId="127" fillId="0" borderId="0" xfId="0" applyFont="1"/>
    <xf numFmtId="0" fontId="127" fillId="0" borderId="0" xfId="0" applyFont="1" applyBorder="1"/>
    <xf numFmtId="0" fontId="129" fillId="0" borderId="0" xfId="0" quotePrefix="1" applyFont="1" applyBorder="1" applyAlignment="1">
      <alignment wrapText="1"/>
    </xf>
    <xf numFmtId="0" fontId="129" fillId="0" borderId="0" xfId="0" quotePrefix="1" applyFont="1" applyAlignment="1">
      <alignment wrapText="1"/>
    </xf>
    <xf numFmtId="0" fontId="0" fillId="0" borderId="0" xfId="0" applyFont="1" applyAlignment="1">
      <alignment horizontal="left" indent="1"/>
    </xf>
    <xf numFmtId="1" fontId="127" fillId="0" borderId="0" xfId="0" applyNumberFormat="1" applyFont="1" applyAlignment="1">
      <alignment horizontal="left" indent="1"/>
    </xf>
    <xf numFmtId="0" fontId="127" fillId="0" borderId="0" xfId="0" applyFont="1" applyAlignment="1">
      <alignment horizontal="left" indent="1"/>
    </xf>
    <xf numFmtId="1" fontId="127" fillId="0" borderId="0" xfId="0" applyNumberFormat="1" applyFont="1"/>
    <xf numFmtId="0" fontId="131" fillId="0" borderId="30" xfId="0" applyFont="1" applyBorder="1"/>
    <xf numFmtId="1" fontId="132" fillId="0" borderId="29" xfId="0" applyNumberFormat="1" applyFont="1" applyFill="1" applyBorder="1" applyAlignment="1">
      <alignment horizontal="right" vertical="center"/>
    </xf>
    <xf numFmtId="1" fontId="132" fillId="0" borderId="29" xfId="0" applyNumberFormat="1" applyFont="1" applyFill="1" applyBorder="1" applyAlignment="1">
      <alignment vertical="center"/>
    </xf>
    <xf numFmtId="1" fontId="132" fillId="0" borderId="0" xfId="0" applyNumberFormat="1" applyFont="1"/>
    <xf numFmtId="0" fontId="0" fillId="0" borderId="0" xfId="0" applyFont="1" applyAlignment="1">
      <alignment wrapText="1"/>
    </xf>
    <xf numFmtId="0" fontId="127" fillId="0" borderId="0" xfId="0" applyFont="1" applyAlignment="1">
      <alignment wrapText="1"/>
    </xf>
    <xf numFmtId="0" fontId="0" fillId="0" borderId="0" xfId="0" applyAlignment="1">
      <alignment horizontal="left" readingOrder="1"/>
    </xf>
    <xf numFmtId="0" fontId="46" fillId="0" borderId="0" xfId="156" applyFont="1"/>
    <xf numFmtId="0" fontId="43" fillId="0" borderId="0" xfId="0" applyFont="1" applyAlignment="1">
      <alignment wrapText="1"/>
    </xf>
    <xf numFmtId="0" fontId="133" fillId="51" borderId="0" xfId="0" applyFont="1" applyFill="1" applyAlignment="1">
      <alignment vertical="top" wrapText="1"/>
    </xf>
    <xf numFmtId="0" fontId="133" fillId="51" borderId="0" xfId="0" applyFont="1" applyFill="1" applyAlignment="1">
      <alignment horizontal="center" vertical="top" wrapText="1"/>
    </xf>
    <xf numFmtId="0" fontId="43" fillId="0" borderId="0" xfId="0" applyFont="1" applyBorder="1" applyAlignment="1">
      <alignment wrapText="1"/>
    </xf>
    <xf numFmtId="1" fontId="134" fillId="0" borderId="29" xfId="0" applyNumberFormat="1" applyFont="1" applyFill="1" applyBorder="1" applyAlignment="1">
      <alignment horizontal="left" vertical="center"/>
    </xf>
    <xf numFmtId="1" fontId="134" fillId="0" borderId="29" xfId="0" applyNumberFormat="1" applyFont="1" applyFill="1" applyBorder="1" applyAlignment="1">
      <alignment horizontal="right" vertical="center"/>
    </xf>
    <xf numFmtId="1" fontId="132" fillId="0" borderId="29" xfId="0" applyNumberFormat="1" applyFont="1" applyFill="1" applyBorder="1" applyAlignment="1">
      <alignment horizontal="left" vertical="center"/>
    </xf>
    <xf numFmtId="0" fontId="133" fillId="51" borderId="0" xfId="0" applyFont="1" applyFill="1" applyAlignment="1">
      <alignment horizontal="left" vertical="top" wrapText="1" indent="2"/>
    </xf>
    <xf numFmtId="169" fontId="132" fillId="0" borderId="29" xfId="0" applyNumberFormat="1" applyFont="1" applyFill="1" applyBorder="1" applyAlignment="1">
      <alignment horizontal="left" vertical="center" indent="2"/>
    </xf>
    <xf numFmtId="0" fontId="43" fillId="0" borderId="0" xfId="0" applyFont="1" applyAlignment="1">
      <alignment vertical="top" wrapText="1"/>
    </xf>
    <xf numFmtId="0" fontId="135" fillId="0" borderId="0" xfId="0" applyFont="1" applyAlignment="1">
      <alignment wrapText="1"/>
    </xf>
    <xf numFmtId="0" fontId="43" fillId="0" borderId="0" xfId="0" applyFont="1" applyAlignment="1">
      <alignment horizontal="center" wrapText="1"/>
    </xf>
    <xf numFmtId="1" fontId="132" fillId="0" borderId="29" xfId="0" applyNumberFormat="1" applyFont="1" applyFill="1" applyBorder="1" applyAlignment="1">
      <alignment horizontal="left" vertical="center" wrapText="1"/>
    </xf>
    <xf numFmtId="1" fontId="132" fillId="0" borderId="29" xfId="0" applyNumberFormat="1" applyFont="1" applyFill="1" applyBorder="1" applyAlignment="1">
      <alignment horizontal="right" vertical="center" wrapText="1" indent="1"/>
    </xf>
    <xf numFmtId="0" fontId="43" fillId="0" borderId="0" xfId="0" applyFont="1" applyBorder="1" applyAlignment="1">
      <alignment vertical="top" wrapText="1"/>
    </xf>
    <xf numFmtId="0" fontId="43" fillId="0" borderId="0" xfId="0" applyFont="1" applyAlignment="1">
      <alignment horizontal="right" indent="1"/>
    </xf>
    <xf numFmtId="1" fontId="137" fillId="0" borderId="0" xfId="0" applyNumberFormat="1" applyFont="1" applyAlignment="1">
      <alignment horizontal="left" indent="1"/>
    </xf>
    <xf numFmtId="0" fontId="138" fillId="0" borderId="0" xfId="0" applyFont="1" applyAlignment="1">
      <alignment horizontal="left" indent="1"/>
    </xf>
    <xf numFmtId="0" fontId="0" fillId="0" borderId="0" xfId="0" applyFont="1" applyAlignment="1">
      <alignment horizontal="left" vertical="center" indent="1"/>
    </xf>
    <xf numFmtId="1" fontId="127" fillId="0" borderId="0" xfId="0" applyNumberFormat="1" applyFont="1" applyAlignment="1">
      <alignment horizontal="left" vertical="center" indent="1"/>
    </xf>
    <xf numFmtId="0" fontId="130" fillId="53" borderId="31" xfId="0" applyFont="1" applyFill="1" applyBorder="1" applyAlignment="1">
      <alignment horizontal="left" vertical="center" wrapText="1" indent="1"/>
    </xf>
    <xf numFmtId="0" fontId="120" fillId="53" borderId="31" xfId="0" applyFont="1" applyFill="1" applyBorder="1" applyAlignment="1">
      <alignment horizontal="left" vertical="center" wrapText="1" indent="1"/>
    </xf>
    <xf numFmtId="166" fontId="126" fillId="53" borderId="31" xfId="0" applyNumberFormat="1" applyFont="1" applyFill="1" applyBorder="1" applyAlignment="1">
      <alignment horizontal="left" vertical="center" wrapText="1" indent="3"/>
    </xf>
    <xf numFmtId="0" fontId="127" fillId="0" borderId="0" xfId="0" applyFont="1" applyAlignment="1">
      <alignment horizontal="left" vertical="center" indent="1"/>
    </xf>
    <xf numFmtId="0" fontId="127" fillId="0" borderId="0" xfId="0" applyFont="1" applyFill="1"/>
    <xf numFmtId="0" fontId="134" fillId="0" borderId="0" xfId="0" applyFont="1" applyAlignment="1">
      <alignment vertical="top" wrapText="1"/>
    </xf>
    <xf numFmtId="166" fontId="132" fillId="0" borderId="0" xfId="0" applyNumberFormat="1" applyFont="1" applyAlignment="1">
      <alignment horizontal="left" indent="1"/>
    </xf>
    <xf numFmtId="0" fontId="132" fillId="0" borderId="0" xfId="0" applyFont="1" applyAlignment="1">
      <alignment vertical="top" wrapText="1"/>
    </xf>
    <xf numFmtId="0" fontId="127" fillId="0" borderId="0" xfId="0" applyFont="1" applyAlignment="1">
      <alignment horizontal="left" vertical="top"/>
    </xf>
    <xf numFmtId="0" fontId="0" fillId="0" borderId="0" xfId="0" applyFont="1" applyFill="1"/>
    <xf numFmtId="1" fontId="127" fillId="0" borderId="0" xfId="0" applyNumberFormat="1" applyFont="1" applyAlignment="1">
      <alignment horizontal="left"/>
    </xf>
    <xf numFmtId="0" fontId="127" fillId="0" borderId="0" xfId="0" applyFont="1" applyAlignment="1">
      <alignment horizontal="left"/>
    </xf>
    <xf numFmtId="1" fontId="127" fillId="0" borderId="0" xfId="0" applyNumberFormat="1" applyFont="1" applyAlignment="1">
      <alignment horizontal="center"/>
    </xf>
    <xf numFmtId="167" fontId="127" fillId="0" borderId="0" xfId="0" applyNumberFormat="1" applyFont="1" applyFill="1" applyAlignment="1">
      <alignment horizontal="left"/>
    </xf>
    <xf numFmtId="0" fontId="127" fillId="0" borderId="0" xfId="0" applyFont="1" applyFill="1" applyAlignment="1">
      <alignment horizontal="left"/>
    </xf>
    <xf numFmtId="167" fontId="127" fillId="0" borderId="0" xfId="0" applyNumberFormat="1" applyFont="1" applyAlignment="1">
      <alignment horizontal="left"/>
    </xf>
    <xf numFmtId="0" fontId="0" fillId="0" borderId="34" xfId="0" applyFont="1" applyBorder="1" applyAlignment="1">
      <alignment vertical="center"/>
    </xf>
    <xf numFmtId="0" fontId="0" fillId="0" borderId="36" xfId="0" applyFont="1" applyBorder="1" applyAlignment="1">
      <alignment vertical="center"/>
    </xf>
    <xf numFmtId="0" fontId="0" fillId="50" borderId="37" xfId="0" applyFont="1" applyFill="1" applyBorder="1" applyAlignment="1">
      <alignment vertical="center"/>
    </xf>
    <xf numFmtId="1" fontId="0" fillId="0" borderId="34" xfId="0" applyNumberFormat="1" applyFont="1" applyBorder="1" applyAlignment="1">
      <alignment vertical="center"/>
    </xf>
    <xf numFmtId="1" fontId="0" fillId="50" borderId="37" xfId="0" applyNumberFormat="1" applyFont="1" applyFill="1" applyBorder="1" applyAlignment="1">
      <alignment vertical="center"/>
    </xf>
    <xf numFmtId="167" fontId="0" fillId="50" borderId="34" xfId="0" applyNumberFormat="1" applyFont="1" applyFill="1" applyBorder="1" applyAlignment="1">
      <alignment vertical="center"/>
    </xf>
    <xf numFmtId="0" fontId="70" fillId="0" borderId="0" xfId="0" applyFont="1" applyAlignment="1">
      <alignment vertical="top"/>
    </xf>
    <xf numFmtId="1" fontId="113" fillId="0" borderId="0" xfId="0" applyNumberFormat="1" applyFont="1" applyAlignment="1">
      <alignment vertical="top"/>
    </xf>
    <xf numFmtId="0" fontId="139" fillId="0" borderId="0" xfId="0" applyFont="1" applyAlignment="1"/>
    <xf numFmtId="0" fontId="127" fillId="0" borderId="0" xfId="0" applyFont="1" applyAlignment="1">
      <alignment vertical="top"/>
    </xf>
    <xf numFmtId="0" fontId="140" fillId="0" borderId="0" xfId="0" applyFont="1" applyAlignment="1">
      <alignment vertical="top"/>
    </xf>
    <xf numFmtId="1" fontId="127" fillId="0" borderId="0" xfId="0" applyNumberFormat="1" applyFont="1" applyAlignment="1">
      <alignment vertical="top"/>
    </xf>
    <xf numFmtId="0" fontId="127" fillId="0" borderId="0" xfId="0" applyFont="1" applyAlignment="1">
      <alignment horizontal="left" vertical="top" wrapText="1"/>
    </xf>
    <xf numFmtId="0" fontId="133" fillId="14" borderId="6" xfId="0" applyFont="1" applyFill="1" applyBorder="1" applyAlignment="1">
      <alignment vertical="top"/>
    </xf>
    <xf numFmtId="0" fontId="133" fillId="14" borderId="0" xfId="0" applyFont="1" applyFill="1" applyAlignment="1">
      <alignment vertical="top"/>
    </xf>
    <xf numFmtId="0" fontId="133" fillId="14" borderId="20" xfId="0" applyFont="1" applyFill="1" applyBorder="1" applyAlignment="1">
      <alignment horizontal="center" vertical="top"/>
    </xf>
    <xf numFmtId="0" fontId="133" fillId="14" borderId="21" xfId="0" applyFont="1" applyFill="1" applyBorder="1" applyAlignment="1">
      <alignment horizontal="center" vertical="top"/>
    </xf>
    <xf numFmtId="0" fontId="0" fillId="0" borderId="0" xfId="0" applyFont="1" applyAlignment="1">
      <alignment horizontal="center"/>
    </xf>
    <xf numFmtId="0" fontId="0" fillId="0" borderId="0" xfId="0" applyFont="1" applyAlignment="1">
      <alignment vertical="center"/>
    </xf>
    <xf numFmtId="166" fontId="132" fillId="0" borderId="24" xfId="0" applyNumberFormat="1" applyFont="1" applyBorder="1" applyAlignment="1">
      <alignment horizontal="left" vertical="center" wrapText="1"/>
    </xf>
    <xf numFmtId="0" fontId="132" fillId="0" borderId="10" xfId="0" applyNumberFormat="1" applyFont="1" applyBorder="1" applyAlignment="1">
      <alignment horizontal="right" vertical="center"/>
    </xf>
    <xf numFmtId="166" fontId="132" fillId="11" borderId="25" xfId="0" applyNumberFormat="1" applyFont="1" applyFill="1" applyBorder="1" applyAlignment="1">
      <alignment horizontal="right" vertical="center"/>
    </xf>
    <xf numFmtId="166" fontId="139" fillId="0" borderId="23" xfId="0" applyNumberFormat="1" applyFont="1" applyBorder="1" applyAlignment="1">
      <alignment horizontal="right" vertical="center"/>
    </xf>
    <xf numFmtId="1" fontId="132" fillId="0" borderId="28" xfId="0" applyNumberFormat="1" applyFont="1" applyBorder="1" applyAlignment="1">
      <alignment horizontal="right" vertical="center"/>
    </xf>
    <xf numFmtId="0" fontId="0" fillId="0" borderId="0" xfId="0" applyFont="1" applyAlignment="1">
      <alignment vertical="center" wrapText="1"/>
    </xf>
    <xf numFmtId="0" fontId="0" fillId="0" borderId="0" xfId="0" applyFont="1" applyAlignment="1">
      <alignment horizontal="left" vertical="center" wrapText="1"/>
    </xf>
    <xf numFmtId="1" fontId="0" fillId="0" borderId="0" xfId="0" applyNumberFormat="1" applyFont="1" applyAlignment="1">
      <alignment vertical="center" wrapText="1"/>
    </xf>
    <xf numFmtId="0" fontId="0" fillId="0" borderId="0" xfId="0" applyFont="1" applyAlignment="1">
      <alignment horizontal="left" vertical="top" wrapText="1"/>
    </xf>
    <xf numFmtId="0" fontId="0" fillId="0" borderId="0" xfId="0" applyFont="1" applyAlignment="1">
      <alignment vertical="top" wrapText="1"/>
    </xf>
    <xf numFmtId="1" fontId="0" fillId="0" borderId="0" xfId="0" applyNumberFormat="1" applyFont="1" applyAlignment="1">
      <alignment vertical="top" wrapText="1"/>
    </xf>
    <xf numFmtId="0" fontId="0" fillId="0" borderId="0" xfId="0" applyFont="1" applyAlignment="1">
      <alignment vertical="top"/>
    </xf>
    <xf numFmtId="1" fontId="0" fillId="0" borderId="0" xfId="0" applyNumberFormat="1" applyFont="1" applyAlignment="1">
      <alignment vertical="top"/>
    </xf>
    <xf numFmtId="0" fontId="70" fillId="0" borderId="0" xfId="47" applyFont="1"/>
    <xf numFmtId="0" fontId="0" fillId="20" borderId="0" xfId="0" applyFont="1" applyFill="1"/>
    <xf numFmtId="0" fontId="0" fillId="43" borderId="0" xfId="0" applyFont="1" applyFill="1"/>
    <xf numFmtId="0" fontId="141" fillId="0" borderId="0" xfId="0" applyFont="1"/>
    <xf numFmtId="3" fontId="0" fillId="0" borderId="0" xfId="0" applyNumberFormat="1" applyFont="1"/>
    <xf numFmtId="0" fontId="93" fillId="0" borderId="0" xfId="0" applyFont="1" applyAlignment="1">
      <alignment horizontal="right" indent="1"/>
    </xf>
    <xf numFmtId="166" fontId="0" fillId="0" borderId="0" xfId="0" applyNumberFormat="1" applyFont="1" applyAlignment="1">
      <alignment horizontal="right" indent="2"/>
    </xf>
    <xf numFmtId="0" fontId="144" fillId="0" borderId="0" xfId="0" applyFont="1"/>
    <xf numFmtId="0" fontId="131" fillId="0" borderId="0" xfId="0" applyFont="1"/>
    <xf numFmtId="0" fontId="44" fillId="0" borderId="0" xfId="0" applyFont="1" applyAlignment="1">
      <alignment horizontal="center"/>
    </xf>
    <xf numFmtId="0" fontId="145" fillId="0" borderId="0" xfId="0" applyFont="1" applyAlignment="1">
      <alignment horizontal="left" readingOrder="1"/>
    </xf>
    <xf numFmtId="166" fontId="134" fillId="0" borderId="29" xfId="0" applyNumberFormat="1" applyFont="1" applyFill="1" applyBorder="1" applyAlignment="1">
      <alignment horizontal="right" vertical="center"/>
    </xf>
    <xf numFmtId="166" fontId="132" fillId="0" borderId="29" xfId="0" applyNumberFormat="1" applyFont="1" applyFill="1" applyBorder="1" applyAlignment="1">
      <alignment horizontal="right" vertical="center"/>
    </xf>
    <xf numFmtId="0" fontId="0" fillId="0" borderId="0" xfId="0" applyProtection="1"/>
    <xf numFmtId="0" fontId="136" fillId="51" borderId="0" xfId="0" applyFont="1" applyFill="1" applyAlignment="1">
      <alignment horizontal="center" vertical="center" wrapText="1"/>
    </xf>
    <xf numFmtId="0" fontId="136" fillId="51" borderId="0" xfId="0" applyFont="1" applyFill="1" applyAlignment="1">
      <alignment vertical="center" wrapText="1"/>
    </xf>
    <xf numFmtId="1" fontId="136" fillId="51" borderId="0" xfId="0" applyNumberFormat="1" applyFont="1" applyFill="1" applyAlignment="1">
      <alignment horizontal="right" vertical="center" wrapText="1"/>
    </xf>
    <xf numFmtId="0" fontId="136" fillId="51" borderId="0" xfId="0" applyFont="1" applyFill="1" applyAlignment="1">
      <alignment horizontal="right" vertical="center" wrapText="1"/>
    </xf>
    <xf numFmtId="1" fontId="136" fillId="51" borderId="0" xfId="0" applyNumberFormat="1" applyFont="1" applyFill="1" applyAlignment="1">
      <alignment horizontal="center" vertical="center" wrapText="1"/>
    </xf>
    <xf numFmtId="167" fontId="136" fillId="51" borderId="0" xfId="0" applyNumberFormat="1" applyFont="1" applyFill="1" applyAlignment="1">
      <alignment horizontal="left" vertical="center" wrapText="1"/>
    </xf>
    <xf numFmtId="0" fontId="137" fillId="0" borderId="0" xfId="0" applyFont="1" applyFill="1" applyAlignment="1">
      <alignment vertical="center" wrapText="1"/>
    </xf>
    <xf numFmtId="0" fontId="147" fillId="0" borderId="0" xfId="0" applyFont="1" applyAlignment="1">
      <alignment vertical="center"/>
    </xf>
    <xf numFmtId="0" fontId="44" fillId="0" borderId="0" xfId="0" applyFont="1" applyFill="1" applyAlignment="1" applyProtection="1"/>
    <xf numFmtId="0" fontId="0" fillId="0" borderId="0" xfId="0" applyFont="1" applyFill="1" applyAlignment="1" applyProtection="1"/>
    <xf numFmtId="1" fontId="0" fillId="0" borderId="0" xfId="0" applyNumberFormat="1" applyFont="1" applyFill="1" applyAlignment="1" applyProtection="1"/>
    <xf numFmtId="0" fontId="0" fillId="0" borderId="0" xfId="0" applyFont="1" applyFill="1" applyAlignment="1" applyProtection="1">
      <alignment horizontal="left" vertical="top" wrapText="1"/>
    </xf>
    <xf numFmtId="0" fontId="0" fillId="0" borderId="0" xfId="0" applyFont="1" applyFill="1" applyProtection="1"/>
    <xf numFmtId="0" fontId="133" fillId="0" borderId="0" xfId="0" applyFont="1" applyFill="1" applyAlignment="1" applyProtection="1">
      <alignment horizontal="center" vertical="center" wrapText="1"/>
    </xf>
    <xf numFmtId="0" fontId="44" fillId="0" borderId="0" xfId="0" applyFont="1" applyFill="1" applyProtection="1"/>
    <xf numFmtId="0" fontId="70" fillId="0" borderId="0" xfId="0" applyFont="1" applyFill="1" applyAlignment="1" applyProtection="1"/>
    <xf numFmtId="1" fontId="127" fillId="0" borderId="0" xfId="0" applyNumberFormat="1" applyFont="1" applyFill="1" applyAlignment="1" applyProtection="1"/>
    <xf numFmtId="0" fontId="127" fillId="0" borderId="0" xfId="0" applyFont="1" applyFill="1" applyAlignment="1" applyProtection="1"/>
    <xf numFmtId="0" fontId="133" fillId="0" borderId="0" xfId="0" applyFont="1" applyFill="1" applyAlignment="1" applyProtection="1">
      <alignment horizontal="center" vertical="top" wrapText="1"/>
    </xf>
    <xf numFmtId="0" fontId="133" fillId="0" borderId="0" xfId="0" applyFont="1" applyFill="1" applyAlignment="1" applyProtection="1">
      <alignment horizontal="left" vertical="top" wrapText="1"/>
    </xf>
    <xf numFmtId="0" fontId="127" fillId="0" borderId="0" xfId="0" applyFont="1" applyFill="1" applyProtection="1"/>
    <xf numFmtId="0" fontId="70" fillId="20" borderId="0" xfId="0" applyFont="1" applyFill="1" applyAlignment="1" applyProtection="1"/>
    <xf numFmtId="1" fontId="127" fillId="0" borderId="0" xfId="0" applyNumberFormat="1" applyFont="1" applyAlignment="1" applyProtection="1"/>
    <xf numFmtId="0" fontId="127" fillId="0" borderId="0" xfId="0" applyFont="1" applyAlignment="1" applyProtection="1"/>
    <xf numFmtId="0" fontId="133" fillId="14" borderId="0" xfId="0" applyFont="1" applyFill="1" applyAlignment="1" applyProtection="1">
      <alignment horizontal="center" vertical="top" wrapText="1"/>
    </xf>
    <xf numFmtId="0" fontId="133" fillId="14" borderId="0" xfId="0" applyFont="1" applyFill="1" applyAlignment="1" applyProtection="1">
      <alignment horizontal="left" vertical="top" wrapText="1"/>
    </xf>
    <xf numFmtId="0" fontId="0" fillId="0" borderId="0" xfId="0" applyFont="1" applyProtection="1"/>
    <xf numFmtId="0" fontId="127" fillId="0" borderId="0" xfId="0" applyFont="1" applyProtection="1"/>
    <xf numFmtId="0" fontId="146" fillId="51" borderId="0" xfId="0" applyFont="1" applyFill="1" applyAlignment="1" applyProtection="1">
      <alignment horizontal="center" vertical="center"/>
    </xf>
    <xf numFmtId="1" fontId="136" fillId="51" borderId="0" xfId="0" applyNumberFormat="1" applyFont="1" applyFill="1" applyAlignment="1" applyProtection="1">
      <alignment horizontal="center" vertical="center"/>
    </xf>
    <xf numFmtId="0" fontId="136" fillId="51" borderId="0" xfId="0" applyFont="1" applyFill="1" applyAlignment="1" applyProtection="1">
      <alignment horizontal="center" vertical="center"/>
    </xf>
    <xf numFmtId="0" fontId="136" fillId="51" borderId="0" xfId="0" applyFont="1" applyFill="1" applyAlignment="1" applyProtection="1">
      <alignment horizontal="left" vertical="center" wrapText="1"/>
    </xf>
    <xf numFmtId="0" fontId="136" fillId="51" borderId="27" xfId="0" applyFont="1" applyFill="1" applyBorder="1" applyAlignment="1" applyProtection="1">
      <alignment horizontal="left" vertical="center" wrapText="1"/>
    </xf>
    <xf numFmtId="0" fontId="136" fillId="51" borderId="0" xfId="0" applyFont="1" applyFill="1" applyAlignment="1" applyProtection="1">
      <alignment horizontal="center" vertical="center" wrapText="1"/>
    </xf>
    <xf numFmtId="0" fontId="138" fillId="0" borderId="0" xfId="0" applyFont="1" applyAlignment="1" applyProtection="1">
      <alignment vertical="center"/>
    </xf>
    <xf numFmtId="0" fontId="138" fillId="51" borderId="0" xfId="0" applyFont="1" applyFill="1" applyAlignment="1" applyProtection="1">
      <alignment vertical="center"/>
    </xf>
    <xf numFmtId="0" fontId="137" fillId="51" borderId="0" xfId="0" applyFont="1" applyFill="1" applyAlignment="1" applyProtection="1">
      <alignment horizontal="center" vertical="center" wrapText="1"/>
    </xf>
    <xf numFmtId="0" fontId="0" fillId="0" borderId="33" xfId="0" applyFont="1" applyBorder="1" applyAlignment="1" applyProtection="1">
      <alignment vertical="center"/>
    </xf>
    <xf numFmtId="0" fontId="0" fillId="0" borderId="34" xfId="0" applyFont="1" applyBorder="1" applyAlignment="1" applyProtection="1">
      <alignment vertical="center"/>
    </xf>
    <xf numFmtId="0" fontId="0" fillId="50" borderId="37" xfId="0" applyFont="1" applyFill="1" applyBorder="1" applyAlignment="1" applyProtection="1">
      <alignment vertical="center"/>
    </xf>
    <xf numFmtId="0" fontId="0" fillId="0" borderId="0" xfId="0" applyFont="1" applyBorder="1" applyAlignment="1" applyProtection="1">
      <alignment vertical="center"/>
    </xf>
    <xf numFmtId="0" fontId="0" fillId="0" borderId="35" xfId="0" applyFont="1" applyBorder="1" applyAlignment="1" applyProtection="1">
      <alignment vertical="center"/>
    </xf>
    <xf numFmtId="0" fontId="0" fillId="0" borderId="32" xfId="0" applyFont="1" applyBorder="1" applyAlignment="1" applyProtection="1">
      <alignment vertical="center"/>
    </xf>
    <xf numFmtId="0" fontId="0" fillId="50" borderId="38" xfId="0" applyFont="1" applyFill="1" applyBorder="1" applyAlignment="1" applyProtection="1">
      <alignment vertical="center"/>
    </xf>
    <xf numFmtId="0" fontId="0" fillId="0" borderId="0" xfId="0" applyFont="1" applyAlignment="1" applyProtection="1">
      <alignment vertical="center"/>
    </xf>
    <xf numFmtId="0" fontId="0" fillId="0" borderId="0" xfId="0" applyFont="1" applyAlignment="1" applyProtection="1">
      <alignment vertical="top"/>
    </xf>
    <xf numFmtId="0" fontId="127" fillId="0" borderId="0" xfId="0" applyFont="1" applyAlignment="1" applyProtection="1">
      <alignment horizontal="left" vertical="top" wrapText="1"/>
    </xf>
    <xf numFmtId="0" fontId="1" fillId="5" borderId="2" xfId="0" applyFont="1" applyFill="1" applyBorder="1" applyAlignment="1" applyProtection="1">
      <alignment horizontal="center"/>
      <protection locked="0"/>
    </xf>
    <xf numFmtId="0" fontId="1" fillId="5" borderId="2" xfId="0" applyFont="1" applyFill="1" applyBorder="1" applyAlignment="1" applyProtection="1">
      <alignment horizontal="center"/>
      <protection locked="0"/>
    </xf>
    <xf numFmtId="0" fontId="0" fillId="0" borderId="0" xfId="0" applyAlignment="1" applyProtection="1">
      <alignment horizontal="center"/>
    </xf>
    <xf numFmtId="0" fontId="13" fillId="51" borderId="0" xfId="0" applyFont="1" applyFill="1" applyAlignment="1" applyProtection="1">
      <alignment horizontal="center" vertical="top"/>
    </xf>
    <xf numFmtId="0" fontId="1" fillId="0" borderId="2" xfId="0" applyFont="1" applyFill="1" applyBorder="1" applyAlignment="1" applyProtection="1">
      <alignment horizontal="center"/>
    </xf>
    <xf numFmtId="0" fontId="0" fillId="0" borderId="41" xfId="0" applyFont="1" applyBorder="1" applyAlignment="1">
      <alignment vertical="center"/>
    </xf>
    <xf numFmtId="0" fontId="0" fillId="50" borderId="40" xfId="0" applyFont="1" applyFill="1" applyBorder="1" applyAlignment="1">
      <alignment vertical="center"/>
    </xf>
    <xf numFmtId="0" fontId="46" fillId="20" borderId="0" xfId="0" applyFont="1" applyFill="1"/>
    <xf numFmtId="0" fontId="101" fillId="20" borderId="0" xfId="0" applyFont="1" applyFill="1" applyAlignment="1">
      <alignment vertical="center"/>
    </xf>
    <xf numFmtId="0" fontId="46" fillId="20" borderId="0" xfId="0" applyFont="1" applyFill="1" applyAlignment="1">
      <alignment vertical="center"/>
    </xf>
    <xf numFmtId="0" fontId="46" fillId="20" borderId="0" xfId="0" applyFont="1" applyFill="1" applyAlignment="1">
      <alignment vertical="center" wrapText="1"/>
    </xf>
    <xf numFmtId="0" fontId="46" fillId="20" borderId="0" xfId="0" applyFont="1" applyFill="1" applyAlignment="1">
      <alignment wrapText="1"/>
    </xf>
    <xf numFmtId="166" fontId="0" fillId="0" borderId="34" xfId="0" applyNumberFormat="1" applyFont="1" applyBorder="1" applyAlignment="1">
      <alignment vertical="center"/>
    </xf>
    <xf numFmtId="166" fontId="0" fillId="50" borderId="37" xfId="0" applyNumberFormat="1" applyFont="1" applyFill="1" applyBorder="1" applyAlignment="1">
      <alignment vertical="center"/>
    </xf>
    <xf numFmtId="0" fontId="148" fillId="0" borderId="0" xfId="0" applyFont="1" applyBorder="1" applyAlignment="1">
      <alignment vertical="top"/>
    </xf>
    <xf numFmtId="0" fontId="109" fillId="58" borderId="0" xfId="0" applyFont="1" applyFill="1" applyBorder="1" applyAlignment="1">
      <alignment vertical="center" wrapText="1"/>
    </xf>
    <xf numFmtId="0" fontId="33" fillId="58" borderId="0" xfId="0" applyFont="1" applyFill="1" applyAlignment="1"/>
    <xf numFmtId="0" fontId="109" fillId="0" borderId="0" xfId="0" applyFont="1" applyFill="1" applyBorder="1" applyAlignment="1">
      <alignment vertical="center" wrapText="1"/>
    </xf>
    <xf numFmtId="0" fontId="46" fillId="0" borderId="0" xfId="0" applyFont="1" applyFill="1" applyBorder="1" applyAlignment="1">
      <alignment vertical="center" wrapText="1"/>
    </xf>
    <xf numFmtId="0" fontId="124" fillId="51" borderId="0" xfId="0" applyFont="1" applyFill="1" applyBorder="1" applyAlignment="1">
      <alignment vertical="center" wrapText="1"/>
    </xf>
    <xf numFmtId="0" fontId="33" fillId="58" borderId="0" xfId="0" applyFont="1" applyFill="1" applyBorder="1" applyAlignment="1"/>
    <xf numFmtId="0" fontId="149" fillId="0" borderId="0" xfId="0" applyFont="1" applyFill="1" applyBorder="1" applyAlignment="1">
      <alignment vertical="top"/>
    </xf>
    <xf numFmtId="0" fontId="0" fillId="0" borderId="37" xfId="0" applyFont="1" applyBorder="1" applyAlignment="1" applyProtection="1">
      <alignment vertical="center" wrapText="1"/>
    </xf>
    <xf numFmtId="0" fontId="0" fillId="0" borderId="0" xfId="0" applyFont="1" applyBorder="1" applyAlignment="1" applyProtection="1">
      <alignment vertical="center" wrapText="1"/>
    </xf>
    <xf numFmtId="0" fontId="0" fillId="0" borderId="0" xfId="0" applyFont="1" applyAlignment="1" applyProtection="1">
      <alignment vertical="center" wrapText="1"/>
    </xf>
    <xf numFmtId="0" fontId="0" fillId="0" borderId="0" xfId="0" applyFont="1" applyAlignment="1" applyProtection="1">
      <alignment vertical="top" wrapText="1"/>
    </xf>
    <xf numFmtId="0" fontId="0" fillId="0" borderId="0" xfId="0" applyFont="1" applyAlignment="1" applyProtection="1">
      <alignment wrapText="1"/>
    </xf>
    <xf numFmtId="0" fontId="0" fillId="0" borderId="38" xfId="0" applyFont="1" applyBorder="1" applyAlignment="1" applyProtection="1">
      <alignment horizontal="left" vertical="center" wrapText="1" indent="1"/>
    </xf>
    <xf numFmtId="0" fontId="46" fillId="0" borderId="0" xfId="0" quotePrefix="1" applyFont="1" applyFill="1" applyBorder="1" applyAlignment="1">
      <alignment vertical="center" wrapText="1"/>
    </xf>
    <xf numFmtId="1" fontId="133" fillId="14" borderId="0" xfId="0" applyNumberFormat="1" applyFont="1" applyFill="1" applyAlignment="1" applyProtection="1">
      <alignment horizontal="center" vertical="center" wrapText="1"/>
    </xf>
    <xf numFmtId="0" fontId="0" fillId="0" borderId="34" xfId="0" applyFont="1" applyBorder="1" applyAlignment="1" applyProtection="1">
      <alignment vertical="center" wrapText="1"/>
    </xf>
    <xf numFmtId="0" fontId="0" fillId="0" borderId="32" xfId="0" applyFont="1" applyBorder="1" applyAlignment="1" applyProtection="1">
      <alignment vertical="center" wrapText="1"/>
    </xf>
    <xf numFmtId="0" fontId="0" fillId="0" borderId="0" xfId="0" applyFont="1" applyFill="1" applyAlignment="1">
      <alignment horizontal="left" wrapText="1"/>
    </xf>
    <xf numFmtId="0" fontId="127" fillId="0" borderId="0" xfId="0" applyFont="1" applyFill="1" applyAlignment="1">
      <alignment horizontal="left" wrapText="1"/>
    </xf>
    <xf numFmtId="0" fontId="127" fillId="0" borderId="0" xfId="0" applyFont="1" applyAlignment="1">
      <alignment horizontal="left" wrapText="1"/>
    </xf>
    <xf numFmtId="0" fontId="0" fillId="50" borderId="39" xfId="0" applyFont="1" applyFill="1" applyBorder="1" applyAlignment="1">
      <alignment vertical="center" wrapText="1"/>
    </xf>
    <xf numFmtId="0" fontId="0" fillId="50" borderId="37" xfId="0" applyFont="1" applyFill="1" applyBorder="1" applyAlignment="1">
      <alignment vertical="center" wrapText="1"/>
    </xf>
    <xf numFmtId="0" fontId="0" fillId="0" borderId="0" xfId="0" applyFont="1" applyAlignment="1">
      <alignment horizontal="left" wrapText="1"/>
    </xf>
    <xf numFmtId="0" fontId="112" fillId="0" borderId="0" xfId="0" applyFont="1"/>
    <xf numFmtId="0" fontId="150" fillId="0" borderId="0" xfId="0" applyFont="1" applyAlignment="1">
      <alignment horizontal="left"/>
    </xf>
    <xf numFmtId="0" fontId="151" fillId="0" borderId="0" xfId="0" applyFont="1" applyProtection="1">
      <protection locked="0"/>
    </xf>
    <xf numFmtId="0" fontId="138" fillId="0" borderId="0" xfId="0" applyFont="1"/>
    <xf numFmtId="0" fontId="152" fillId="0" borderId="0" xfId="0" applyFont="1" applyAlignment="1">
      <alignment horizontal="left" readingOrder="1"/>
    </xf>
    <xf numFmtId="0" fontId="153" fillId="0" borderId="0" xfId="0" applyFont="1"/>
    <xf numFmtId="0" fontId="154" fillId="0" borderId="0" xfId="180" applyFill="1"/>
    <xf numFmtId="181" fontId="157" fillId="0" borderId="44" xfId="180" applyNumberFormat="1" applyFont="1" applyFill="1" applyBorder="1" applyAlignment="1">
      <alignment horizontal="center"/>
    </xf>
    <xf numFmtId="0" fontId="157" fillId="0" borderId="44" xfId="180" applyFont="1" applyFill="1" applyBorder="1"/>
    <xf numFmtId="0" fontId="154" fillId="0" borderId="46" xfId="180" applyFill="1" applyBorder="1"/>
    <xf numFmtId="0" fontId="154" fillId="0" borderId="47" xfId="180" applyFill="1" applyBorder="1"/>
    <xf numFmtId="0" fontId="154" fillId="0" borderId="48" xfId="180" applyFill="1" applyBorder="1"/>
    <xf numFmtId="0" fontId="157" fillId="0" borderId="0" xfId="180" applyFont="1" applyFill="1"/>
    <xf numFmtId="0" fontId="154" fillId="0" borderId="43" xfId="180" applyFill="1" applyBorder="1" applyAlignment="1">
      <alignment horizontal="center"/>
    </xf>
    <xf numFmtId="0" fontId="154" fillId="0" borderId="44" xfId="180" applyFill="1" applyBorder="1" applyAlignment="1">
      <alignment horizontal="center"/>
    </xf>
    <xf numFmtId="0" fontId="154" fillId="0" borderId="45" xfId="180" applyFill="1" applyBorder="1" applyAlignment="1">
      <alignment horizontal="center"/>
    </xf>
    <xf numFmtId="0" fontId="157" fillId="0" borderId="0" xfId="180" applyFont="1" applyFill="1" applyBorder="1"/>
    <xf numFmtId="0" fontId="157" fillId="0" borderId="1" xfId="180" applyFont="1" applyFill="1" applyBorder="1"/>
    <xf numFmtId="0" fontId="154" fillId="0" borderId="42" xfId="180" applyFont="1" applyFill="1" applyBorder="1" applyAlignment="1">
      <alignment horizontal="center"/>
    </xf>
    <xf numFmtId="0" fontId="154" fillId="0" borderId="0" xfId="180" applyFont="1" applyFill="1" applyBorder="1" applyAlignment="1">
      <alignment horizontal="center"/>
    </xf>
    <xf numFmtId="0" fontId="158" fillId="0" borderId="0" xfId="180" applyFont="1" applyFill="1" applyBorder="1"/>
    <xf numFmtId="0" fontId="158" fillId="0" borderId="1" xfId="180" applyFont="1" applyFill="1" applyBorder="1"/>
    <xf numFmtId="0" fontId="154" fillId="0" borderId="0" xfId="180" applyFont="1" applyFill="1"/>
    <xf numFmtId="0" fontId="154" fillId="0" borderId="42" xfId="180" applyFill="1" applyBorder="1" applyAlignment="1">
      <alignment horizontal="center"/>
    </xf>
    <xf numFmtId="0" fontId="154" fillId="0" borderId="0" xfId="180" applyFill="1" applyBorder="1" applyAlignment="1">
      <alignment horizontal="center"/>
    </xf>
    <xf numFmtId="0" fontId="154" fillId="0" borderId="1" xfId="180" applyFill="1" applyBorder="1" applyAlignment="1">
      <alignment horizontal="center"/>
    </xf>
    <xf numFmtId="0" fontId="157" fillId="0" borderId="43" xfId="180" applyFont="1" applyFill="1" applyBorder="1"/>
    <xf numFmtId="0" fontId="157" fillId="0" borderId="45" xfId="180" applyFont="1" applyFill="1" applyBorder="1"/>
    <xf numFmtId="0" fontId="157" fillId="0" borderId="49" xfId="180" applyFont="1" applyFill="1" applyBorder="1"/>
    <xf numFmtId="0" fontId="157" fillId="0" borderId="19" xfId="180" applyFont="1" applyFill="1" applyBorder="1"/>
    <xf numFmtId="0" fontId="157" fillId="0" borderId="50" xfId="180" applyFont="1" applyFill="1" applyBorder="1"/>
    <xf numFmtId="0" fontId="154" fillId="0" borderId="43" xfId="180" applyFill="1" applyBorder="1"/>
    <xf numFmtId="0" fontId="154" fillId="0" borderId="44" xfId="180" applyFill="1" applyBorder="1"/>
    <xf numFmtId="0" fontId="154" fillId="0" borderId="45" xfId="180" applyFill="1" applyBorder="1"/>
    <xf numFmtId="0" fontId="154" fillId="0" borderId="49" xfId="180" applyFill="1" applyBorder="1"/>
    <xf numFmtId="0" fontId="154" fillId="0" borderId="19" xfId="180" applyFill="1" applyBorder="1"/>
    <xf numFmtId="0" fontId="154" fillId="0" borderId="50" xfId="180" applyFill="1" applyBorder="1"/>
    <xf numFmtId="0" fontId="154" fillId="0" borderId="49" xfId="180" applyFont="1" applyFill="1" applyBorder="1" applyAlignment="1">
      <alignment horizontal="center"/>
    </xf>
    <xf numFmtId="0" fontId="154" fillId="0" borderId="19" xfId="180" applyFont="1" applyFill="1" applyBorder="1" applyAlignment="1">
      <alignment horizontal="center"/>
    </xf>
    <xf numFmtId="0" fontId="158" fillId="0" borderId="19" xfId="180" applyFont="1" applyFill="1" applyBorder="1"/>
    <xf numFmtId="0" fontId="158" fillId="0" borderId="50" xfId="180" applyFont="1" applyFill="1" applyBorder="1"/>
    <xf numFmtId="0" fontId="154" fillId="0" borderId="1" xfId="180" applyFill="1" applyBorder="1"/>
    <xf numFmtId="0" fontId="154" fillId="0" borderId="0" xfId="180" applyFill="1" applyBorder="1"/>
    <xf numFmtId="0" fontId="154" fillId="0" borderId="1" xfId="180" applyFont="1" applyFill="1" applyBorder="1" applyAlignment="1">
      <alignment horizontal="center"/>
    </xf>
    <xf numFmtId="0" fontId="158" fillId="0" borderId="42" xfId="180" applyFont="1" applyFill="1" applyBorder="1"/>
    <xf numFmtId="0" fontId="154" fillId="0" borderId="42" xfId="180" applyFill="1" applyBorder="1"/>
    <xf numFmtId="0" fontId="154" fillId="0" borderId="50" xfId="180" applyFont="1" applyFill="1" applyBorder="1" applyAlignment="1">
      <alignment horizontal="center"/>
    </xf>
    <xf numFmtId="0" fontId="154" fillId="0" borderId="49" xfId="180" applyFill="1" applyBorder="1" applyAlignment="1">
      <alignment horizontal="center"/>
    </xf>
    <xf numFmtId="0" fontId="154" fillId="0" borderId="19" xfId="180" applyFill="1" applyBorder="1" applyAlignment="1">
      <alignment horizontal="center"/>
    </xf>
    <xf numFmtId="0" fontId="154" fillId="0" borderId="50" xfId="180" applyFill="1" applyBorder="1" applyAlignment="1">
      <alignment horizontal="center"/>
    </xf>
    <xf numFmtId="0" fontId="154" fillId="0" borderId="0" xfId="180" applyNumberFormat="1" applyFill="1"/>
    <xf numFmtId="0" fontId="154" fillId="0" borderId="0" xfId="180" applyFont="1" applyFill="1" applyAlignment="1"/>
    <xf numFmtId="0" fontId="155" fillId="0" borderId="0" xfId="180" applyFont="1" applyFill="1"/>
    <xf numFmtId="0" fontId="154" fillId="0" borderId="0" xfId="180" applyFill="1" applyAlignment="1"/>
    <xf numFmtId="0" fontId="154" fillId="0" borderId="0" xfId="180" applyFill="1" applyAlignment="1">
      <alignment wrapText="1"/>
    </xf>
    <xf numFmtId="0" fontId="156" fillId="0" borderId="42" xfId="180" applyFont="1" applyFill="1" applyBorder="1"/>
    <xf numFmtId="0" fontId="156" fillId="0" borderId="43" xfId="180" applyFont="1" applyFill="1" applyBorder="1"/>
    <xf numFmtId="0" fontId="156" fillId="0" borderId="44" xfId="180" applyFont="1" applyFill="1" applyBorder="1"/>
    <xf numFmtId="0" fontId="156" fillId="0" borderId="0" xfId="180" applyFont="1" applyFill="1"/>
    <xf numFmtId="0" fontId="154" fillId="0" borderId="0" xfId="180" applyFill="1" applyAlignment="1">
      <alignment horizontal="right"/>
    </xf>
    <xf numFmtId="0" fontId="156" fillId="0" borderId="45" xfId="180" applyFont="1" applyFill="1" applyBorder="1"/>
    <xf numFmtId="0" fontId="156" fillId="0" borderId="0" xfId="180" applyFont="1" applyFill="1" applyBorder="1"/>
    <xf numFmtId="0" fontId="156" fillId="0" borderId="1" xfId="180" applyFont="1" applyFill="1" applyBorder="1"/>
    <xf numFmtId="0" fontId="154" fillId="0" borderId="19" xfId="180" applyFont="1" applyFill="1" applyBorder="1"/>
    <xf numFmtId="0" fontId="159" fillId="0" borderId="19" xfId="180" applyFont="1" applyFill="1" applyBorder="1"/>
    <xf numFmtId="0" fontId="154" fillId="0" borderId="49" xfId="180" quotePrefix="1" applyNumberFormat="1" applyFill="1" applyBorder="1"/>
    <xf numFmtId="0" fontId="154" fillId="0" borderId="19" xfId="180" quotePrefix="1" applyNumberFormat="1" applyFill="1" applyBorder="1"/>
    <xf numFmtId="0" fontId="154" fillId="0" borderId="0" xfId="180" applyNumberFormat="1" applyFont="1" applyFill="1"/>
    <xf numFmtId="0" fontId="157" fillId="0" borderId="42" xfId="180" applyNumberFormat="1" applyFont="1" applyFill="1" applyBorder="1" applyAlignment="1" applyProtection="1"/>
    <xf numFmtId="0" fontId="157" fillId="0" borderId="0" xfId="180" applyNumberFormat="1" applyFont="1" applyFill="1" applyBorder="1" applyAlignment="1" applyProtection="1"/>
    <xf numFmtId="0" fontId="157" fillId="0" borderId="1" xfId="180" applyNumberFormat="1" applyFont="1" applyFill="1" applyBorder="1" applyAlignment="1" applyProtection="1"/>
    <xf numFmtId="0" fontId="154" fillId="59" borderId="51" xfId="180" applyNumberFormat="1" applyFont="1" applyFill="1" applyBorder="1" applyAlignment="1"/>
    <xf numFmtId="0" fontId="154" fillId="59" borderId="52" xfId="180" applyNumberFormat="1" applyFont="1" applyFill="1" applyBorder="1" applyAlignment="1"/>
    <xf numFmtId="0" fontId="160" fillId="0" borderId="0" xfId="0" applyFont="1"/>
    <xf numFmtId="0" fontId="0" fillId="0" borderId="0" xfId="0" applyFont="1" applyFill="1" applyAlignment="1">
      <alignment horizontal="left" indent="2"/>
    </xf>
    <xf numFmtId="0" fontId="150" fillId="0" borderId="0" xfId="0" applyFont="1"/>
    <xf numFmtId="0" fontId="161" fillId="0" borderId="0" xfId="0" applyFont="1" applyAlignment="1">
      <alignment horizontal="left" readingOrder="1"/>
    </xf>
    <xf numFmtId="0" fontId="164" fillId="0" borderId="6" xfId="0" applyNumberFormat="1" applyFont="1" applyFill="1" applyBorder="1" applyAlignment="1">
      <alignment horizontal="center" vertical="top" wrapText="1"/>
    </xf>
    <xf numFmtId="0" fontId="149" fillId="0" borderId="6" xfId="0" applyFont="1" applyBorder="1" applyAlignment="1">
      <alignment vertical="top" wrapText="1"/>
    </xf>
    <xf numFmtId="0" fontId="149" fillId="0" borderId="6" xfId="0" applyFont="1" applyFill="1" applyBorder="1" applyAlignment="1">
      <alignment vertical="top" wrapText="1"/>
    </xf>
    <xf numFmtId="0" fontId="164" fillId="0" borderId="6" xfId="0" applyNumberFormat="1" applyFont="1" applyFill="1" applyBorder="1" applyAlignment="1">
      <alignment horizontal="left" vertical="top" wrapText="1"/>
    </xf>
    <xf numFmtId="0" fontId="149" fillId="0" borderId="5" xfId="0" applyFont="1" applyBorder="1" applyAlignment="1">
      <alignment horizontal="left" vertical="top" wrapText="1"/>
    </xf>
    <xf numFmtId="0" fontId="149" fillId="0" borderId="53" xfId="0" applyFont="1" applyBorder="1" applyAlignment="1">
      <alignment horizontal="left" vertical="top" wrapText="1"/>
    </xf>
    <xf numFmtId="0" fontId="149" fillId="0" borderId="53" xfId="0" applyFont="1" applyFill="1" applyBorder="1" applyAlignment="1">
      <alignment horizontal="left" vertical="top" wrapText="1"/>
    </xf>
    <xf numFmtId="0" fontId="149" fillId="0" borderId="53" xfId="0" quotePrefix="1" applyFont="1" applyBorder="1" applyAlignment="1">
      <alignment horizontal="left" vertical="top" wrapText="1"/>
    </xf>
    <xf numFmtId="0" fontId="149" fillId="0" borderId="4" xfId="0" applyFont="1" applyBorder="1" applyAlignment="1">
      <alignment horizontal="left" vertical="top" wrapText="1"/>
    </xf>
    <xf numFmtId="0" fontId="149" fillId="0" borderId="6" xfId="0" applyFont="1" applyBorder="1" applyAlignment="1">
      <alignment horizontal="left" vertical="top" wrapText="1"/>
    </xf>
    <xf numFmtId="0" fontId="0" fillId="0" borderId="0" xfId="0" applyFont="1" applyAlignment="1">
      <alignment horizontal="left" vertical="top" wrapText="1" indent="1"/>
    </xf>
    <xf numFmtId="0" fontId="73" fillId="0" borderId="0" xfId="0" applyFont="1" applyAlignment="1">
      <alignment horizontal="right"/>
    </xf>
    <xf numFmtId="0" fontId="73" fillId="10" borderId="0" xfId="0" applyFont="1" applyFill="1"/>
    <xf numFmtId="0" fontId="165" fillId="0" borderId="0" xfId="0" applyFont="1"/>
    <xf numFmtId="0" fontId="73" fillId="9" borderId="0" xfId="0" applyFont="1" applyFill="1"/>
    <xf numFmtId="0" fontId="73" fillId="58" borderId="0" xfId="0" applyFont="1" applyFill="1"/>
    <xf numFmtId="0" fontId="73" fillId="58" borderId="0" xfId="0" applyFont="1" applyFill="1" applyAlignment="1">
      <alignment horizontal="right"/>
    </xf>
    <xf numFmtId="0" fontId="73" fillId="0" borderId="3" xfId="0" applyFont="1" applyBorder="1" applyAlignment="1">
      <alignment horizontal="right"/>
    </xf>
    <xf numFmtId="0" fontId="73" fillId="10" borderId="0" xfId="0" applyFont="1" applyFill="1" applyAlignment="1">
      <alignment horizontal="left"/>
    </xf>
    <xf numFmtId="0" fontId="73" fillId="0" borderId="4" xfId="0" applyFont="1" applyBorder="1" applyAlignment="1">
      <alignment horizontal="right"/>
    </xf>
    <xf numFmtId="0" fontId="73" fillId="0" borderId="0" xfId="0" applyFont="1" applyAlignment="1">
      <alignment horizontal="left"/>
    </xf>
    <xf numFmtId="0" fontId="166" fillId="0" borderId="0" xfId="0" applyFont="1"/>
    <xf numFmtId="0" fontId="73" fillId="0" borderId="3" xfId="0" applyFont="1" applyBorder="1"/>
    <xf numFmtId="0" fontId="73" fillId="0" borderId="4" xfId="0" applyFont="1" applyBorder="1"/>
    <xf numFmtId="0" fontId="73" fillId="0" borderId="53" xfId="0" applyFont="1" applyBorder="1"/>
    <xf numFmtId="0" fontId="167" fillId="60" borderId="0" xfId="49" applyFont="1" applyFill="1"/>
    <xf numFmtId="0" fontId="0" fillId="0" borderId="0" xfId="0" applyFont="1" applyAlignment="1">
      <alignment horizontal="left" vertical="top" wrapText="1" indent="1"/>
    </xf>
    <xf numFmtId="0" fontId="128" fillId="0" borderId="0" xfId="0" applyFont="1" applyAlignment="1">
      <alignment vertical="top" wrapText="1"/>
    </xf>
    <xf numFmtId="0" fontId="128" fillId="0" borderId="0" xfId="0" applyFont="1" applyAlignment="1">
      <alignment vertical="top"/>
    </xf>
    <xf numFmtId="0" fontId="0" fillId="0" borderId="0" xfId="0" applyAlignment="1">
      <alignment wrapText="1"/>
    </xf>
    <xf numFmtId="0" fontId="0" fillId="0" borderId="0" xfId="0" applyAlignment="1">
      <alignment vertical="top"/>
    </xf>
    <xf numFmtId="0" fontId="169" fillId="0" borderId="0" xfId="0" applyFont="1" applyAlignment="1">
      <alignment vertical="top" wrapText="1"/>
    </xf>
    <xf numFmtId="0" fontId="142" fillId="0" borderId="0" xfId="0" applyFont="1" applyAlignment="1">
      <alignment wrapText="1"/>
    </xf>
    <xf numFmtId="0" fontId="146" fillId="0" borderId="0" xfId="0" applyFont="1" applyAlignment="1">
      <alignment vertical="top" wrapText="1"/>
    </xf>
    <xf numFmtId="9" fontId="168" fillId="0" borderId="0" xfId="179" applyFont="1" applyAlignment="1">
      <alignment vertical="center"/>
    </xf>
    <xf numFmtId="167" fontId="44" fillId="50" borderId="34" xfId="0" applyNumberFormat="1" applyFont="1" applyFill="1" applyBorder="1" applyAlignment="1">
      <alignment vertical="center"/>
    </xf>
    <xf numFmtId="0" fontId="55" fillId="19" borderId="0" xfId="0" applyFont="1" applyFill="1" applyAlignment="1">
      <alignment horizontal="left"/>
    </xf>
    <xf numFmtId="0" fontId="109" fillId="0" borderId="0"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123" fillId="0" borderId="0" xfId="0" applyFont="1" applyFill="1" applyBorder="1" applyAlignment="1">
      <alignment horizontal="left" vertical="center" wrapText="1"/>
    </xf>
    <xf numFmtId="0" fontId="33" fillId="58" borderId="0" xfId="0" applyFont="1" applyFill="1" applyAlignment="1">
      <alignment horizontal="left"/>
    </xf>
    <xf numFmtId="0" fontId="33" fillId="0" borderId="0" xfId="0" applyFont="1" applyFill="1" applyAlignment="1">
      <alignment horizontal="left"/>
    </xf>
    <xf numFmtId="0" fontId="109" fillId="0" borderId="54" xfId="0" applyFont="1" applyBorder="1" applyAlignment="1">
      <alignment vertical="top"/>
    </xf>
    <xf numFmtId="0" fontId="109" fillId="0" borderId="55" xfId="0" applyFont="1" applyBorder="1" applyAlignment="1">
      <alignment vertical="top"/>
    </xf>
    <xf numFmtId="0" fontId="109" fillId="0" borderId="56" xfId="0" applyFont="1" applyBorder="1" applyAlignment="1">
      <alignment vertical="top"/>
    </xf>
    <xf numFmtId="0" fontId="0" fillId="0" borderId="0" xfId="0" applyAlignment="1">
      <alignment vertical="top" wrapText="1"/>
    </xf>
    <xf numFmtId="0" fontId="148" fillId="0" borderId="0" xfId="0" applyFont="1" applyBorder="1" applyAlignment="1">
      <alignment vertical="top" wrapText="1"/>
    </xf>
    <xf numFmtId="0" fontId="133" fillId="14" borderId="0" xfId="0" applyFont="1" applyFill="1" applyAlignment="1" applyProtection="1">
      <alignment horizontal="center" vertical="center" wrapText="1"/>
    </xf>
    <xf numFmtId="0" fontId="136" fillId="51" borderId="27" xfId="0" applyFont="1" applyFill="1" applyBorder="1" applyAlignment="1" applyProtection="1">
      <alignment horizontal="center" vertical="center" wrapText="1"/>
    </xf>
    <xf numFmtId="0" fontId="0" fillId="0" borderId="37" xfId="0" applyFont="1" applyBorder="1" applyAlignment="1" applyProtection="1">
      <alignment horizontal="center" vertical="center" wrapText="1"/>
    </xf>
    <xf numFmtId="0" fontId="0" fillId="0" borderId="0" xfId="0" applyFont="1" applyBorder="1" applyAlignment="1" applyProtection="1">
      <alignment horizontal="center" vertical="center" wrapText="1"/>
    </xf>
    <xf numFmtId="0" fontId="0" fillId="0" borderId="0" xfId="0" applyFont="1" applyAlignment="1" applyProtection="1">
      <alignment horizontal="center" vertical="center" wrapText="1"/>
    </xf>
    <xf numFmtId="0" fontId="127" fillId="0" borderId="0" xfId="0" applyFont="1" applyAlignment="1" applyProtection="1">
      <alignment horizontal="center" vertical="center" wrapText="1"/>
    </xf>
    <xf numFmtId="0" fontId="0" fillId="0" borderId="34" xfId="0" applyFont="1" applyBorder="1" applyAlignment="1" applyProtection="1">
      <alignment horizontal="left" vertical="top" wrapText="1"/>
    </xf>
    <xf numFmtId="0" fontId="0" fillId="0" borderId="32" xfId="0" applyFont="1" applyBorder="1" applyAlignment="1" applyProtection="1">
      <alignment horizontal="left" vertical="top" wrapText="1"/>
    </xf>
    <xf numFmtId="0" fontId="0" fillId="0" borderId="0" xfId="0" applyFont="1" applyBorder="1" applyAlignment="1" applyProtection="1">
      <alignment horizontal="left" vertical="top" wrapText="1"/>
    </xf>
    <xf numFmtId="0" fontId="0" fillId="0" borderId="0" xfId="0" applyFont="1" applyAlignment="1" applyProtection="1">
      <alignment horizontal="left" vertical="top" wrapText="1"/>
    </xf>
    <xf numFmtId="0" fontId="0" fillId="0" borderId="0" xfId="0" applyFont="1" applyAlignment="1">
      <alignment horizontal="right"/>
    </xf>
    <xf numFmtId="0" fontId="113" fillId="0" borderId="0" xfId="47" applyNumberFormat="1" applyFont="1" applyFill="1" applyAlignment="1">
      <alignment horizontal="left"/>
    </xf>
    <xf numFmtId="0" fontId="101" fillId="0" borderId="0" xfId="47" applyNumberFormat="1" applyFont="1" applyFill="1" applyAlignment="1">
      <alignment horizontal="left" vertical="center"/>
    </xf>
    <xf numFmtId="0" fontId="0" fillId="10" borderId="0" xfId="0" applyFill="1" applyAlignment="1">
      <alignment horizontal="left"/>
    </xf>
    <xf numFmtId="0" fontId="154" fillId="10" borderId="0" xfId="180" applyFill="1" applyAlignment="1">
      <alignment horizontal="left"/>
    </xf>
    <xf numFmtId="0" fontId="0" fillId="0" borderId="0" xfId="0" applyAlignment="1">
      <alignment vertical="center"/>
    </xf>
    <xf numFmtId="0" fontId="146" fillId="0" borderId="0" xfId="0" applyFont="1" applyAlignment="1">
      <alignment vertical="center" wrapText="1"/>
    </xf>
    <xf numFmtId="167" fontId="44" fillId="0" borderId="38" xfId="0" applyNumberFormat="1" applyFont="1" applyBorder="1" applyAlignment="1" applyProtection="1">
      <alignment horizontal="center" vertical="center" wrapText="1"/>
    </xf>
    <xf numFmtId="0" fontId="73" fillId="0" borderId="0" xfId="0" applyNumberFormat="1" applyFont="1"/>
    <xf numFmtId="0" fontId="109" fillId="0" borderId="0" xfId="0" applyFont="1"/>
    <xf numFmtId="2" fontId="1" fillId="5" borderId="2" xfId="0" applyNumberFormat="1" applyFont="1" applyFill="1" applyBorder="1" applyAlignment="1" applyProtection="1">
      <alignment horizontal="center"/>
      <protection locked="0"/>
    </xf>
    <xf numFmtId="2" fontId="1" fillId="0" borderId="2" xfId="0" applyNumberFormat="1" applyFont="1" applyFill="1" applyBorder="1" applyAlignment="1" applyProtection="1">
      <alignment horizontal="center"/>
    </xf>
    <xf numFmtId="2" fontId="0" fillId="0" borderId="0" xfId="0" applyNumberFormat="1" applyAlignment="1" applyProtection="1">
      <alignment horizontal="center"/>
    </xf>
    <xf numFmtId="0" fontId="150" fillId="0" borderId="0" xfId="47" applyFont="1" applyFill="1"/>
    <xf numFmtId="0" fontId="150" fillId="0" borderId="0" xfId="47" applyFont="1" applyFill="1" applyBorder="1"/>
    <xf numFmtId="3" fontId="0" fillId="0" borderId="0" xfId="0" applyNumberFormat="1"/>
    <xf numFmtId="166" fontId="0" fillId="0" borderId="0" xfId="0" applyNumberFormat="1" applyFont="1"/>
    <xf numFmtId="166" fontId="132" fillId="0" borderId="29" xfId="0" applyNumberFormat="1" applyFont="1" applyFill="1" applyBorder="1" applyAlignment="1">
      <alignment horizontal="left" vertical="center" indent="3"/>
    </xf>
    <xf numFmtId="1" fontId="0" fillId="0" borderId="0" xfId="0" applyNumberFormat="1" applyFont="1" applyBorder="1" applyAlignment="1">
      <alignment vertical="center"/>
    </xf>
    <xf numFmtId="182" fontId="6" fillId="0" borderId="0" xfId="0" applyNumberFormat="1" applyFont="1"/>
    <xf numFmtId="0" fontId="154" fillId="59" borderId="57" xfId="180" applyNumberFormat="1" applyFont="1" applyFill="1" applyBorder="1" applyAlignment="1"/>
    <xf numFmtId="0" fontId="154" fillId="59" borderId="58" xfId="180" applyNumberFormat="1" applyFont="1" applyFill="1" applyBorder="1" applyAlignment="1"/>
    <xf numFmtId="0" fontId="133" fillId="14" borderId="46" xfId="0" applyFont="1" applyFill="1" applyBorder="1" applyAlignment="1">
      <alignment horizontal="center" vertical="top"/>
    </xf>
    <xf numFmtId="0" fontId="133" fillId="14" borderId="47" xfId="0" applyFont="1" applyFill="1" applyBorder="1" applyAlignment="1">
      <alignment horizontal="center" vertical="top"/>
    </xf>
    <xf numFmtId="0" fontId="133" fillId="14" borderId="48" xfId="0" applyFont="1" applyFill="1" applyBorder="1" applyAlignment="1">
      <alignment horizontal="center" vertical="top"/>
    </xf>
    <xf numFmtId="0" fontId="0" fillId="0" borderId="32" xfId="0" applyFont="1" applyBorder="1" applyAlignment="1" applyProtection="1">
      <alignment vertical="center"/>
      <protection locked="0"/>
    </xf>
    <xf numFmtId="0" fontId="0" fillId="50" borderId="38" xfId="0" applyFont="1" applyFill="1" applyBorder="1" applyAlignment="1" applyProtection="1">
      <alignment vertical="center"/>
      <protection locked="0"/>
    </xf>
    <xf numFmtId="0" fontId="171" fillId="0" borderId="0" xfId="0" applyFont="1" applyFill="1" applyAlignment="1" applyProtection="1">
      <alignment horizontal="center" vertical="center" wrapText="1"/>
    </xf>
    <xf numFmtId="0" fontId="172" fillId="0" borderId="0" xfId="0" applyFont="1" applyProtection="1"/>
    <xf numFmtId="0" fontId="70" fillId="64" borderId="0" xfId="0" applyFont="1" applyFill="1" applyBorder="1" applyAlignment="1" applyProtection="1"/>
    <xf numFmtId="1" fontId="127" fillId="64" borderId="0" xfId="0" applyNumberFormat="1" applyFont="1" applyFill="1" applyBorder="1" applyAlignment="1" applyProtection="1"/>
    <xf numFmtId="0" fontId="127" fillId="64" borderId="0" xfId="0" applyFont="1" applyFill="1" applyBorder="1" applyAlignment="1" applyProtection="1"/>
    <xf numFmtId="0" fontId="146" fillId="51" borderId="0" xfId="0" applyFont="1" applyFill="1" applyBorder="1" applyAlignment="1" applyProtection="1">
      <alignment horizontal="center" vertical="center"/>
    </xf>
    <xf numFmtId="1" fontId="136" fillId="51" borderId="0" xfId="0" applyNumberFormat="1" applyFont="1" applyFill="1" applyBorder="1" applyAlignment="1" applyProtection="1">
      <alignment horizontal="center" vertical="center"/>
    </xf>
    <xf numFmtId="0" fontId="136" fillId="51" borderId="0" xfId="0" applyFont="1" applyFill="1" applyBorder="1" applyAlignment="1" applyProtection="1">
      <alignment horizontal="center" vertical="center"/>
    </xf>
    <xf numFmtId="0" fontId="136" fillId="51" borderId="0" xfId="0" applyFont="1" applyFill="1" applyBorder="1" applyAlignment="1" applyProtection="1">
      <alignment horizontal="left" vertical="center" wrapText="1"/>
    </xf>
    <xf numFmtId="0" fontId="0" fillId="50" borderId="60" xfId="0" applyFont="1" applyFill="1" applyBorder="1" applyAlignment="1" applyProtection="1">
      <alignment vertical="center"/>
    </xf>
    <xf numFmtId="0" fontId="0" fillId="50" borderId="61" xfId="0" applyFont="1" applyFill="1" applyBorder="1" applyAlignment="1" applyProtection="1">
      <alignment vertical="center"/>
      <protection locked="0"/>
    </xf>
    <xf numFmtId="0" fontId="0" fillId="0" borderId="62" xfId="0" applyFont="1" applyBorder="1" applyAlignment="1" applyProtection="1">
      <alignment vertical="center"/>
    </xf>
    <xf numFmtId="0" fontId="0" fillId="0" borderId="63" xfId="0" applyFont="1" applyBorder="1" applyAlignment="1" applyProtection="1">
      <alignment vertical="center"/>
    </xf>
    <xf numFmtId="0" fontId="0" fillId="0" borderId="63" xfId="0" applyFont="1" applyBorder="1" applyAlignment="1" applyProtection="1">
      <alignment vertical="center" wrapText="1"/>
    </xf>
    <xf numFmtId="0" fontId="170" fillId="20" borderId="6" xfId="0" applyFont="1" applyFill="1" applyBorder="1" applyAlignment="1" applyProtection="1">
      <alignment horizontal="center" vertical="center" wrapText="1"/>
      <protection locked="0"/>
    </xf>
    <xf numFmtId="0" fontId="136" fillId="51" borderId="0" xfId="0" applyFont="1" applyFill="1" applyBorder="1" applyAlignment="1" applyProtection="1">
      <alignment horizontal="center" vertical="center" wrapText="1"/>
    </xf>
    <xf numFmtId="0" fontId="136" fillId="51" borderId="65" xfId="0" applyFont="1" applyFill="1" applyBorder="1" applyAlignment="1" applyProtection="1">
      <alignment horizontal="center" vertical="center" wrapText="1"/>
    </xf>
    <xf numFmtId="0" fontId="0" fillId="0" borderId="63" xfId="0" applyFont="1" applyBorder="1" applyAlignment="1" applyProtection="1">
      <alignment horizontal="left" vertical="top" wrapText="1"/>
    </xf>
    <xf numFmtId="0" fontId="0" fillId="0" borderId="0" xfId="0" applyFont="1" applyFill="1" applyAlignment="1" applyProtection="1">
      <alignment horizontal="center" vertical="top" wrapText="1"/>
    </xf>
    <xf numFmtId="0" fontId="0" fillId="0" borderId="38" xfId="0" applyFont="1" applyBorder="1" applyAlignment="1" applyProtection="1">
      <alignment horizontal="center" vertical="center" wrapText="1"/>
    </xf>
    <xf numFmtId="0" fontId="0" fillId="0" borderId="64" xfId="0" applyFont="1" applyBorder="1" applyAlignment="1" applyProtection="1">
      <alignment horizontal="center" vertical="center" wrapText="1"/>
    </xf>
    <xf numFmtId="0" fontId="0" fillId="0" borderId="0" xfId="0" applyFont="1" applyAlignment="1" applyProtection="1">
      <alignment horizontal="center" vertical="top" wrapText="1"/>
    </xf>
    <xf numFmtId="0" fontId="0" fillId="0" borderId="0" xfId="0" applyFont="1" applyAlignment="1" applyProtection="1">
      <alignment horizontal="center" wrapText="1"/>
    </xf>
    <xf numFmtId="0" fontId="127" fillId="0" borderId="0" xfId="0" applyFont="1" applyAlignment="1" applyProtection="1">
      <alignment horizontal="center" vertical="top" wrapText="1"/>
    </xf>
    <xf numFmtId="0" fontId="136" fillId="64" borderId="48" xfId="0" applyFont="1" applyFill="1" applyBorder="1" applyAlignment="1" applyProtection="1">
      <alignment horizontal="right" vertical="center" wrapText="1" indent="1"/>
    </xf>
    <xf numFmtId="0" fontId="0" fillId="0" borderId="0" xfId="0" applyFill="1" applyProtection="1"/>
    <xf numFmtId="0" fontId="138" fillId="0" borderId="0" xfId="0" applyFont="1" applyFill="1" applyAlignment="1" applyProtection="1">
      <alignment vertical="center"/>
    </xf>
    <xf numFmtId="0" fontId="137" fillId="0" borderId="0" xfId="0" applyFont="1" applyFill="1" applyAlignment="1" applyProtection="1">
      <alignment horizontal="center" vertical="center" wrapText="1"/>
    </xf>
    <xf numFmtId="0" fontId="46" fillId="0" borderId="0" xfId="0" applyFont="1" applyFill="1" applyAlignment="1" applyProtection="1">
      <alignment horizontal="right"/>
    </xf>
    <xf numFmtId="0" fontId="46" fillId="0" borderId="0" xfId="0" applyFont="1" applyAlignment="1" applyProtection="1">
      <alignment horizontal="right"/>
    </xf>
    <xf numFmtId="0" fontId="173" fillId="0" borderId="0" xfId="0" applyFont="1" applyFill="1" applyAlignment="1" applyProtection="1">
      <alignment horizontal="right" vertical="center" wrapText="1"/>
    </xf>
    <xf numFmtId="0" fontId="150" fillId="0" borderId="0" xfId="0" applyFont="1" applyAlignment="1" applyProtection="1">
      <alignment horizontal="right" vertical="center"/>
    </xf>
    <xf numFmtId="0" fontId="143" fillId="0" borderId="35" xfId="0" applyFont="1" applyBorder="1" applyAlignment="1" applyProtection="1">
      <alignment vertical="center"/>
    </xf>
    <xf numFmtId="0" fontId="143" fillId="0" borderId="32" xfId="0" applyFont="1" applyBorder="1" applyAlignment="1" applyProtection="1">
      <alignment vertical="center"/>
    </xf>
    <xf numFmtId="0" fontId="143" fillId="0" borderId="32" xfId="0" applyFont="1" applyBorder="1" applyAlignment="1" applyProtection="1">
      <alignment vertical="center" wrapText="1"/>
    </xf>
    <xf numFmtId="0" fontId="143" fillId="0" borderId="38" xfId="0" applyFont="1" applyBorder="1" applyAlignment="1" applyProtection="1">
      <alignment horizontal="center" vertical="center" wrapText="1"/>
    </xf>
    <xf numFmtId="0" fontId="143" fillId="50" borderId="38" xfId="0" applyFont="1" applyFill="1" applyBorder="1" applyAlignment="1" applyProtection="1">
      <alignment vertical="center"/>
    </xf>
    <xf numFmtId="0" fontId="143" fillId="50" borderId="61" xfId="0" applyFont="1" applyFill="1" applyBorder="1" applyAlignment="1" applyProtection="1">
      <alignment vertical="center"/>
    </xf>
    <xf numFmtId="0" fontId="143" fillId="0" borderId="0" xfId="0" applyFont="1" applyBorder="1" applyAlignment="1" applyProtection="1">
      <alignment vertical="center"/>
    </xf>
    <xf numFmtId="0" fontId="138" fillId="0" borderId="35" xfId="0" applyFont="1" applyBorder="1" applyAlignment="1" applyProtection="1">
      <alignment vertical="center"/>
    </xf>
    <xf numFmtId="0" fontId="138" fillId="0" borderId="32" xfId="0" applyFont="1" applyBorder="1" applyAlignment="1" applyProtection="1">
      <alignment vertical="center"/>
    </xf>
    <xf numFmtId="0" fontId="138" fillId="0" borderId="32" xfId="0" applyFont="1" applyBorder="1" applyAlignment="1" applyProtection="1">
      <alignment vertical="center" wrapText="1"/>
    </xf>
    <xf numFmtId="0" fontId="138" fillId="0" borderId="38" xfId="0" applyFont="1" applyBorder="1" applyAlignment="1" applyProtection="1">
      <alignment horizontal="center" vertical="center" wrapText="1"/>
    </xf>
    <xf numFmtId="0" fontId="138" fillId="50" borderId="38" xfId="0" applyFont="1" applyFill="1" applyBorder="1" applyAlignment="1" applyProtection="1">
      <alignment vertical="center"/>
    </xf>
    <xf numFmtId="0" fontId="138" fillId="50" borderId="61" xfId="0" applyFont="1" applyFill="1" applyBorder="1" applyAlignment="1" applyProtection="1">
      <alignment vertical="center"/>
    </xf>
    <xf numFmtId="0" fontId="138" fillId="0" borderId="0" xfId="0" applyFont="1" applyBorder="1" applyAlignment="1" applyProtection="1">
      <alignment vertical="center"/>
    </xf>
    <xf numFmtId="0" fontId="0" fillId="0" borderId="68" xfId="0" applyFont="1" applyBorder="1" applyAlignment="1" applyProtection="1">
      <alignment vertical="center"/>
      <protection locked="0"/>
    </xf>
    <xf numFmtId="0" fontId="0" fillId="50" borderId="69" xfId="0" applyFont="1" applyFill="1" applyBorder="1" applyAlignment="1" applyProtection="1">
      <alignment vertical="center"/>
      <protection locked="0"/>
    </xf>
    <xf numFmtId="0" fontId="0" fillId="0" borderId="70" xfId="0" applyFont="1" applyBorder="1" applyAlignment="1" applyProtection="1">
      <alignment vertical="center"/>
      <protection locked="0"/>
    </xf>
    <xf numFmtId="0" fontId="0" fillId="50" borderId="67" xfId="0" applyFont="1" applyFill="1" applyBorder="1" applyAlignment="1" applyProtection="1">
      <alignment vertical="center"/>
      <protection locked="0"/>
    </xf>
    <xf numFmtId="1" fontId="174" fillId="14" borderId="0" xfId="0" applyNumberFormat="1" applyFont="1" applyFill="1" applyAlignment="1" applyProtection="1">
      <alignment horizontal="center" vertical="center" wrapText="1"/>
    </xf>
    <xf numFmtId="0" fontId="138" fillId="0" borderId="32" xfId="0" applyFont="1" applyBorder="1" applyAlignment="1" applyProtection="1">
      <alignment horizontal="left" vertical="center" wrapText="1"/>
    </xf>
    <xf numFmtId="167" fontId="146" fillId="0" borderId="38" xfId="0" applyNumberFormat="1" applyFont="1" applyBorder="1" applyAlignment="1" applyProtection="1">
      <alignment horizontal="center" vertical="center" wrapText="1"/>
    </xf>
    <xf numFmtId="167" fontId="143" fillId="0" borderId="38" xfId="0" applyNumberFormat="1" applyFont="1" applyBorder="1" applyAlignment="1" applyProtection="1">
      <alignment horizontal="center" vertical="center" wrapText="1"/>
    </xf>
    <xf numFmtId="0" fontId="143" fillId="0" borderId="32" xfId="0" applyFont="1" applyBorder="1" applyAlignment="1" applyProtection="1">
      <alignment horizontal="left" vertical="center" wrapText="1"/>
    </xf>
    <xf numFmtId="0" fontId="0" fillId="0" borderId="35" xfId="0" applyFont="1" applyBorder="1" applyAlignment="1" applyProtection="1">
      <alignment horizontal="left" vertical="top"/>
    </xf>
    <xf numFmtId="0" fontId="0" fillId="0" borderId="32" xfId="0" applyFont="1" applyBorder="1" applyAlignment="1" applyProtection="1">
      <alignment horizontal="left" vertical="top"/>
    </xf>
    <xf numFmtId="0" fontId="0" fillId="0" borderId="0" xfId="0" applyFont="1" applyBorder="1" applyAlignment="1" applyProtection="1">
      <alignment horizontal="left" vertical="top"/>
    </xf>
    <xf numFmtId="0" fontId="0" fillId="0" borderId="35" xfId="0" quotePrefix="1" applyBorder="1" applyAlignment="1" applyProtection="1">
      <alignment horizontal="left" vertical="top"/>
    </xf>
    <xf numFmtId="0" fontId="0" fillId="0" borderId="62" xfId="0" applyFont="1" applyBorder="1" applyAlignment="1" applyProtection="1">
      <alignment horizontal="left" vertical="top"/>
    </xf>
    <xf numFmtId="0" fontId="0" fillId="0" borderId="63" xfId="0" applyFont="1" applyBorder="1" applyAlignment="1" applyProtection="1">
      <alignment horizontal="left" vertical="top"/>
    </xf>
    <xf numFmtId="0" fontId="44" fillId="0" borderId="0" xfId="0" applyFont="1" applyAlignment="1">
      <alignment horizontal="center" vertical="center"/>
    </xf>
    <xf numFmtId="0" fontId="0" fillId="43" borderId="0" xfId="0" applyFont="1" applyFill="1" applyAlignment="1">
      <alignment vertical="center"/>
    </xf>
    <xf numFmtId="0" fontId="176" fillId="0" borderId="6" xfId="0" applyFont="1" applyBorder="1" applyAlignment="1">
      <alignment vertical="top"/>
    </xf>
    <xf numFmtId="0" fontId="176" fillId="0" borderId="6" xfId="0" applyFont="1" applyFill="1" applyBorder="1" applyAlignment="1">
      <alignment vertical="top"/>
    </xf>
    <xf numFmtId="0" fontId="131" fillId="0" borderId="6" xfId="0" applyFont="1" applyFill="1" applyBorder="1" applyAlignment="1">
      <alignment horizontal="justify" vertical="top" wrapText="1"/>
    </xf>
    <xf numFmtId="0" fontId="149" fillId="43" borderId="6" xfId="0" applyFont="1" applyFill="1" applyBorder="1" applyAlignment="1">
      <alignment vertical="top" wrapText="1"/>
    </xf>
    <xf numFmtId="0" fontId="177" fillId="0" borderId="6" xfId="0" applyFont="1" applyBorder="1" applyAlignment="1">
      <alignment vertical="top"/>
    </xf>
    <xf numFmtId="0" fontId="149" fillId="43" borderId="6" xfId="0" applyFont="1" applyFill="1" applyBorder="1" applyAlignment="1">
      <alignment horizontal="justify" vertical="top" wrapText="1"/>
    </xf>
    <xf numFmtId="0" fontId="178" fillId="0" borderId="0" xfId="0" applyFont="1" applyAlignment="1">
      <alignment horizontal="left" vertical="top"/>
    </xf>
    <xf numFmtId="0" fontId="102" fillId="0" borderId="0" xfId="0" applyFont="1" applyAlignment="1">
      <alignment horizontal="left" vertical="center" wrapText="1"/>
    </xf>
    <xf numFmtId="0" fontId="0" fillId="0" borderId="0" xfId="0" applyFont="1" applyAlignment="1">
      <alignment horizontal="left" vertical="top" wrapText="1" indent="1"/>
    </xf>
    <xf numFmtId="0" fontId="113" fillId="0" borderId="0" xfId="47" applyFont="1" applyFill="1" applyAlignment="1">
      <alignment horizontal="center"/>
    </xf>
    <xf numFmtId="0" fontId="113" fillId="0" borderId="0" xfId="47" applyFont="1" applyFill="1" applyBorder="1" applyAlignment="1">
      <alignment horizontal="center"/>
    </xf>
    <xf numFmtId="167" fontId="0" fillId="0" borderId="38" xfId="0" applyNumberFormat="1" applyFont="1" applyBorder="1" applyAlignment="1" applyProtection="1">
      <alignment horizontal="center" vertical="top" wrapText="1"/>
    </xf>
    <xf numFmtId="167" fontId="0" fillId="0" borderId="64" xfId="0" applyNumberFormat="1" applyFont="1" applyBorder="1" applyAlignment="1" applyProtection="1">
      <alignment horizontal="center" vertical="top" wrapText="1"/>
    </xf>
    <xf numFmtId="0" fontId="113" fillId="0" borderId="0" xfId="47" applyFont="1" applyFill="1" applyAlignment="1">
      <alignment horizontal="right"/>
    </xf>
    <xf numFmtId="0" fontId="113" fillId="0" borderId="0" xfId="47" applyFont="1" applyAlignment="1">
      <alignment horizontal="right"/>
    </xf>
    <xf numFmtId="0" fontId="113" fillId="0" borderId="0" xfId="47" applyFont="1" applyBorder="1" applyAlignment="1">
      <alignment horizontal="right"/>
    </xf>
    <xf numFmtId="0" fontId="70" fillId="0" borderId="0" xfId="47" applyFont="1" applyAlignment="1">
      <alignment horizontal="right"/>
    </xf>
    <xf numFmtId="0" fontId="113" fillId="0" borderId="0" xfId="47" applyFont="1" applyFill="1" applyBorder="1" applyAlignment="1">
      <alignment horizontal="right"/>
    </xf>
    <xf numFmtId="0" fontId="70" fillId="0" borderId="0" xfId="47" applyFont="1" applyBorder="1" applyAlignment="1">
      <alignment horizontal="right"/>
    </xf>
    <xf numFmtId="1" fontId="133" fillId="14" borderId="0" xfId="0" applyNumberFormat="1" applyFont="1" applyFill="1" applyAlignment="1" applyProtection="1">
      <alignment horizontal="right" vertical="center" wrapText="1"/>
    </xf>
    <xf numFmtId="0" fontId="0" fillId="0" borderId="0" xfId="0" applyAlignment="1" applyProtection="1">
      <alignment horizontal="right"/>
    </xf>
    <xf numFmtId="0" fontId="138" fillId="0" borderId="0" xfId="0" applyFont="1" applyAlignment="1" applyProtection="1">
      <alignment horizontal="right" vertical="center"/>
    </xf>
    <xf numFmtId="0" fontId="0" fillId="0" borderId="34" xfId="0" applyFont="1" applyBorder="1" applyAlignment="1" applyProtection="1">
      <alignment horizontal="right" vertical="center"/>
    </xf>
    <xf numFmtId="0" fontId="0" fillId="50" borderId="37" xfId="0" applyFont="1" applyFill="1" applyBorder="1" applyAlignment="1" applyProtection="1">
      <alignment horizontal="right" vertical="center"/>
    </xf>
    <xf numFmtId="0" fontId="0" fillId="0" borderId="66" xfId="0" applyFont="1" applyBorder="1" applyAlignment="1" applyProtection="1">
      <alignment horizontal="right" vertical="center"/>
    </xf>
    <xf numFmtId="0" fontId="0" fillId="50" borderId="36" xfId="0" applyFont="1" applyFill="1" applyBorder="1" applyAlignment="1" applyProtection="1">
      <alignment horizontal="right" vertical="center"/>
    </xf>
    <xf numFmtId="0" fontId="0" fillId="0" borderId="0" xfId="0" applyFont="1" applyBorder="1" applyAlignment="1" applyProtection="1">
      <alignment horizontal="right" vertical="center"/>
    </xf>
    <xf numFmtId="166" fontId="138" fillId="0" borderId="32" xfId="0" applyNumberFormat="1" applyFont="1" applyBorder="1" applyAlignment="1" applyProtection="1">
      <alignment horizontal="right" vertical="center"/>
    </xf>
    <xf numFmtId="166" fontId="138" fillId="50" borderId="38" xfId="0" applyNumberFormat="1" applyFont="1" applyFill="1" applyBorder="1" applyAlignment="1" applyProtection="1">
      <alignment horizontal="right" vertical="center"/>
    </xf>
    <xf numFmtId="166" fontId="138" fillId="50" borderId="61" xfId="0" applyNumberFormat="1" applyFont="1" applyFill="1" applyBorder="1" applyAlignment="1" applyProtection="1">
      <alignment horizontal="right" vertical="center"/>
    </xf>
    <xf numFmtId="166" fontId="138" fillId="0" borderId="73" xfId="0" applyNumberFormat="1" applyFont="1" applyBorder="1" applyAlignment="1" applyProtection="1">
      <alignment horizontal="right" vertical="center"/>
    </xf>
    <xf numFmtId="0" fontId="138" fillId="0" borderId="0" xfId="0" applyFont="1" applyBorder="1" applyAlignment="1" applyProtection="1">
      <alignment horizontal="right" vertical="center"/>
    </xf>
    <xf numFmtId="1" fontId="143" fillId="0" borderId="32" xfId="0" applyNumberFormat="1" applyFont="1" applyBorder="1" applyAlignment="1" applyProtection="1">
      <alignment horizontal="right" vertical="center"/>
    </xf>
    <xf numFmtId="1" fontId="143" fillId="50" borderId="38" xfId="0" applyNumberFormat="1" applyFont="1" applyFill="1" applyBorder="1" applyAlignment="1" applyProtection="1">
      <alignment horizontal="right" vertical="center"/>
    </xf>
    <xf numFmtId="1" fontId="143" fillId="50" borderId="61" xfId="0" applyNumberFormat="1" applyFont="1" applyFill="1" applyBorder="1" applyAlignment="1" applyProtection="1">
      <alignment horizontal="right" vertical="center"/>
    </xf>
    <xf numFmtId="1" fontId="143" fillId="0" borderId="73" xfId="0" applyNumberFormat="1" applyFont="1" applyBorder="1" applyAlignment="1" applyProtection="1">
      <alignment horizontal="right" vertical="center"/>
    </xf>
    <xf numFmtId="0" fontId="143" fillId="0" borderId="0" xfId="0" applyFont="1" applyBorder="1" applyAlignment="1" applyProtection="1">
      <alignment horizontal="right" vertical="center"/>
    </xf>
    <xf numFmtId="1" fontId="0" fillId="0" borderId="32" xfId="0" applyNumberFormat="1" applyFont="1" applyBorder="1" applyAlignment="1" applyProtection="1">
      <alignment horizontal="right" vertical="top"/>
    </xf>
    <xf numFmtId="1" fontId="0" fillId="50" borderId="38" xfId="0" applyNumberFormat="1" applyFont="1" applyFill="1" applyBorder="1" applyAlignment="1" applyProtection="1">
      <alignment horizontal="right" vertical="top"/>
    </xf>
    <xf numFmtId="1" fontId="0" fillId="50" borderId="61" xfId="0" applyNumberFormat="1" applyFont="1" applyFill="1" applyBorder="1" applyAlignment="1" applyProtection="1">
      <alignment horizontal="right" vertical="top"/>
    </xf>
    <xf numFmtId="1" fontId="0" fillId="0" borderId="73" xfId="0" applyNumberFormat="1" applyFont="1" applyBorder="1" applyAlignment="1" applyProtection="1">
      <alignment horizontal="right" vertical="top"/>
    </xf>
    <xf numFmtId="0" fontId="0" fillId="0" borderId="0" xfId="0" applyFont="1" applyBorder="1" applyAlignment="1" applyProtection="1">
      <alignment horizontal="right" vertical="top"/>
    </xf>
    <xf numFmtId="166" fontId="0" fillId="0" borderId="32" xfId="0" applyNumberFormat="1" applyFont="1" applyBorder="1" applyAlignment="1" applyProtection="1">
      <alignment horizontal="right" vertical="center"/>
    </xf>
    <xf numFmtId="166" fontId="0" fillId="50" borderId="38" xfId="0" applyNumberFormat="1" applyFont="1" applyFill="1" applyBorder="1" applyAlignment="1" applyProtection="1">
      <alignment horizontal="right" vertical="center"/>
    </xf>
    <xf numFmtId="166" fontId="0" fillId="50" borderId="61" xfId="0" applyNumberFormat="1" applyFont="1" applyFill="1" applyBorder="1" applyAlignment="1" applyProtection="1">
      <alignment horizontal="right" vertical="center"/>
    </xf>
    <xf numFmtId="166" fontId="0" fillId="0" borderId="73" xfId="0" applyNumberFormat="1" applyFont="1" applyBorder="1" applyAlignment="1" applyProtection="1">
      <alignment horizontal="right" vertical="center"/>
    </xf>
    <xf numFmtId="166" fontId="0" fillId="0" borderId="32" xfId="0" applyNumberFormat="1" applyFont="1" applyBorder="1" applyAlignment="1" applyProtection="1">
      <alignment horizontal="right" vertical="top"/>
    </xf>
    <xf numFmtId="166" fontId="0" fillId="50" borderId="38" xfId="0" applyNumberFormat="1" applyFont="1" applyFill="1" applyBorder="1" applyAlignment="1" applyProtection="1">
      <alignment horizontal="right" vertical="top"/>
    </xf>
    <xf numFmtId="166" fontId="0" fillId="50" borderId="61" xfId="0" applyNumberFormat="1" applyFont="1" applyFill="1" applyBorder="1" applyAlignment="1" applyProtection="1">
      <alignment horizontal="right" vertical="top"/>
    </xf>
    <xf numFmtId="166" fontId="0" fillId="0" borderId="73" xfId="0" applyNumberFormat="1" applyFont="1" applyBorder="1" applyAlignment="1" applyProtection="1">
      <alignment horizontal="right" vertical="top"/>
    </xf>
    <xf numFmtId="1" fontId="0" fillId="0" borderId="63" xfId="0" applyNumberFormat="1" applyFont="1" applyBorder="1" applyAlignment="1" applyProtection="1">
      <alignment horizontal="right" vertical="top"/>
    </xf>
    <xf numFmtId="1" fontId="0" fillId="50" borderId="64" xfId="0" applyNumberFormat="1" applyFont="1" applyFill="1" applyBorder="1" applyAlignment="1" applyProtection="1">
      <alignment horizontal="right" vertical="top"/>
    </xf>
    <xf numFmtId="1" fontId="0" fillId="50" borderId="71" xfId="0" applyNumberFormat="1" applyFont="1" applyFill="1" applyBorder="1" applyAlignment="1" applyProtection="1">
      <alignment horizontal="right" vertical="top"/>
    </xf>
    <xf numFmtId="1" fontId="0" fillId="0" borderId="72" xfId="0" applyNumberFormat="1" applyFont="1" applyBorder="1" applyAlignment="1" applyProtection="1">
      <alignment horizontal="right" vertical="top"/>
    </xf>
    <xf numFmtId="0" fontId="0" fillId="0" borderId="0" xfId="0" applyFont="1" applyAlignment="1" applyProtection="1">
      <alignment horizontal="right" vertical="center"/>
    </xf>
    <xf numFmtId="0" fontId="0" fillId="0" borderId="0" xfId="0" applyFont="1" applyAlignment="1" applyProtection="1">
      <alignment horizontal="right" vertical="top"/>
    </xf>
    <xf numFmtId="0" fontId="0" fillId="0" borderId="0" xfId="0" applyFont="1" applyAlignment="1" applyProtection="1">
      <alignment horizontal="right"/>
    </xf>
    <xf numFmtId="0" fontId="127" fillId="0" borderId="0" xfId="0" applyFont="1" applyAlignment="1" applyProtection="1">
      <alignment horizontal="right"/>
    </xf>
    <xf numFmtId="0" fontId="138" fillId="0" borderId="0" xfId="0" applyFont="1" applyAlignment="1" applyProtection="1">
      <alignment horizontal="center" vertical="center"/>
    </xf>
    <xf numFmtId="0" fontId="179" fillId="0" borderId="0" xfId="0" applyFont="1" applyAlignment="1">
      <alignment horizontal="left" vertical="center" wrapText="1"/>
    </xf>
    <xf numFmtId="0" fontId="112" fillId="0" borderId="0" xfId="0" applyFont="1" applyAlignment="1">
      <alignment vertical="center"/>
    </xf>
    <xf numFmtId="166" fontId="134" fillId="0" borderId="24" xfId="0" applyNumberFormat="1" applyFont="1" applyBorder="1" applyAlignment="1">
      <alignment horizontal="left" vertical="center" wrapText="1"/>
    </xf>
    <xf numFmtId="0" fontId="134" fillId="0" borderId="10" xfId="0" applyNumberFormat="1" applyFont="1" applyBorder="1" applyAlignment="1">
      <alignment horizontal="right" vertical="center"/>
    </xf>
    <xf numFmtId="0" fontId="126" fillId="0" borderId="0" xfId="0" applyFont="1" applyAlignment="1">
      <alignment vertical="center"/>
    </xf>
    <xf numFmtId="166" fontId="134" fillId="11" borderId="25" xfId="0" applyNumberFormat="1" applyFont="1" applyFill="1" applyBorder="1" applyAlignment="1">
      <alignment horizontal="right" vertical="center"/>
    </xf>
    <xf numFmtId="166" fontId="180" fillId="0" borderId="23" xfId="0" applyNumberFormat="1" applyFont="1" applyBorder="1" applyAlignment="1">
      <alignment horizontal="right" vertical="center"/>
    </xf>
    <xf numFmtId="1" fontId="134" fillId="0" borderId="28" xfId="0" applyNumberFormat="1" applyFont="1" applyBorder="1" applyAlignment="1">
      <alignment horizontal="right" vertical="center"/>
    </xf>
    <xf numFmtId="0" fontId="168" fillId="0" borderId="0" xfId="0" applyFont="1" applyAlignment="1">
      <alignment vertical="center"/>
    </xf>
    <xf numFmtId="0" fontId="126" fillId="20" borderId="0" xfId="0" applyFont="1" applyFill="1" applyAlignment="1">
      <alignment vertical="center"/>
    </xf>
    <xf numFmtId="0" fontId="133" fillId="14" borderId="6" xfId="0" applyFont="1" applyFill="1" applyBorder="1" applyAlignment="1">
      <alignment horizontal="center" vertical="top"/>
    </xf>
    <xf numFmtId="166" fontId="132" fillId="11" borderId="75" xfId="0" applyNumberFormat="1" applyFont="1" applyFill="1" applyBorder="1" applyAlignment="1">
      <alignment horizontal="right" vertical="center"/>
    </xf>
    <xf numFmtId="166" fontId="134" fillId="11" borderId="76" xfId="0" applyNumberFormat="1" applyFont="1" applyFill="1" applyBorder="1" applyAlignment="1">
      <alignment horizontal="right" vertical="center"/>
    </xf>
    <xf numFmtId="166" fontId="132" fillId="11" borderId="76" xfId="0" applyNumberFormat="1" applyFont="1" applyFill="1" applyBorder="1" applyAlignment="1">
      <alignment horizontal="right" vertical="center"/>
    </xf>
    <xf numFmtId="166" fontId="132" fillId="11" borderId="74" xfId="0" applyNumberFormat="1" applyFont="1" applyFill="1" applyBorder="1" applyAlignment="1">
      <alignment horizontal="right" vertical="center"/>
    </xf>
    <xf numFmtId="0" fontId="181" fillId="50" borderId="6" xfId="0" applyFont="1" applyFill="1" applyBorder="1" applyAlignment="1">
      <alignment horizontal="center" vertical="center" wrapText="1"/>
    </xf>
    <xf numFmtId="166" fontId="0" fillId="0" borderId="0" xfId="0" applyNumberFormat="1" applyFont="1" applyAlignment="1">
      <alignment horizontal="left" vertical="center" wrapText="1" indent="1"/>
    </xf>
    <xf numFmtId="0" fontId="112" fillId="61" borderId="0" xfId="0" applyFont="1" applyFill="1" applyAlignment="1">
      <alignment vertical="center" wrapText="1"/>
    </xf>
    <xf numFmtId="0" fontId="0" fillId="61" borderId="0" xfId="0" applyFill="1" applyAlignment="1">
      <alignment vertical="center" wrapText="1"/>
    </xf>
    <xf numFmtId="0" fontId="0" fillId="0" borderId="0" xfId="0" applyAlignment="1">
      <alignment vertical="center" wrapText="1"/>
    </xf>
    <xf numFmtId="0" fontId="0" fillId="61" borderId="0" xfId="0" applyFill="1" applyAlignment="1">
      <alignment vertical="center"/>
    </xf>
    <xf numFmtId="0" fontId="182" fillId="0" borderId="0" xfId="0" applyFont="1" applyAlignment="1">
      <alignment vertical="top" wrapText="1"/>
    </xf>
    <xf numFmtId="0" fontId="93" fillId="0" borderId="0" xfId="0" applyFont="1" applyFill="1" applyAlignment="1" applyProtection="1">
      <alignment horizontal="left" vertical="center"/>
    </xf>
    <xf numFmtId="0" fontId="130" fillId="51" borderId="0" xfId="0" applyFont="1" applyFill="1" applyBorder="1" applyAlignment="1" applyProtection="1">
      <alignment horizontal="left" vertical="center" wrapText="1"/>
    </xf>
    <xf numFmtId="0" fontId="0" fillId="0" borderId="0" xfId="0" applyFont="1" applyAlignment="1">
      <alignment horizontal="left" vertical="top" wrapText="1"/>
    </xf>
    <xf numFmtId="0" fontId="183" fillId="0" borderId="0" xfId="0" applyFont="1"/>
    <xf numFmtId="166" fontId="134" fillId="0" borderId="24" xfId="0" applyNumberFormat="1" applyFont="1" applyBorder="1" applyAlignment="1">
      <alignment horizontal="left" vertical="top" wrapText="1"/>
    </xf>
    <xf numFmtId="166" fontId="132" fillId="0" borderId="24" xfId="0" applyNumberFormat="1" applyFont="1" applyBorder="1" applyAlignment="1">
      <alignment horizontal="left" vertical="top" wrapText="1"/>
    </xf>
    <xf numFmtId="0" fontId="184" fillId="0" borderId="0" xfId="47" applyFont="1" applyAlignment="1">
      <alignment wrapText="1"/>
    </xf>
    <xf numFmtId="0" fontId="184" fillId="0" borderId="0" xfId="47" applyFont="1" applyBorder="1" applyAlignment="1">
      <alignment wrapText="1"/>
    </xf>
    <xf numFmtId="0" fontId="184" fillId="0" borderId="0" xfId="0" applyFont="1" applyAlignment="1">
      <alignment wrapText="1"/>
    </xf>
    <xf numFmtId="0" fontId="184" fillId="0" borderId="0" xfId="0" applyFont="1" applyAlignment="1">
      <alignment vertical="center" wrapText="1"/>
    </xf>
    <xf numFmtId="166" fontId="184" fillId="0" borderId="0" xfId="0" applyNumberFormat="1" applyFont="1" applyAlignment="1">
      <alignment vertical="center" wrapText="1"/>
    </xf>
    <xf numFmtId="0" fontId="185" fillId="0" borderId="0" xfId="47" applyFont="1"/>
    <xf numFmtId="0" fontId="185" fillId="0" borderId="0" xfId="47" applyFont="1" applyBorder="1"/>
    <xf numFmtId="0" fontId="186" fillId="0" borderId="0" xfId="0" applyFont="1" applyAlignment="1">
      <alignment vertical="center" wrapText="1"/>
    </xf>
    <xf numFmtId="0" fontId="69" fillId="0" borderId="0" xfId="0" applyFont="1"/>
    <xf numFmtId="166" fontId="0" fillId="0" borderId="0" xfId="0" applyNumberFormat="1" applyFont="1" applyBorder="1" applyAlignment="1" applyProtection="1">
      <alignment horizontal="right" vertical="top"/>
    </xf>
    <xf numFmtId="0" fontId="146" fillId="0" borderId="0" xfId="47" applyFont="1" applyFill="1"/>
    <xf numFmtId="0" fontId="146" fillId="0" borderId="0" xfId="47" applyFont="1" applyFill="1" applyBorder="1"/>
    <xf numFmtId="0" fontId="187" fillId="0" borderId="0" xfId="0" applyFont="1" applyAlignment="1">
      <alignment vertical="top" wrapText="1"/>
    </xf>
    <xf numFmtId="0" fontId="188" fillId="68" borderId="77" xfId="0" applyFont="1" applyFill="1" applyBorder="1" applyAlignment="1">
      <alignment vertical="top" wrapText="1"/>
    </xf>
    <xf numFmtId="0" fontId="149" fillId="9" borderId="6" xfId="0" quotePrefix="1" applyFont="1" applyFill="1" applyBorder="1" applyAlignment="1">
      <alignment horizontal="left" vertical="top" wrapText="1"/>
    </xf>
    <xf numFmtId="0" fontId="149" fillId="18" borderId="6" xfId="0" applyFont="1" applyFill="1" applyBorder="1" applyAlignment="1">
      <alignment vertical="top" wrapText="1"/>
    </xf>
    <xf numFmtId="0" fontId="0" fillId="9" borderId="0" xfId="0" applyFill="1"/>
    <xf numFmtId="0" fontId="189" fillId="9" borderId="78" xfId="0" quotePrefix="1" applyFont="1" applyFill="1" applyBorder="1" applyAlignment="1">
      <alignment horizontal="left" vertical="top" wrapText="1"/>
    </xf>
    <xf numFmtId="0" fontId="149" fillId="18" borderId="78" xfId="0" applyFont="1" applyFill="1" applyBorder="1" applyAlignment="1">
      <alignment vertical="top" wrapText="1"/>
    </xf>
    <xf numFmtId="3" fontId="0" fillId="0" borderId="0" xfId="0" quotePrefix="1" applyNumberFormat="1"/>
    <xf numFmtId="9" fontId="0" fillId="0" borderId="0" xfId="0" quotePrefix="1" applyNumberFormat="1"/>
    <xf numFmtId="49" fontId="0" fillId="0" borderId="0" xfId="0" applyNumberFormat="1"/>
    <xf numFmtId="3" fontId="0" fillId="0" borderId="0" xfId="0" quotePrefix="1" applyNumberFormat="1" applyAlignment="1">
      <alignment wrapText="1"/>
    </xf>
    <xf numFmtId="10" fontId="0" fillId="0" borderId="0" xfId="0" quotePrefix="1" applyNumberFormat="1"/>
    <xf numFmtId="0" fontId="0" fillId="0" borderId="0" xfId="0" quotePrefix="1"/>
    <xf numFmtId="0" fontId="0" fillId="0" borderId="0" xfId="0" quotePrefix="1" applyAlignment="1">
      <alignment wrapText="1"/>
    </xf>
    <xf numFmtId="0" fontId="133" fillId="51" borderId="59" xfId="0" applyFont="1" applyFill="1" applyBorder="1" applyAlignment="1" applyProtection="1">
      <alignment horizontal="center" vertical="center" wrapText="1"/>
      <protection locked="0"/>
    </xf>
    <xf numFmtId="0" fontId="190" fillId="0" borderId="0" xfId="0" applyFont="1" applyAlignment="1">
      <alignment vertical="top" wrapText="1"/>
    </xf>
    <xf numFmtId="0" fontId="120" fillId="0" borderId="0" xfId="47" applyFont="1" applyFill="1" applyBorder="1" applyAlignment="1" applyProtection="1">
      <alignment horizontal="left"/>
      <protection locked="0"/>
    </xf>
    <xf numFmtId="0" fontId="0" fillId="0" borderId="0" xfId="0" applyAlignment="1">
      <alignment horizontal="center"/>
    </xf>
    <xf numFmtId="0" fontId="136" fillId="52" borderId="0" xfId="0" applyFont="1" applyFill="1" applyAlignment="1">
      <alignment horizontal="left" vertical="top" wrapText="1" indent="1"/>
    </xf>
    <xf numFmtId="0" fontId="103" fillId="50" borderId="20" xfId="0" applyFont="1" applyFill="1" applyBorder="1" applyAlignment="1">
      <alignment horizontal="center" vertical="center" wrapText="1"/>
    </xf>
    <xf numFmtId="0" fontId="103" fillId="50" borderId="21" xfId="0" applyFont="1" applyFill="1" applyBorder="1" applyAlignment="1">
      <alignment horizontal="center" vertical="center" wrapText="1"/>
    </xf>
    <xf numFmtId="0" fontId="103" fillId="50" borderId="22" xfId="0" applyFont="1" applyFill="1" applyBorder="1" applyAlignment="1">
      <alignment horizontal="center" vertical="center" wrapText="1"/>
    </xf>
    <xf numFmtId="0" fontId="106" fillId="50" borderId="20" xfId="0" applyFont="1" applyFill="1" applyBorder="1" applyAlignment="1">
      <alignment horizontal="center" vertical="center" wrapText="1"/>
    </xf>
    <xf numFmtId="0" fontId="106" fillId="50" borderId="21" xfId="0" applyFont="1" applyFill="1" applyBorder="1" applyAlignment="1">
      <alignment horizontal="center" vertical="center" wrapText="1"/>
    </xf>
    <xf numFmtId="0" fontId="106" fillId="50" borderId="22" xfId="0" applyFont="1" applyFill="1" applyBorder="1" applyAlignment="1">
      <alignment horizontal="center" vertical="center" wrapText="1"/>
    </xf>
    <xf numFmtId="0" fontId="107" fillId="50" borderId="20" xfId="0" applyFont="1" applyFill="1" applyBorder="1" applyAlignment="1">
      <alignment horizontal="center" vertical="center" wrapText="1"/>
    </xf>
    <xf numFmtId="0" fontId="107" fillId="50" borderId="22" xfId="0" applyFont="1" applyFill="1" applyBorder="1" applyAlignment="1">
      <alignment horizontal="center" vertical="center" wrapText="1"/>
    </xf>
    <xf numFmtId="0" fontId="175" fillId="50" borderId="20" xfId="0" applyFont="1" applyFill="1" applyBorder="1" applyAlignment="1">
      <alignment horizontal="center" vertical="center" wrapText="1"/>
    </xf>
    <xf numFmtId="0" fontId="175" fillId="50" borderId="22" xfId="0" applyFont="1" applyFill="1" applyBorder="1" applyAlignment="1">
      <alignment horizontal="center" vertical="center" wrapText="1"/>
    </xf>
    <xf numFmtId="0" fontId="102" fillId="0" borderId="0" xfId="0" applyFont="1" applyAlignment="1">
      <alignment horizontal="left" vertical="center" wrapText="1"/>
    </xf>
    <xf numFmtId="0" fontId="113" fillId="53" borderId="0" xfId="49" applyFont="1" applyFill="1" applyAlignment="1">
      <alignment horizontal="center"/>
    </xf>
    <xf numFmtId="0" fontId="46" fillId="9" borderId="19" xfId="49" applyFont="1" applyFill="1" applyBorder="1" applyAlignment="1">
      <alignment horizontal="center" vertical="center"/>
    </xf>
    <xf numFmtId="0" fontId="70" fillId="51" borderId="0" xfId="49" applyFont="1" applyFill="1" applyAlignment="1">
      <alignment horizontal="center"/>
    </xf>
    <xf numFmtId="0" fontId="46" fillId="67" borderId="19" xfId="49" applyFont="1" applyFill="1" applyBorder="1" applyAlignment="1">
      <alignment horizontal="center" vertical="center"/>
    </xf>
    <xf numFmtId="0" fontId="70" fillId="63" borderId="0" xfId="49" applyFont="1" applyFill="1" applyAlignment="1">
      <alignment horizontal="center"/>
    </xf>
    <xf numFmtId="0" fontId="46" fillId="66" borderId="19" xfId="49" applyFont="1" applyFill="1" applyBorder="1" applyAlignment="1">
      <alignment horizontal="center" vertical="center"/>
    </xf>
    <xf numFmtId="0" fontId="113" fillId="62" borderId="0" xfId="49" applyFont="1" applyFill="1" applyAlignment="1">
      <alignment horizontal="center"/>
    </xf>
    <xf numFmtId="0" fontId="46" fillId="65" borderId="19" xfId="49" applyFont="1" applyFill="1" applyBorder="1" applyAlignment="1">
      <alignment horizontal="center" vertical="center"/>
    </xf>
    <xf numFmtId="0" fontId="0" fillId="0" borderId="0" xfId="0" applyFont="1" applyAlignment="1">
      <alignment horizontal="left" vertical="top" wrapText="1" indent="1"/>
    </xf>
    <xf numFmtId="0" fontId="143" fillId="0" borderId="0" xfId="0" applyFont="1" applyAlignment="1">
      <alignment horizontal="right" wrapText="1"/>
    </xf>
    <xf numFmtId="0" fontId="0" fillId="0" borderId="0" xfId="0" applyFont="1" applyAlignment="1">
      <alignment horizontal="left" vertical="top" wrapText="1"/>
    </xf>
    <xf numFmtId="0" fontId="69" fillId="0" borderId="0" xfId="0" applyFont="1" applyAlignment="1">
      <alignment horizontal="left" vertical="top" wrapText="1" indent="1"/>
    </xf>
    <xf numFmtId="2" fontId="9" fillId="0" borderId="0" xfId="0" applyNumberFormat="1" applyFont="1" applyAlignment="1">
      <alignment horizontal="center"/>
    </xf>
    <xf numFmtId="0" fontId="121" fillId="56" borderId="0" xfId="0" applyFont="1" applyFill="1" applyAlignment="1">
      <alignment horizontal="center" vertical="center" wrapText="1"/>
    </xf>
    <xf numFmtId="0" fontId="121" fillId="19" borderId="0" xfId="0" applyFont="1" applyFill="1" applyAlignment="1">
      <alignment horizontal="center" vertical="center" wrapText="1"/>
    </xf>
    <xf numFmtId="0" fontId="120" fillId="57" borderId="0" xfId="0" applyFont="1" applyFill="1" applyAlignment="1">
      <alignment horizontal="center" vertical="center" wrapText="1"/>
    </xf>
    <xf numFmtId="0" fontId="132" fillId="0" borderId="0" xfId="0" applyFont="1" applyAlignment="1">
      <alignment horizontal="left" vertical="top" wrapText="1" indent="1"/>
    </xf>
  </cellXfs>
  <cellStyles count="186">
    <cellStyle name=" 1" xfId="74"/>
    <cellStyle name=" 1 2" xfId="75"/>
    <cellStyle name="_x000a__x000a_JournalTemplate=C:\COMFO\CTALK\JOURSTD.TPL_x000a__x000a_LbStateAddress=3 3 0 251 1 89 2 311_x000a__x000a_LbStateJou" xfId="1"/>
    <cellStyle name="_x000d__x000a_JournalTemplate=C:\COMFO\CTALK\JOURSTD.TPL_x000d__x000a_LbStateAddress=3 3 0 251 1 89 2 311_x000d__x000a_LbStateJou" xfId="2"/>
    <cellStyle name="_x000d__x000a_JournalTemplate=C:\COMFO\CTALK\JOURSTD.TPL_x000d__x000a_LbStateAddress=3 3 0 251 1 89 2 311_x000d__x000a_LbStateJou 2" xfId="76"/>
    <cellStyle name="_x000d__x000a_JournalTemplate=C:\COMFO\CTALK\JOURSTD.TPL_x000d__x000a_LbStateAddress=3 3 0 251 1 89 2 311_x000d__x000a_LbStateJou 3" xfId="77"/>
    <cellStyle name="!Comma (0)" xfId="3"/>
    <cellStyle name="!Comma (1)" xfId="4"/>
    <cellStyle name="!Decimal (1)" xfId="5"/>
    <cellStyle name="!Decimal (2)" xfId="6"/>
    <cellStyle name="!Year" xfId="7"/>
    <cellStyle name="%" xfId="78"/>
    <cellStyle name="% 2" xfId="79"/>
    <cellStyle name="@_x000a_" xfId="80"/>
    <cellStyle name="_.csv]StatisticalData(1)" xfId="81"/>
    <cellStyle name="_.csv]StatisticalData(1) 2" xfId="82"/>
    <cellStyle name="_CFCO" xfId="83"/>
    <cellStyle name="_China_Hotspots_BER_SX" xfId="8"/>
    <cellStyle name="_CNWB" xfId="9"/>
    <cellStyle name="_CountryIndicators" xfId="10"/>
    <cellStyle name="_Data" xfId="11"/>
    <cellStyle name="_Data 2" xfId="84"/>
    <cellStyle name="_Data 3" xfId="85"/>
    <cellStyle name="_Data_1" xfId="86"/>
    <cellStyle name="_DOW_CHEMICAL_INTERNAL_0.93" xfId="12"/>
    <cellStyle name="_EGwb" xfId="87"/>
    <cellStyle name="_FinancialIndicators" xfId="13"/>
    <cellStyle name="_HCSV" xfId="88"/>
    <cellStyle name="_HCSV 2" xfId="89"/>
    <cellStyle name="_HSPE" xfId="90"/>
    <cellStyle name="_HSPE 2" xfId="91"/>
    <cellStyle name="_HSPE_1" xfId="92"/>
    <cellStyle name="_IFS1" xfId="14"/>
    <cellStyle name="_Industry workbook format" xfId="93"/>
    <cellStyle name="_INWB" xfId="94"/>
    <cellStyle name="_SAWB" xfId="95"/>
    <cellStyle name="_Sheet1" xfId="96"/>
    <cellStyle name="_Sheet1 2" xfId="97"/>
    <cellStyle name="_Sheet1 3" xfId="98"/>
    <cellStyle name="_Sheet1_1" xfId="99"/>
    <cellStyle name="_Summary" xfId="100"/>
    <cellStyle name="_Working" xfId="15"/>
    <cellStyle name="_XSection6" xfId="16"/>
    <cellStyle name="=C:\WINNT\SYSTEM32\COMMAND.COM" xfId="17"/>
    <cellStyle name="=C:\WINNT\SYSTEM32\COMMAND.COM 2" xfId="101"/>
    <cellStyle name="=C:\WINNT35\SYSTEM32\COMMAND.COM" xfId="102"/>
    <cellStyle name="0,0_x000a__x000a_NA_x000a__x000a_" xfId="18"/>
    <cellStyle name="0,0_x000d__x000a_NA_x000d__x000a_" xfId="19"/>
    <cellStyle name="1-1" xfId="65"/>
    <cellStyle name="20% - Accent1 2" xfId="103"/>
    <cellStyle name="20% - Accent2 2" xfId="104"/>
    <cellStyle name="20% - Accent3 2" xfId="105"/>
    <cellStyle name="20% - Accent4 2" xfId="106"/>
    <cellStyle name="20% - Accent5 2" xfId="107"/>
    <cellStyle name="20% - Accent6 2" xfId="108"/>
    <cellStyle name="40% - Accent1 2" xfId="109"/>
    <cellStyle name="40% - Accent2 2" xfId="110"/>
    <cellStyle name="40% - Accent3 2" xfId="111"/>
    <cellStyle name="40% - Accent4 2" xfId="112"/>
    <cellStyle name="40% - Accent5 2" xfId="113"/>
    <cellStyle name="40% - Accent6 2" xfId="114"/>
    <cellStyle name="60% - Accent1 2" xfId="115"/>
    <cellStyle name="60% - Accent2 2" xfId="116"/>
    <cellStyle name="60% - Accent3 2" xfId="117"/>
    <cellStyle name="60% - Accent4 2" xfId="118"/>
    <cellStyle name="60% - Accent5 2" xfId="119"/>
    <cellStyle name="60% - Accent6 2" xfId="120"/>
    <cellStyle name="A satisfied Microsoft Office user" xfId="20"/>
    <cellStyle name="Accent1 2" xfId="21"/>
    <cellStyle name="ANCLAS,REZONES Y SUS PARTES,DE FUNDICION,DE HIERRO O DE ACERO" xfId="22"/>
    <cellStyle name="Bad 2" xfId="121"/>
    <cellStyle name="body" xfId="157"/>
    <cellStyle name="Calculation 2" xfId="122"/>
    <cellStyle name="Check Cell 2" xfId="123"/>
    <cellStyle name="Comma 2" xfId="23"/>
    <cellStyle name="Comma 2 2" xfId="124"/>
    <cellStyle name="Comma 3" xfId="24"/>
    <cellStyle name="Comma 4" xfId="25"/>
    <cellStyle name="Comma 5" xfId="26"/>
    <cellStyle name="Comma 5 2" xfId="162"/>
    <cellStyle name="Comma 6" xfId="63"/>
    <cellStyle name="Comma 7" xfId="165"/>
    <cellStyle name="Currency 2" xfId="64"/>
    <cellStyle name="Dezimal_Energiekosten_test" xfId="125"/>
    <cellStyle name="Euro" xfId="27"/>
    <cellStyle name="Explanatory Text 2" xfId="126"/>
    <cellStyle name="F2" xfId="28"/>
    <cellStyle name="F2 2" xfId="127"/>
    <cellStyle name="F3" xfId="29"/>
    <cellStyle name="F3 2" xfId="128"/>
    <cellStyle name="F4" xfId="30"/>
    <cellStyle name="F4 2" xfId="129"/>
    <cellStyle name="F5" xfId="31"/>
    <cellStyle name="F5 2" xfId="130"/>
    <cellStyle name="F6" xfId="32"/>
    <cellStyle name="F6 2" xfId="131"/>
    <cellStyle name="F7" xfId="33"/>
    <cellStyle name="F7 2" xfId="132"/>
    <cellStyle name="F8" xfId="34"/>
    <cellStyle name="F8 2" xfId="133"/>
    <cellStyle name="foot left" xfId="66"/>
    <cellStyle name="Good 2" xfId="134"/>
    <cellStyle name="header" xfId="158"/>
    <cellStyle name="Heading 1 2" xfId="135"/>
    <cellStyle name="Heading 2 2" xfId="136"/>
    <cellStyle name="Heading 3 2" xfId="137"/>
    <cellStyle name="Heading 4 2" xfId="138"/>
    <cellStyle name="Hyperlink 2" xfId="35"/>
    <cellStyle name="Hyperlink 3" xfId="60"/>
    <cellStyle name="Hyperlink 4" xfId="61"/>
    <cellStyle name="Hyperlink 4 2" xfId="161"/>
    <cellStyle name="Input 2" xfId="139"/>
    <cellStyle name="Linked Cell 2" xfId="140"/>
    <cellStyle name="Millares [0]_COLOC00" xfId="36"/>
    <cellStyle name="Millares_Apctasnacionles" xfId="37"/>
    <cellStyle name="Moneda [0]_COLOC00" xfId="38"/>
    <cellStyle name="Moneda_COLOC00" xfId="39"/>
    <cellStyle name="n1" xfId="40"/>
    <cellStyle name="n2" xfId="41"/>
    <cellStyle name="nav" xfId="159"/>
    <cellStyle name="Navadno_Vse BOP skupaj" xfId="42"/>
    <cellStyle name="Neutral 2" xfId="141"/>
    <cellStyle name="Normal" xfId="0" builtinId="0"/>
    <cellStyle name="Normal 10" xfId="142"/>
    <cellStyle name="Normal 11" xfId="143"/>
    <cellStyle name="Normal 12" xfId="144"/>
    <cellStyle name="Normal 12 2" xfId="181"/>
    <cellStyle name="Normal 12 2 2" xfId="182"/>
    <cellStyle name="Normal 13" xfId="145"/>
    <cellStyle name="Normal 14" xfId="146"/>
    <cellStyle name="Normal 15" xfId="147"/>
    <cellStyle name="Normal 16" xfId="166"/>
    <cellStyle name="Normal 16 2" xfId="183"/>
    <cellStyle name="Normal 17" xfId="167"/>
    <cellStyle name="Normal 18" xfId="180"/>
    <cellStyle name="Normal 2" xfId="43"/>
    <cellStyle name="Normal 2 2" xfId="44"/>
    <cellStyle name="Normal 2 3" xfId="67"/>
    <cellStyle name="Normal 2 4" xfId="68"/>
    <cellStyle name="Normal 2 5" xfId="168"/>
    <cellStyle name="Normal 3" xfId="45"/>
    <cellStyle name="Normal 3 2" xfId="46"/>
    <cellStyle name="Normal 3 2 2" xfId="163"/>
    <cellStyle name="Normal 4" xfId="47"/>
    <cellStyle name="Normal 4 2" xfId="169"/>
    <cellStyle name="Normal 4 3" xfId="184"/>
    <cellStyle name="Normal 5" xfId="48"/>
    <cellStyle name="Normal 5 2" xfId="185"/>
    <cellStyle name="Normal 6" xfId="49"/>
    <cellStyle name="Normal 6 2" xfId="148"/>
    <cellStyle name="Normal 6 3" xfId="170"/>
    <cellStyle name="Normal 6 3 2" xfId="171"/>
    <cellStyle name="Normal 6 4" xfId="172"/>
    <cellStyle name="Normal 7" xfId="69"/>
    <cellStyle name="Normal 7 2" xfId="160"/>
    <cellStyle name="Normal 8" xfId="62"/>
    <cellStyle name="Normal 8 2" xfId="164"/>
    <cellStyle name="Normal 9" xfId="149"/>
    <cellStyle name="Normalny_Arkusz1" xfId="50"/>
    <cellStyle name="Note 2" xfId="51"/>
    <cellStyle name="nPlode" xfId="52"/>
    <cellStyle name="Output 2" xfId="150"/>
    <cellStyle name="Percent" xfId="179" builtinId="5"/>
    <cellStyle name="Percent 2" xfId="53"/>
    <cellStyle name="Percent 3" xfId="54"/>
    <cellStyle name="sample" xfId="55"/>
    <cellStyle name="Separador de milhares 2" xfId="173"/>
    <cellStyle name="Separador de milhares 2 2" xfId="174"/>
    <cellStyle name="Separador de milhares 2 2 2" xfId="175"/>
    <cellStyle name="Separador de milhares 2 3" xfId="176"/>
    <cellStyle name="Standard_0 - Inhalt, Erläuterungen, Einheiten" xfId="151"/>
    <cellStyle name="Style 1" xfId="56"/>
    <cellStyle name="Style 1 2" xfId="57"/>
    <cellStyle name="Style 1 2 2" xfId="152"/>
    <cellStyle name="Title 2" xfId="70"/>
    <cellStyle name="top" xfId="153"/>
    <cellStyle name="Total intermediaire" xfId="154"/>
    <cellStyle name="Vírgula 2" xfId="177"/>
    <cellStyle name="Vírgula 3" xfId="178"/>
    <cellStyle name="Warning Text 2" xfId="155"/>
    <cellStyle name="콤마 [0]" xfId="71"/>
    <cellStyle name="콤마_아산" xfId="72"/>
    <cellStyle name="표준 46" xfId="73"/>
    <cellStyle name="常规_341-372刘苗 2_1999-2010 City Data(For London)full_RS" xfId="58"/>
    <cellStyle name="年資料" xfId="59"/>
    <cellStyle name="標準_gt3001" xfId="156"/>
  </cellStyles>
  <dxfs count="94">
    <dxf>
      <fill>
        <patternFill>
          <bgColor rgb="FFC00000"/>
        </patternFill>
      </fill>
    </dxf>
    <dxf>
      <font>
        <color rgb="FF002451"/>
      </font>
      <fill>
        <patternFill>
          <bgColor theme="0"/>
        </patternFill>
      </fill>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color theme="0" tint="-0.34998626667073579"/>
      </font>
    </dxf>
    <dxf>
      <font>
        <b/>
        <i val="0"/>
        <color rgb="FF002451"/>
      </font>
    </dxf>
    <dxf>
      <font>
        <color theme="0" tint="-0.34998626667073579"/>
      </font>
    </dxf>
    <dxf>
      <font>
        <b/>
        <i val="0"/>
        <color rgb="FF0000FF"/>
      </font>
    </dxf>
    <dxf>
      <font>
        <color theme="0" tint="-0.34998626667073579"/>
      </font>
    </dxf>
    <dxf>
      <font>
        <b/>
        <i val="0"/>
        <color rgb="FF002451"/>
      </font>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b/>
        <i val="0"/>
        <color theme="0"/>
      </font>
      <numFmt numFmtId="166" formatCode="0.0"/>
      <fill>
        <patternFill>
          <bgColor rgb="FF005B94"/>
        </patternFill>
      </fill>
    </dxf>
    <dxf>
      <font>
        <b/>
        <i val="0"/>
      </font>
      <numFmt numFmtId="166" formatCode="0.0"/>
      <fill>
        <patternFill>
          <bgColor rgb="FFFFFFFF"/>
        </patternFill>
      </fill>
      <border>
        <top style="thin">
          <color rgb="FF002451"/>
        </top>
        <bottom style="thin">
          <color rgb="FF002451"/>
        </bottom>
      </border>
    </dxf>
    <dxf>
      <font>
        <b/>
        <i val="0"/>
        <color theme="0"/>
      </font>
      <numFmt numFmtId="166" formatCode="0.0"/>
      <fill>
        <patternFill>
          <bgColor rgb="FF005B94"/>
        </patternFill>
      </fill>
    </dxf>
    <dxf>
      <font>
        <b/>
        <i val="0"/>
      </font>
      <numFmt numFmtId="166" formatCode="0.0"/>
      <fill>
        <patternFill>
          <bgColor rgb="FFFFFFFF"/>
        </patternFill>
      </fill>
      <border>
        <top style="thin">
          <color rgb="FF002451"/>
        </top>
        <bottom style="thin">
          <color rgb="FF002451"/>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protection locked="1" hidden="0"/>
    </dxf>
    <dxf>
      <numFmt numFmtId="0" formatCode="General"/>
      <fill>
        <patternFill patternType="none">
          <fgColor indexed="64"/>
          <bgColor indexed="65"/>
        </patternFill>
      </fill>
    </dxf>
    <dxf>
      <font>
        <b val="0"/>
        <i val="0"/>
        <strike val="0"/>
        <condense val="0"/>
        <extend val="0"/>
        <outline val="0"/>
        <shadow val="0"/>
        <u val="none"/>
        <vertAlign val="baseline"/>
        <sz val="10"/>
        <color auto="1"/>
        <name val="Verdana"/>
        <scheme val="none"/>
      </font>
      <numFmt numFmtId="0" formatCode="General"/>
      <fill>
        <patternFill patternType="solid">
          <fgColor theme="4" tint="0.79998168889431442"/>
          <bgColor theme="4" tint="0.79998168889431442"/>
        </patternFill>
      </fill>
      <alignment horizontal="general" vertical="bottom" textRotation="0" wrapText="0" indent="0" relativeIndent="0" justifyLastLine="0" shrinkToFit="0" mergeCell="0" readingOrder="0"/>
      <border diagonalUp="0" diagonalDown="0">
        <left/>
        <right style="thin">
          <color theme="0"/>
        </right>
        <top style="thin">
          <color theme="0"/>
        </top>
        <bottom style="thin">
          <color theme="0"/>
        </bottom>
      </border>
      <protection locked="1" hidden="0"/>
    </dxf>
    <dxf>
      <font>
        <b val="0"/>
        <i val="0"/>
        <strike val="0"/>
        <condense val="0"/>
        <extend val="0"/>
        <outline val="0"/>
        <shadow val="0"/>
        <u val="none"/>
        <vertAlign val="baseline"/>
        <sz val="10"/>
        <color auto="1"/>
        <name val="Verdana"/>
        <scheme val="none"/>
      </font>
      <numFmt numFmtId="0" formatCode="General"/>
      <fill>
        <patternFill patternType="solid">
          <fgColor theme="4" tint="0.79998168889431442"/>
          <bgColor theme="4" tint="0.79998168889431442"/>
        </patternFill>
      </fill>
      <alignment horizontal="general" vertical="bottom" textRotation="0" wrapText="0" indent="0" relativeIndent="0" justifyLastLine="0" shrinkToFit="0" mergeCell="0" readingOrder="0"/>
      <border diagonalUp="0" diagonalDown="0">
        <left/>
        <right style="thin">
          <color theme="0"/>
        </right>
        <top style="thin">
          <color theme="0"/>
        </top>
        <bottom style="thin">
          <color theme="0"/>
        </bottom>
      </border>
      <protection locked="1" hidden="0"/>
    </dxf>
    <dxf>
      <font>
        <b val="0"/>
        <i val="0"/>
        <strike val="0"/>
        <condense val="0"/>
        <extend val="0"/>
        <outline val="0"/>
        <shadow val="0"/>
        <u val="none"/>
        <vertAlign val="baseline"/>
        <sz val="10"/>
        <color auto="1"/>
        <name val="Verdana"/>
        <scheme val="none"/>
      </font>
      <numFmt numFmtId="0" formatCode="General"/>
      <fill>
        <patternFill patternType="solid">
          <fgColor theme="4" tint="0.79998168889431442"/>
          <bgColor theme="4" tint="0.79998168889431442"/>
        </patternFill>
      </fill>
      <alignment horizontal="general" vertical="bottom" textRotation="0" wrapText="0" indent="0" relativeIndent="0" justifyLastLine="0" shrinkToFit="0" mergeCell="0" readingOrder="0"/>
      <border diagonalUp="0" diagonalDown="0">
        <left style="thin">
          <color theme="0"/>
        </left>
        <right style="thin">
          <color theme="0"/>
        </right>
        <top style="thin">
          <color theme="0"/>
        </top>
        <bottom style="thin">
          <color theme="0"/>
        </bottom>
      </border>
      <protection locked="1" hidden="0"/>
    </dxf>
    <dxf>
      <font>
        <b val="0"/>
        <i val="0"/>
        <strike val="0"/>
        <condense val="0"/>
        <extend val="0"/>
        <outline val="0"/>
        <shadow val="0"/>
        <u val="none"/>
        <vertAlign val="baseline"/>
        <sz val="10"/>
        <color auto="1"/>
        <name val="Verdana"/>
        <scheme val="none"/>
      </font>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ont>
        <b val="0"/>
        <i/>
      </font>
    </dxf>
    <dxf>
      <font>
        <b/>
        <i val="0"/>
      </font>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b val="0"/>
        <i/>
      </font>
    </dxf>
    <dxf>
      <fill>
        <patternFill>
          <bgColor rgb="FFD7191C"/>
        </patternFill>
      </fill>
    </dxf>
    <dxf>
      <fill>
        <patternFill>
          <bgColor rgb="FFFDAE61"/>
        </patternFill>
      </fill>
    </dxf>
    <dxf>
      <fill>
        <patternFill>
          <bgColor rgb="FFA6D96A"/>
        </patternFill>
      </fill>
    </dxf>
    <dxf>
      <fill>
        <patternFill>
          <bgColor rgb="FF1A9641"/>
        </patternFill>
      </fill>
    </dxf>
    <dxf>
      <font>
        <color theme="0"/>
      </font>
      <fill>
        <patternFill>
          <bgColor theme="0"/>
        </patternFill>
      </fill>
      <border>
        <left style="thin">
          <color theme="0"/>
        </left>
        <right style="thin">
          <color theme="0"/>
        </right>
        <bottom style="thin">
          <color theme="0"/>
        </bottom>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3B6E8F"/>
      <rgbColor rgb="00FFFFFF"/>
      <rgbColor rgb="00FF0000"/>
      <rgbColor rgb="0000FF00"/>
      <rgbColor rgb="00E37C00"/>
      <rgbColor rgb="00FFFF00"/>
      <rgbColor rgb="00FF00FF"/>
      <rgbColor rgb="0000FFFF"/>
      <rgbColor rgb="00800000"/>
      <rgbColor rgb="00008000"/>
      <rgbColor rgb="0068ACE5"/>
      <rgbColor rgb="00808000"/>
      <rgbColor rgb="00800080"/>
      <rgbColor rgb="00008080"/>
      <rgbColor rgb="009F1C35"/>
      <rgbColor rgb="00820014"/>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36424A"/>
      <rgbColor rgb="00CCFFFF"/>
      <rgbColor rgb="00CCFFCC"/>
      <rgbColor rgb="00FFFF99"/>
      <rgbColor rgb="0099CCFF"/>
      <rgbColor rgb="00FF99CC"/>
      <rgbColor rgb="00CC99FF"/>
      <rgbColor rgb="00FFCC99"/>
      <rgbColor rgb="0073D1B7"/>
      <rgbColor rgb="0033CCCC"/>
      <rgbColor rgb="0099CC00"/>
      <rgbColor rgb="00FFCC00"/>
      <rgbColor rgb="00FF9900"/>
      <rgbColor rgb="00FF6600"/>
      <rgbColor rgb="0044687D"/>
      <rgbColor rgb="00CE1432"/>
      <rgbColor rgb="00003366"/>
      <rgbColor rgb="00339966"/>
      <rgbColor rgb="00003300"/>
      <rgbColor rgb="00333300"/>
      <rgbColor rgb="00993300"/>
      <rgbColor rgb="00993366"/>
      <rgbColor rgb="00382E2C"/>
      <rgbColor rgb="00700008"/>
    </indexedColors>
    <mruColors>
      <color rgb="FF004770"/>
      <color rgb="FF002451"/>
      <color rgb="FFCF7D0F"/>
      <color rgb="FFEAEAEA"/>
      <color rgb="FF192F2F"/>
      <color rgb="FFC0504D"/>
      <color rgb="FFFFFFFF"/>
      <color rgb="FFF08221"/>
      <color rgb="FF005B94"/>
      <color rgb="FF8D2E4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c:lang val="en-GB"/>
  <c:style val="3"/>
  <c:chart>
    <c:plotArea>
      <c:layout>
        <c:manualLayout>
          <c:layoutTarget val="inner"/>
          <c:xMode val="edge"/>
          <c:yMode val="edge"/>
          <c:x val="0.26967225127881378"/>
          <c:y val="0.22653630796150481"/>
          <c:w val="0.67961822518535564"/>
          <c:h val="0.7122061895372811"/>
        </c:manualLayout>
      </c:layout>
      <c:barChart>
        <c:barDir val="bar"/>
        <c:grouping val="clustered"/>
        <c:ser>
          <c:idx val="0"/>
          <c:order val="0"/>
          <c:tx>
            <c:strRef>
              <c:f>iCCompSpider!$BD$77</c:f>
              <c:strCache>
                <c:ptCount val="1"/>
                <c:pt idx="0">
                  <c:v>Asunción</c:v>
                </c:pt>
              </c:strCache>
            </c:strRef>
          </c:tx>
          <c:spPr>
            <a:solidFill>
              <a:schemeClr val="accent1"/>
            </a:solidFill>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iCCompSpider!$BD$78:$BD$88</c:f>
              <c:numCache>
                <c:formatCode>General</c:formatCode>
                <c:ptCount val="4"/>
                <c:pt idx="0">
                  <c:v>25</c:v>
                </c:pt>
                <c:pt idx="1">
                  <c:v>31.25</c:v>
                </c:pt>
                <c:pt idx="2">
                  <c:v>25</c:v>
                </c:pt>
                <c:pt idx="3">
                  <c:v>50</c:v>
                </c:pt>
              </c:numCache>
            </c:numRef>
          </c:val>
        </c:ser>
        <c:ser>
          <c:idx val="1"/>
          <c:order val="1"/>
          <c:tx>
            <c:strRef>
              <c:f>iCCompSpider!$BE$77</c:f>
              <c:strCache>
                <c:ptCount val="1"/>
                <c:pt idx="0">
                  <c:v>Santiago de Chile</c:v>
                </c:pt>
              </c:strCache>
            </c:strRef>
          </c:tx>
          <c:spPr>
            <a:solidFill>
              <a:srgbClr val="00B050"/>
            </a:solidFill>
            <a:ln>
              <a:solidFill>
                <a:srgbClr val="00AA3C"/>
              </a:solidFill>
            </a:ln>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iCCompSpider!$BE$78:$BE$88</c:f>
              <c:numCache>
                <c:formatCode>General</c:formatCode>
                <c:ptCount val="4"/>
                <c:pt idx="0">
                  <c:v>50</c:v>
                </c:pt>
                <c:pt idx="1">
                  <c:v>31.25</c:v>
                </c:pt>
                <c:pt idx="2">
                  <c:v>25</c:v>
                </c:pt>
                <c:pt idx="3">
                  <c:v>50</c:v>
                </c:pt>
              </c:numCache>
            </c:numRef>
          </c:val>
        </c:ser>
        <c:ser>
          <c:idx val="2"/>
          <c:order val="2"/>
          <c:tx>
            <c:strRef>
              <c:f>iCCompSpider!$BF$77</c:f>
              <c:strCache>
                <c:ptCount val="1"/>
                <c:pt idx="0">
                  <c:v>&lt;ninguno&gt;</c:v>
                </c:pt>
              </c:strCache>
            </c:strRef>
          </c:tx>
          <c:spPr>
            <a:solidFill>
              <a:srgbClr val="C00000"/>
            </a:solidFill>
            <a:ln>
              <a:solidFill>
                <a:srgbClr val="C00000"/>
              </a:solidFill>
            </a:ln>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iCCompSpider!$BF$78:$BF$88</c:f>
            </c:numRef>
          </c:val>
        </c:ser>
        <c:ser>
          <c:idx val="3"/>
          <c:order val="3"/>
          <c:tx>
            <c:strRef>
              <c:f>iCCompSpider!$BG$77</c:f>
              <c:strCache>
                <c:ptCount val="1"/>
                <c:pt idx="0">
                  <c:v>&lt;ninguno&gt;</c:v>
                </c:pt>
              </c:strCache>
            </c:strRef>
          </c:tx>
          <c:spPr>
            <a:solidFill>
              <a:schemeClr val="tx1">
                <a:lumMod val="65000"/>
                <a:lumOff val="35000"/>
              </a:schemeClr>
            </a:solidFill>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iCCompSpider!$BG$78:$BG$88</c:f>
            </c:numRef>
          </c:val>
        </c:ser>
        <c:ser>
          <c:idx val="4"/>
          <c:order val="4"/>
          <c:tx>
            <c:strRef>
              <c:f>iCCompSpider!$BH$77</c:f>
              <c:strCache>
                <c:ptCount val="1"/>
                <c:pt idx="0">
                  <c:v>Promedio de todas las ciudades</c:v>
                </c:pt>
              </c:strCache>
            </c:strRef>
          </c:tx>
          <c:spPr>
            <a:solidFill>
              <a:srgbClr val="F08221"/>
            </a:solidFill>
            <a:ln w="22225">
              <a:noFill/>
              <a:prstDash val="dash"/>
            </a:ln>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iCCompSpider!$BH$78:$BH$88</c:f>
              <c:numCache>
                <c:formatCode>General</c:formatCode>
                <c:ptCount val="4"/>
                <c:pt idx="0">
                  <c:v>43.75</c:v>
                </c:pt>
                <c:pt idx="1">
                  <c:v>40.116666666666667</c:v>
                </c:pt>
                <c:pt idx="2">
                  <c:v>31.25</c:v>
                </c:pt>
                <c:pt idx="3">
                  <c:v>66.666666666666671</c:v>
                </c:pt>
              </c:numCache>
            </c:numRef>
          </c:val>
        </c:ser>
        <c:axId val="167685504"/>
        <c:axId val="167704448"/>
      </c:barChart>
      <c:catAx>
        <c:axId val="167685504"/>
        <c:scaling>
          <c:orientation val="maxMin"/>
        </c:scaling>
        <c:axPos val="l"/>
        <c:majorGridlines/>
        <c:numFmt formatCode="General" sourceLinked="0"/>
        <c:tickLblPos val="nextTo"/>
        <c:crossAx val="167704448"/>
        <c:crosses val="autoZero"/>
        <c:auto val="1"/>
        <c:lblAlgn val="ctr"/>
        <c:lblOffset val="100"/>
      </c:catAx>
      <c:valAx>
        <c:axId val="167704448"/>
        <c:scaling>
          <c:orientation val="minMax"/>
          <c:max val="100"/>
          <c:min val="0"/>
        </c:scaling>
        <c:axPos val="t"/>
        <c:majorGridlines/>
        <c:numFmt formatCode="General" sourceLinked="1"/>
        <c:majorTickMark val="cross"/>
        <c:tickLblPos val="nextTo"/>
        <c:crossAx val="167685504"/>
        <c:crosses val="autoZero"/>
        <c:crossBetween val="between"/>
        <c:majorUnit val="50"/>
      </c:valAx>
    </c:plotArea>
    <c:legend>
      <c:legendPos val="t"/>
      <c:layout>
        <c:manualLayout>
          <c:xMode val="edge"/>
          <c:yMode val="edge"/>
          <c:x val="0.36977753294222898"/>
          <c:y val="1.3201320132013517E-2"/>
          <c:w val="0.46621481078936688"/>
          <c:h val="0.14319672912173106"/>
        </c:manualLayout>
      </c:layout>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strRef>
          <c:f>uxb_works!$Z$20</c:f>
          <c:strCache>
            <c:ptCount val="1"/>
            <c:pt idx="0">
              <c:v>2.1.5) 20.¿Cuál es el nivel de representación de las mujeres en las asociaciones?</c:v>
            </c:pt>
          </c:strCache>
        </c:strRef>
      </c:tx>
    </c:title>
    <c:plotArea>
      <c:layout>
        <c:manualLayout>
          <c:layoutTarget val="inner"/>
          <c:xMode val="edge"/>
          <c:yMode val="edge"/>
          <c:x val="0.30209624351843345"/>
          <c:y val="0.16204357728905325"/>
          <c:w val="0.5796565991392747"/>
          <c:h val="0.82406635631208325"/>
        </c:manualLayout>
      </c:layout>
      <c:barChart>
        <c:barDir val="bar"/>
        <c:grouping val="clustered"/>
        <c:ser>
          <c:idx val="0"/>
          <c:order val="0"/>
          <c:tx>
            <c:strRef>
              <c:f>iSeries!$P$7</c:f>
              <c:strCache>
                <c:ptCount val="1"/>
                <c:pt idx="0">
                  <c:v>Main Set</c:v>
                </c:pt>
              </c:strCache>
            </c:strRef>
          </c:tx>
          <c:spPr>
            <a:solidFill>
              <a:schemeClr val="accent1"/>
            </a:solidFill>
          </c:spPr>
          <c:dLbls>
            <c:numFmt formatCode="#,##0.0" sourceLinked="0"/>
            <c:spPr>
              <a:solidFill>
                <a:sysClr val="window" lastClr="FFFFFF">
                  <a:alpha val="59000"/>
                </a:sysClr>
              </a:solidFill>
            </c:spPr>
            <c:txPr>
              <a:bodyPr/>
              <a:lstStyle/>
              <a:p>
                <a:pPr>
                  <a:defRPr lang="en-GB" sz="1000" b="0" i="0" u="none" strike="noStrike" baseline="0">
                    <a:solidFill>
                      <a:srgbClr val="000000"/>
                    </a:solidFill>
                    <a:latin typeface="Calibri"/>
                    <a:ea typeface="Calibri"/>
                    <a:cs typeface="Calibri"/>
                  </a:defRPr>
                </a:pPr>
                <a:endParaRPr lang="en-US"/>
              </a:p>
            </c:txPr>
            <c:dLblPos val="inBase"/>
            <c:showVal val="1"/>
            <c:extLst xmlns:c16r2="http://schemas.microsoft.com/office/drawing/2015/06/chart">
              <c:ext xmlns:c15="http://schemas.microsoft.com/office/drawing/2012/chart" uri="{CE6537A1-D6FC-4f65-9D91-7224C49458BB}">
                <c15:showLeaderLines val="0"/>
              </c:ext>
            </c:extLst>
          </c:dLbls>
          <c:cat>
            <c:strRef>
              <c:f>iSeries!$O$8:$O$19</c:f>
              <c:strCache>
                <c:ptCount val="12"/>
                <c:pt idx="0">
                  <c:v>Bogotá</c:v>
                </c:pt>
                <c:pt idx="1">
                  <c:v>Quito</c:v>
                </c:pt>
                <c:pt idx="2">
                  <c:v>San Pablo</c:v>
                </c:pt>
                <c:pt idx="3">
                  <c:v>Santa Cruz</c:v>
                </c:pt>
                <c:pt idx="4">
                  <c:v>Asunción</c:v>
                </c:pt>
                <c:pt idx="5">
                  <c:v>Buenos Aires</c:v>
                </c:pt>
                <c:pt idx="6">
                  <c:v>Ciudad de México</c:v>
                </c:pt>
                <c:pt idx="7">
                  <c:v>Montevideo</c:v>
                </c:pt>
                <c:pt idx="8">
                  <c:v>Ciudad de Belice</c:v>
                </c:pt>
                <c:pt idx="9">
                  <c:v>Lima</c:v>
                </c:pt>
                <c:pt idx="10">
                  <c:v>San José</c:v>
                </c:pt>
                <c:pt idx="11">
                  <c:v>Santiago de Chile</c:v>
                </c:pt>
              </c:strCache>
            </c:strRef>
          </c:cat>
          <c:val>
            <c:numRef>
              <c:f>iSeries!$P$8:$P$19</c:f>
              <c:numCache>
                <c:formatCode>General</c:formatCode>
                <c:ptCount val="12"/>
                <c:pt idx="0">
                  <c:v>100</c:v>
                </c:pt>
                <c:pt idx="1">
                  <c:v>100</c:v>
                </c:pt>
                <c:pt idx="2">
                  <c:v>100</c:v>
                </c:pt>
                <c:pt idx="3">
                  <c:v>100</c:v>
                </c:pt>
                <c:pt idx="4">
                  <c:v>50</c:v>
                </c:pt>
                <c:pt idx="5">
                  <c:v>50</c:v>
                </c:pt>
                <c:pt idx="6">
                  <c:v>50</c:v>
                </c:pt>
                <c:pt idx="7">
                  <c:v>50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2381-4F71-B2E7-AB747E81384B}"/>
            </c:ext>
          </c:extLst>
        </c:ser>
        <c:ser>
          <c:idx val="1"/>
          <c:order val="1"/>
          <c:tx>
            <c:strRef>
              <c:f>iSeries!$Q$7</c:f>
              <c:strCache>
                <c:ptCount val="1"/>
                <c:pt idx="0">
                  <c:v>Highlighted</c:v>
                </c:pt>
              </c:strCache>
            </c:strRef>
          </c:tx>
          <c:spPr>
            <a:solidFill>
              <a:schemeClr val="tx2">
                <a:lumMod val="20000"/>
                <a:lumOff val="80000"/>
              </a:schemeClr>
            </a:solidFill>
          </c:spPr>
          <c:cat>
            <c:strRef>
              <c:f>iSeries!$O$8:$O$19</c:f>
              <c:strCache>
                <c:ptCount val="12"/>
                <c:pt idx="0">
                  <c:v>Bogotá</c:v>
                </c:pt>
                <c:pt idx="1">
                  <c:v>Quito</c:v>
                </c:pt>
                <c:pt idx="2">
                  <c:v>San Pablo</c:v>
                </c:pt>
                <c:pt idx="3">
                  <c:v>Santa Cruz</c:v>
                </c:pt>
                <c:pt idx="4">
                  <c:v>Asunción</c:v>
                </c:pt>
                <c:pt idx="5">
                  <c:v>Buenos Aires</c:v>
                </c:pt>
                <c:pt idx="6">
                  <c:v>Ciudad de México</c:v>
                </c:pt>
                <c:pt idx="7">
                  <c:v>Montevideo</c:v>
                </c:pt>
                <c:pt idx="8">
                  <c:v>Ciudad de Belice</c:v>
                </c:pt>
                <c:pt idx="9">
                  <c:v>Lima</c:v>
                </c:pt>
                <c:pt idx="10">
                  <c:v>San José</c:v>
                </c:pt>
                <c:pt idx="11">
                  <c:v>Santiago de Chile</c:v>
                </c:pt>
              </c:strCache>
            </c:strRef>
          </c:cat>
          <c:val>
            <c:numRef>
              <c:f>iSeries!$Q$8:$Q$19</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6r2="http://schemas.microsoft.com/office/drawing/2015/06/chart">
            <c:ext xmlns:c16="http://schemas.microsoft.com/office/drawing/2014/chart" uri="{C3380CC4-5D6E-409C-BE32-E72D297353CC}">
              <c16:uniqueId val="{00000001-2381-4F71-B2E7-AB747E81384B}"/>
            </c:ext>
          </c:extLst>
        </c:ser>
        <c:ser>
          <c:idx val="2"/>
          <c:order val="2"/>
          <c:tx>
            <c:strRef>
              <c:f>iSeries!$R$7</c:f>
              <c:strCache>
                <c:ptCount val="1"/>
              </c:strCache>
            </c:strRef>
          </c:tx>
          <c:cat>
            <c:strRef>
              <c:f>iSeries!$O$8:$O$19</c:f>
              <c:strCache>
                <c:ptCount val="12"/>
                <c:pt idx="0">
                  <c:v>Bogotá</c:v>
                </c:pt>
                <c:pt idx="1">
                  <c:v>Quito</c:v>
                </c:pt>
                <c:pt idx="2">
                  <c:v>San Pablo</c:v>
                </c:pt>
                <c:pt idx="3">
                  <c:v>Santa Cruz</c:v>
                </c:pt>
                <c:pt idx="4">
                  <c:v>Asunción</c:v>
                </c:pt>
                <c:pt idx="5">
                  <c:v>Buenos Aires</c:v>
                </c:pt>
                <c:pt idx="6">
                  <c:v>Ciudad de México</c:v>
                </c:pt>
                <c:pt idx="7">
                  <c:v>Montevideo</c:v>
                </c:pt>
                <c:pt idx="8">
                  <c:v>Ciudad de Belice</c:v>
                </c:pt>
                <c:pt idx="9">
                  <c:v>Lima</c:v>
                </c:pt>
                <c:pt idx="10">
                  <c:v>San José</c:v>
                </c:pt>
                <c:pt idx="11">
                  <c:v>Santiago de Chile</c:v>
                </c:pt>
              </c:strCache>
            </c:strRef>
          </c:cat>
          <c:val>
            <c:numRef>
              <c:f>iSeries!$R$8:$R$19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2-2381-4F71-B2E7-AB747E81384B}"/>
            </c:ext>
          </c:extLst>
        </c:ser>
        <c:ser>
          <c:idx val="3"/>
          <c:order val="3"/>
          <c:tx>
            <c:strRef>
              <c:f>iSeries!$S$7</c:f>
              <c:strCache>
                <c:ptCount val="1"/>
              </c:strCache>
            </c:strRef>
          </c:tx>
          <c:spPr>
            <a:noFill/>
          </c:spPr>
          <c:dLbls>
            <c:spPr>
              <a:noFill/>
            </c:spPr>
            <c:dLblPos val="inBase"/>
            <c:showCatName val="1"/>
            <c:extLst xmlns:c16r2="http://schemas.microsoft.com/office/drawing/2015/06/chart">
              <c:ext xmlns:c15="http://schemas.microsoft.com/office/drawing/2012/chart" uri="{CE6537A1-D6FC-4f65-9D91-7224C49458BB}">
                <c15:showLeaderLines val="0"/>
              </c:ext>
            </c:extLst>
          </c:dLbls>
          <c:cat>
            <c:strRef>
              <c:f>iSeries!$O$8:$O$19</c:f>
              <c:strCache>
                <c:ptCount val="12"/>
                <c:pt idx="0">
                  <c:v>Bogotá</c:v>
                </c:pt>
                <c:pt idx="1">
                  <c:v>Quito</c:v>
                </c:pt>
                <c:pt idx="2">
                  <c:v>San Pablo</c:v>
                </c:pt>
                <c:pt idx="3">
                  <c:v>Santa Cruz</c:v>
                </c:pt>
                <c:pt idx="4">
                  <c:v>Asunción</c:v>
                </c:pt>
                <c:pt idx="5">
                  <c:v>Buenos Aires</c:v>
                </c:pt>
                <c:pt idx="6">
                  <c:v>Ciudad de México</c:v>
                </c:pt>
                <c:pt idx="7">
                  <c:v>Montevideo</c:v>
                </c:pt>
                <c:pt idx="8">
                  <c:v>Ciudad de Belice</c:v>
                </c:pt>
                <c:pt idx="9">
                  <c:v>Lima</c:v>
                </c:pt>
                <c:pt idx="10">
                  <c:v>San José</c:v>
                </c:pt>
                <c:pt idx="11">
                  <c:v>Santiago de Chile</c:v>
                </c:pt>
              </c:strCache>
            </c:strRef>
          </c:cat>
          <c:val>
            <c:numRef>
              <c:f>iSeries!$S$8:$S$19</c:f>
              <c:numCache>
                <c:formatCode>General</c:formatCode>
                <c:ptCount val="12"/>
                <c:pt idx="0">
                  <c:v>-10000</c:v>
                </c:pt>
                <c:pt idx="1">
                  <c:v>-10000</c:v>
                </c:pt>
                <c:pt idx="2">
                  <c:v>-10000</c:v>
                </c:pt>
                <c:pt idx="3">
                  <c:v>-10000</c:v>
                </c:pt>
                <c:pt idx="4">
                  <c:v>-10000</c:v>
                </c:pt>
                <c:pt idx="5">
                  <c:v>-10000</c:v>
                </c:pt>
                <c:pt idx="6">
                  <c:v>-10000</c:v>
                </c:pt>
                <c:pt idx="7">
                  <c:v>-10000</c:v>
                </c:pt>
                <c:pt idx="8">
                  <c:v>-10000</c:v>
                </c:pt>
                <c:pt idx="9">
                  <c:v>-10000</c:v>
                </c:pt>
                <c:pt idx="10">
                  <c:v>-10000</c:v>
                </c:pt>
                <c:pt idx="11">
                  <c:v>-10000</c:v>
                </c:pt>
              </c:numCache>
            </c:numRef>
          </c:val>
          <c:extLst xmlns:c16r2="http://schemas.microsoft.com/office/drawing/2015/06/chart">
            <c:ext xmlns:c16="http://schemas.microsoft.com/office/drawing/2014/chart" uri="{C3380CC4-5D6E-409C-BE32-E72D297353CC}">
              <c16:uniqueId val="{00000003-2381-4F71-B2E7-AB747E81384B}"/>
            </c:ext>
          </c:extLst>
        </c:ser>
        <c:gapWidth val="56"/>
        <c:overlap val="100"/>
        <c:axId val="146522112"/>
        <c:axId val="146523648"/>
      </c:barChart>
      <c:catAx>
        <c:axId val="146522112"/>
        <c:scaling>
          <c:orientation val="maxMin"/>
        </c:scaling>
        <c:delete val="1"/>
        <c:axPos val="l"/>
        <c:numFmt formatCode="General" sourceLinked="1"/>
        <c:majorTickMark val="none"/>
        <c:tickLblPos val="none"/>
        <c:crossAx val="146523648"/>
        <c:crosses val="autoZero"/>
        <c:auto val="1"/>
        <c:lblAlgn val="ctr"/>
        <c:lblOffset val="100"/>
      </c:catAx>
      <c:valAx>
        <c:axId val="146523648"/>
        <c:scaling>
          <c:orientation val="minMax"/>
          <c:max val="100"/>
          <c:min val="0"/>
        </c:scaling>
        <c:axPos val="t"/>
        <c:numFmt formatCode="#,##0" sourceLinked="0"/>
        <c:tickLblPos val="nextTo"/>
        <c:spPr>
          <a:ln>
            <a:solidFill>
              <a:schemeClr val="bg1">
                <a:lumMod val="85000"/>
              </a:schemeClr>
            </a:solidFill>
          </a:ln>
        </c:spPr>
        <c:txPr>
          <a:bodyPr rot="-1800000" vert="horz"/>
          <a:lstStyle/>
          <a:p>
            <a:pPr>
              <a:defRPr lang="en-GB" sz="800" b="0" i="0" u="none" strike="noStrike" baseline="0">
                <a:solidFill>
                  <a:schemeClr val="bg1">
                    <a:lumMod val="50000"/>
                  </a:schemeClr>
                </a:solidFill>
                <a:latin typeface="Calibri"/>
                <a:ea typeface="Calibri"/>
                <a:cs typeface="Calibri"/>
              </a:defRPr>
            </a:pPr>
            <a:endParaRPr lang="en-US"/>
          </a:p>
        </c:txPr>
        <c:crossAx val="146522112"/>
        <c:crosses val="autoZero"/>
        <c:crossBetween val="between"/>
      </c:valAx>
      <c:spPr>
        <a:noFill/>
        <a:ln w="25400">
          <a:noFill/>
        </a:ln>
      </c:spPr>
    </c:plotArea>
    <c:plotVisOnly val="1"/>
    <c:dispBlanksAs val="gap"/>
  </c:chart>
  <c:spPr>
    <a:noFill/>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1.6095459432293525E-3"/>
          <c:y val="1.5719430468172604E-2"/>
          <c:w val="0.97218863361550012"/>
          <c:h val="0.97334878331402164"/>
        </c:manualLayout>
      </c:layout>
      <c:scatterChart>
        <c:scatterStyle val="lineMarker"/>
        <c:ser>
          <c:idx val="0"/>
          <c:order val="0"/>
          <c:tx>
            <c:v>cage</c:v>
          </c:tx>
          <c:spPr>
            <a:ln w="3175">
              <a:solidFill>
                <a:srgbClr val="969696"/>
              </a:solidFill>
              <a:prstDash val="solid"/>
            </a:ln>
          </c:spPr>
          <c:marker>
            <c:symbol val="none"/>
          </c:marker>
          <c:dLbls>
            <c:dLbl>
              <c:idx val="0"/>
              <c:delete val="1"/>
            </c:dLbl>
            <c:dLbl>
              <c:idx val="1"/>
              <c:delete val="1"/>
            </c:dLbl>
            <c:dLbl>
              <c:idx val="2"/>
              <c:delete val="1"/>
            </c:dLbl>
            <c:dLbl>
              <c:idx val="3"/>
              <c:delete val="1"/>
            </c:dLbl>
            <c:dLbl>
              <c:idx val="4"/>
              <c:layout>
                <c:manualLayout>
                  <c:x val="-0.18074657485804421"/>
                  <c:y val="8.3666327921555247E-2"/>
                </c:manualLayout>
              </c:layout>
              <c:tx>
                <c:strRef>
                  <c:f>iplot!$D$1</c:f>
                  <c:strCache>
                    <c:ptCount val="1"/>
                    <c:pt idx="0">
                      <c:v>1) NORMATIVA</c:v>
                    </c:pt>
                  </c:strCache>
                </c:strRef>
              </c:tx>
              <c:dLblPos val="r"/>
            </c:dLbl>
            <c:dLbl>
              <c:idx val="5"/>
              <c:delete val="1"/>
            </c:dLbl>
            <c:dLbl>
              <c:idx val="6"/>
              <c:delete val="1"/>
            </c:dLbl>
            <c:dLbl>
              <c:idx val="7"/>
              <c:delete val="1"/>
            </c:dLbl>
            <c:dLbl>
              <c:idx val="8"/>
              <c:tx>
                <c:strRef>
                  <c:f>iplot!$D$3</c:f>
                  <c:strCache>
                    <c:ptCount val="1"/>
                    <c:pt idx="0">
                      <c:v>3) MERCADO</c:v>
                    </c:pt>
                  </c:strCache>
                </c:strRef>
              </c:tx>
              <c:dLblPos val="t"/>
            </c:dLbl>
            <c:dLbl>
              <c:idx val="9"/>
              <c:delete val="1"/>
            </c:dLbl>
            <c:dLbl>
              <c:idx val="10"/>
              <c:tx>
                <c:strRef>
                  <c:f>iplot!$D$2</c:f>
                  <c:strCache>
                    <c:ptCount val="1"/>
                    <c:pt idx="0">
                      <c:v>2) ORGANIZATIVA</c:v>
                    </c:pt>
                  </c:strCache>
                </c:strRef>
              </c:tx>
              <c:dLblPos val="r"/>
            </c:dLbl>
            <c:spPr>
              <a:noFill/>
              <a:ln w="25400">
                <a:noFill/>
              </a:ln>
            </c:spPr>
            <c:txPr>
              <a:bodyPr/>
              <a:lstStyle/>
              <a:p>
                <a:pPr>
                  <a:defRPr sz="1200" b="1" i="0" u="none" strike="noStrike" baseline="0">
                    <a:solidFill>
                      <a:srgbClr val="000000"/>
                    </a:solidFill>
                    <a:latin typeface="Verdana"/>
                    <a:ea typeface="Verdana"/>
                    <a:cs typeface="Verdana"/>
                  </a:defRPr>
                </a:pPr>
                <a:endParaRPr lang="en-US"/>
              </a:p>
            </c:txPr>
            <c:showVal val="1"/>
          </c:dLbls>
          <c:xVal>
            <c:numRef>
              <c:f>iplot!$N$10:$N$20</c:f>
              <c:numCache>
                <c:formatCode>General</c:formatCode>
                <c:ptCount val="11"/>
                <c:pt idx="0">
                  <c:v>-0.64085638205578865</c:v>
                </c:pt>
                <c:pt idx="1">
                  <c:v>-0.29883623873011983</c:v>
                </c:pt>
                <c:pt idx="2">
                  <c:v>-0.29883623873011972</c:v>
                </c:pt>
                <c:pt idx="3">
                  <c:v>-0.64085638205578843</c:v>
                </c:pt>
                <c:pt idx="4">
                  <c:v>-0.64085638205578865</c:v>
                </c:pt>
                <c:pt idx="5">
                  <c:v>0.29883623873011972</c:v>
                </c:pt>
                <c:pt idx="6">
                  <c:v>0.64085638205578843</c:v>
                </c:pt>
                <c:pt idx="7">
                  <c:v>0.64085638205578865</c:v>
                </c:pt>
                <c:pt idx="8">
                  <c:v>-0.29883623873011972</c:v>
                </c:pt>
                <c:pt idx="9">
                  <c:v>-0.29883623873011983</c:v>
                </c:pt>
                <c:pt idx="10">
                  <c:v>0.64085638205578843</c:v>
                </c:pt>
              </c:numCache>
            </c:numRef>
          </c:xVal>
          <c:yVal>
            <c:numRef>
              <c:f>iplot!$O$10:$O$20</c:f>
              <c:numCache>
                <c:formatCode>General</c:formatCode>
                <c:ptCount val="11"/>
                <c:pt idx="0">
                  <c:v>-0.58243082125727907</c:v>
                </c:pt>
                <c:pt idx="1">
                  <c:v>-0.11258451086432519</c:v>
                </c:pt>
                <c:pt idx="2">
                  <c:v>0.75344089292011351</c:v>
                </c:pt>
                <c:pt idx="3">
                  <c:v>0.28359458252715963</c:v>
                </c:pt>
                <c:pt idx="4">
                  <c:v>-0.58243082125727907</c:v>
                </c:pt>
                <c:pt idx="5">
                  <c:v>-0.75344089292011351</c:v>
                </c:pt>
                <c:pt idx="6">
                  <c:v>-0.28359458252715963</c:v>
                </c:pt>
                <c:pt idx="7">
                  <c:v>0.58243082125727907</c:v>
                </c:pt>
                <c:pt idx="8">
                  <c:v>0.75344089292011351</c:v>
                </c:pt>
                <c:pt idx="9">
                  <c:v>-0.11258451086432519</c:v>
                </c:pt>
                <c:pt idx="10">
                  <c:v>-0.28359458252715963</c:v>
                </c:pt>
              </c:numCache>
            </c:numRef>
          </c:yVal>
        </c:ser>
        <c:ser>
          <c:idx val="1"/>
          <c:order val="1"/>
          <c:tx>
            <c:v>labx</c:v>
          </c:tx>
          <c:spPr>
            <a:ln w="3175">
              <a:solidFill>
                <a:srgbClr val="C0C0C0"/>
              </a:solidFill>
              <a:prstDash val="solid"/>
            </a:ln>
          </c:spPr>
          <c:marker>
            <c:symbol val="none"/>
          </c:marker>
          <c:dLbls>
            <c:dLbl>
              <c:idx val="0"/>
              <c:tx>
                <c:strRef>
                  <c:f>iplot!$X$9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
              <c:tx>
                <c:strRef>
                  <c:f>iplot!$X$10</c:f>
                  <c:strCache>
                    <c:ptCount val="1"/>
                    <c:pt idx="0">
                      <c:v>10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2"/>
              <c:tx>
                <c:strRef>
                  <c:f>iplot!$X$11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3"/>
              <c:tx>
                <c:strRef>
                  <c:f>iplot!$X$12</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4"/>
              <c:tx>
                <c:strRef>
                  <c:f>iplot!$X$13</c:f>
                  <c:strCache>
                    <c:ptCount val="1"/>
                    <c:pt idx="0">
                      <c:v>20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5"/>
              <c:tx>
                <c:strRef>
                  <c:f>iplot!$X$14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6"/>
              <c:tx>
                <c:strRef>
                  <c:f>iplot!$X$15</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7"/>
              <c:tx>
                <c:strRef>
                  <c:f>iplot!$X$16</c:f>
                  <c:strCache>
                    <c:ptCount val="1"/>
                    <c:pt idx="0">
                      <c:v>30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8"/>
              <c:tx>
                <c:strRef>
                  <c:f>iplot!$X$17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9"/>
              <c:tx>
                <c:strRef>
                  <c:f>iplot!$X$18</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0"/>
              <c:tx>
                <c:strRef>
                  <c:f>iplot!$X$19</c:f>
                  <c:strCache>
                    <c:ptCount val="1"/>
                    <c:pt idx="0">
                      <c:v>40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1"/>
              <c:tx>
                <c:strRef>
                  <c:f>iplot!$X$20</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2"/>
              <c:tx>
                <c:strRef>
                  <c:f>iplot!$X$21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3"/>
              <c:tx>
                <c:strRef>
                  <c:f>iplot!$X$22</c:f>
                  <c:strCache>
                    <c:ptCount val="1"/>
                    <c:pt idx="0">
                      <c:v>50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4"/>
              <c:tx>
                <c:strRef>
                  <c:f>iplot!$X$23</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5"/>
              <c:tx>
                <c:strRef>
                  <c:f>iplot!$X$24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6"/>
              <c:tx>
                <c:strRef>
                  <c:f>iplot!$X$25</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7"/>
              <c:tx>
                <c:strRef>
                  <c:f>iplot!$X$26</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8"/>
              <c:tx>
                <c:strRef>
                  <c:f>iplot!$X$27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9"/>
              <c:tx>
                <c:strRef>
                  <c:f>iplot!$X$28</c:f>
                  <c:strCache>
                    <c:ptCount val="1"/>
                    <c:pt idx="0">
                      <c:v>70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20"/>
              <c:tx>
                <c:strRef>
                  <c:f>iplot!$X$29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elete val="1"/>
          </c:dLbls>
          <c:xVal>
            <c:numRef>
              <c:f>iplot!$Y$9:$Y$29</c:f>
              <c:numCache>
                <c:formatCode>General</c:formatCode>
                <c:ptCount val="21"/>
                <c:pt idx="0">
                  <c:v>0.59221351722724891</c:v>
                </c:pt>
                <c:pt idx="1">
                  <c:v>0.68618277930583971</c:v>
                </c:pt>
                <c:pt idx="2">
                  <c:v>0.59221351722724891</c:v>
                </c:pt>
                <c:pt idx="3">
                  <c:v>0.54357065239870928</c:v>
                </c:pt>
                <c:pt idx="4">
                  <c:v>0.63753991447730018</c:v>
                </c:pt>
                <c:pt idx="5">
                  <c:v>0.54357065239870928</c:v>
                </c:pt>
                <c:pt idx="6">
                  <c:v>0.49492778757016981</c:v>
                </c:pt>
                <c:pt idx="7">
                  <c:v>0.58889704964876055</c:v>
                </c:pt>
                <c:pt idx="8">
                  <c:v>0.49492778757016981</c:v>
                </c:pt>
                <c:pt idx="9">
                  <c:v>0.44628492274163023</c:v>
                </c:pt>
                <c:pt idx="10">
                  <c:v>0.54025418482022103</c:v>
                </c:pt>
                <c:pt idx="11">
                  <c:v>0.44628492274163023</c:v>
                </c:pt>
                <c:pt idx="12">
                  <c:v>0.39764205791309065</c:v>
                </c:pt>
                <c:pt idx="13">
                  <c:v>0.49161131999168156</c:v>
                </c:pt>
                <c:pt idx="14">
                  <c:v>0.39764205791309065</c:v>
                </c:pt>
                <c:pt idx="15">
                  <c:v>0.34899919308455113</c:v>
                </c:pt>
                <c:pt idx="16">
                  <c:v>0.44296845516314193</c:v>
                </c:pt>
                <c:pt idx="17">
                  <c:v>0.34899919308455113</c:v>
                </c:pt>
                <c:pt idx="18">
                  <c:v>0.30035632825601155</c:v>
                </c:pt>
                <c:pt idx="19">
                  <c:v>0.3943255903346024</c:v>
                </c:pt>
                <c:pt idx="20">
                  <c:v>0.30035632825601155</c:v>
                </c:pt>
              </c:numCache>
            </c:numRef>
          </c:xVal>
          <c:yVal>
            <c:numRef>
              <c:f>iplot!$Z$9:$Z$29</c:f>
              <c:numCache>
                <c:formatCode>General</c:formatCode>
                <c:ptCount val="21"/>
                <c:pt idx="0">
                  <c:v>-0.35041716889415753</c:v>
                </c:pt>
                <c:pt idx="1">
                  <c:v>-0.36751817606044096</c:v>
                </c:pt>
                <c:pt idx="2">
                  <c:v>-0.35041716889415753</c:v>
                </c:pt>
                <c:pt idx="3">
                  <c:v>-0.41723975526115542</c:v>
                </c:pt>
                <c:pt idx="4">
                  <c:v>-0.43434076242743885</c:v>
                </c:pt>
                <c:pt idx="5">
                  <c:v>-0.41723975526115542</c:v>
                </c:pt>
                <c:pt idx="6">
                  <c:v>-0.48406234162815331</c:v>
                </c:pt>
                <c:pt idx="7">
                  <c:v>-0.50116334879443669</c:v>
                </c:pt>
                <c:pt idx="8">
                  <c:v>-0.48406234162815331</c:v>
                </c:pt>
                <c:pt idx="9">
                  <c:v>-0.55088492799515121</c:v>
                </c:pt>
                <c:pt idx="10">
                  <c:v>-0.56798593516143459</c:v>
                </c:pt>
                <c:pt idx="11">
                  <c:v>-0.55088492799515121</c:v>
                </c:pt>
                <c:pt idx="12">
                  <c:v>-0.6177075143621491</c:v>
                </c:pt>
                <c:pt idx="13">
                  <c:v>-0.63480852152843248</c:v>
                </c:pt>
                <c:pt idx="14">
                  <c:v>-0.6177075143621491</c:v>
                </c:pt>
                <c:pt idx="15">
                  <c:v>-0.68453010072914688</c:v>
                </c:pt>
                <c:pt idx="16">
                  <c:v>-0.70163110789543048</c:v>
                </c:pt>
                <c:pt idx="17">
                  <c:v>-0.68453010072914688</c:v>
                </c:pt>
                <c:pt idx="18">
                  <c:v>-0.75135268709614489</c:v>
                </c:pt>
                <c:pt idx="19">
                  <c:v>-0.76845369426242827</c:v>
                </c:pt>
                <c:pt idx="20">
                  <c:v>-0.75135268709614489</c:v>
                </c:pt>
              </c:numCache>
            </c:numRef>
          </c:yVal>
        </c:ser>
        <c:ser>
          <c:idx val="3"/>
          <c:order val="2"/>
          <c:tx>
            <c:v>cut_plane_x</c:v>
          </c:tx>
          <c:spPr>
            <a:ln w="28575">
              <a:noFill/>
            </a:ln>
          </c:spPr>
          <c:marker>
            <c:symbol val="circle"/>
            <c:size val="3"/>
            <c:spPr>
              <a:solidFill>
                <a:srgbClr val="006411"/>
              </a:solidFill>
              <a:ln>
                <a:solidFill>
                  <a:srgbClr val="808080"/>
                </a:solidFill>
                <a:prstDash val="solid"/>
              </a:ln>
            </c:spPr>
          </c:marker>
          <c:xVal>
            <c:numRef>
              <c:f>iplot!$M$33:$M$54</c:f>
              <c:numCache>
                <c:formatCode>General</c:formatCode>
                <c:ptCount val="12"/>
                <c:pt idx="0">
                  <c:v>3.6298891759959484E-2</c:v>
                </c:pt>
                <c:pt idx="1">
                  <c:v>0.52914467189242897</c:v>
                </c:pt>
                <c:pt idx="2">
                  <c:v>0.64085638205578865</c:v>
                </c:pt>
                <c:pt idx="3">
                  <c:v>-0.29883623873011977</c:v>
                </c:pt>
                <c:pt idx="4">
                  <c:v>0.31229252863414236</c:v>
                </c:pt>
                <c:pt idx="5">
                  <c:v>0.2531510350182461</c:v>
                </c:pt>
                <c:pt idx="6">
                  <c:v>9.544038537585578E-2</c:v>
                </c:pt>
                <c:pt idx="7">
                  <c:v>0.2531510350182461</c:v>
                </c:pt>
                <c:pt idx="8">
                  <c:v>-0.29883623873011977</c:v>
                </c:pt>
                <c:pt idx="9">
                  <c:v>0.51600211775556315</c:v>
                </c:pt>
                <c:pt idx="10">
                  <c:v>0.2531510350182461</c:v>
                </c:pt>
                <c:pt idx="11">
                  <c:v>0.10858293951272172</c:v>
                </c:pt>
              </c:numCache>
            </c:numRef>
          </c:xVal>
          <c:yVal>
            <c:numRef>
              <c:f>iplot!$N$33:$N$54</c:f>
              <c:numCache>
                <c:formatCode>General</c:formatCode>
                <c:ptCount val="12"/>
                <c:pt idx="0">
                  <c:v>8.4863240481520136E-2</c:v>
                </c:pt>
                <c:pt idx="1">
                  <c:v>0.32926154470133828</c:v>
                </c:pt>
                <c:pt idx="2">
                  <c:v>0.58243082125727907</c:v>
                </c:pt>
                <c:pt idx="3">
                  <c:v>0.23191884942034702</c:v>
                </c:pt>
                <c:pt idx="4">
                  <c:v>0.25170166805609279</c:v>
                </c:pt>
                <c:pt idx="5">
                  <c:v>0.27789488843834786</c:v>
                </c:pt>
                <c:pt idx="6">
                  <c:v>0.20347252318971515</c:v>
                </c:pt>
                <c:pt idx="7">
                  <c:v>0.11520447897396757</c:v>
                </c:pt>
                <c:pt idx="8">
                  <c:v>0.13260286672945856</c:v>
                </c:pt>
                <c:pt idx="9">
                  <c:v>0.41842674599256113</c:v>
                </c:pt>
                <c:pt idx="10">
                  <c:v>0.23679565895704208</c:v>
                </c:pt>
                <c:pt idx="11">
                  <c:v>0.33522247003242728</c:v>
                </c:pt>
              </c:numCache>
            </c:numRef>
          </c:yVal>
        </c:ser>
        <c:ser>
          <c:idx val="4"/>
          <c:order val="3"/>
          <c:tx>
            <c:v>projxframe</c:v>
          </c:tx>
          <c:spPr>
            <a:ln w="25400">
              <a:solidFill>
                <a:srgbClr val="006411"/>
              </a:solidFill>
              <a:prstDash val="solid"/>
            </a:ln>
          </c:spPr>
          <c:marker>
            <c:symbol val="none"/>
          </c:marker>
          <c:xVal>
            <c:numRef>
              <c:f>iplot!$M$24:$M$28</c:f>
              <c:numCache>
                <c:formatCode>General</c:formatCode>
                <c:ptCount val="5"/>
                <c:pt idx="0">
                  <c:v>-0.29883623873011983</c:v>
                </c:pt>
                <c:pt idx="1">
                  <c:v>0.64085638205578843</c:v>
                </c:pt>
                <c:pt idx="2">
                  <c:v>0.64085638205578865</c:v>
                </c:pt>
                <c:pt idx="3">
                  <c:v>-0.29883623873011972</c:v>
                </c:pt>
                <c:pt idx="4">
                  <c:v>-0.29883623873011983</c:v>
                </c:pt>
              </c:numCache>
            </c:numRef>
          </c:xVal>
          <c:yVal>
            <c:numRef>
              <c:f>iplot!$N$24:$N$28</c:f>
              <c:numCache>
                <c:formatCode>General</c:formatCode>
                <c:ptCount val="5"/>
                <c:pt idx="0">
                  <c:v>-0.11258451086432519</c:v>
                </c:pt>
                <c:pt idx="1">
                  <c:v>-0.28359458252715963</c:v>
                </c:pt>
                <c:pt idx="2">
                  <c:v>0.58243082125727907</c:v>
                </c:pt>
                <c:pt idx="3">
                  <c:v>0.75344089292011351</c:v>
                </c:pt>
                <c:pt idx="4">
                  <c:v>-0.11258451086432519</c:v>
                </c:pt>
              </c:numCache>
            </c:numRef>
          </c:yVal>
        </c:ser>
        <c:ser>
          <c:idx val="5"/>
          <c:order val="4"/>
          <c:tx>
            <c:v>projyframe</c:v>
          </c:tx>
          <c:spPr>
            <a:ln w="25400">
              <a:solidFill>
                <a:srgbClr val="900000"/>
              </a:solidFill>
              <a:prstDash val="solid"/>
            </a:ln>
          </c:spPr>
          <c:marker>
            <c:symbol val="none"/>
          </c:marker>
          <c:xVal>
            <c:numRef>
              <c:f>iplot!$O$24:$O$28</c:f>
              <c:numCache>
                <c:formatCode>General</c:formatCode>
                <c:ptCount val="5"/>
                <c:pt idx="0">
                  <c:v>-0.29883623873011983</c:v>
                </c:pt>
                <c:pt idx="1">
                  <c:v>-0.64085638205578865</c:v>
                </c:pt>
                <c:pt idx="2">
                  <c:v>-0.64085638205578843</c:v>
                </c:pt>
                <c:pt idx="3">
                  <c:v>-0.29883623873011972</c:v>
                </c:pt>
                <c:pt idx="4">
                  <c:v>-0.29883623873011983</c:v>
                </c:pt>
              </c:numCache>
            </c:numRef>
          </c:xVal>
          <c:yVal>
            <c:numRef>
              <c:f>iplot!$P$24:$P$28</c:f>
              <c:numCache>
                <c:formatCode>General</c:formatCode>
                <c:ptCount val="5"/>
                <c:pt idx="0">
                  <c:v>-0.11258451086432519</c:v>
                </c:pt>
                <c:pt idx="1">
                  <c:v>-0.58243082125727907</c:v>
                </c:pt>
                <c:pt idx="2">
                  <c:v>0.28359458252715963</c:v>
                </c:pt>
                <c:pt idx="3">
                  <c:v>0.75344089292011351</c:v>
                </c:pt>
                <c:pt idx="4">
                  <c:v>-0.11258451086432519</c:v>
                </c:pt>
              </c:numCache>
            </c:numRef>
          </c:yVal>
        </c:ser>
        <c:ser>
          <c:idx val="6"/>
          <c:order val="5"/>
          <c:tx>
            <c:v>projzframe</c:v>
          </c:tx>
          <c:spPr>
            <a:ln w="25400">
              <a:solidFill>
                <a:srgbClr val="000090"/>
              </a:solidFill>
              <a:prstDash val="solid"/>
            </a:ln>
          </c:spPr>
          <c:marker>
            <c:symbol val="none"/>
          </c:marker>
          <c:xVal>
            <c:numRef>
              <c:f>iplot!$Q$24:$Q$28</c:f>
              <c:numCache>
                <c:formatCode>General</c:formatCode>
                <c:ptCount val="5"/>
                <c:pt idx="0">
                  <c:v>-0.29883623873011983</c:v>
                </c:pt>
                <c:pt idx="1">
                  <c:v>-0.64085638205578865</c:v>
                </c:pt>
                <c:pt idx="2">
                  <c:v>0.29883623873011972</c:v>
                </c:pt>
                <c:pt idx="3">
                  <c:v>0.64085638205578843</c:v>
                </c:pt>
                <c:pt idx="4">
                  <c:v>-0.29883623873011983</c:v>
                </c:pt>
              </c:numCache>
            </c:numRef>
          </c:xVal>
          <c:yVal>
            <c:numRef>
              <c:f>iplot!$R$24:$R$28</c:f>
              <c:numCache>
                <c:formatCode>General</c:formatCode>
                <c:ptCount val="5"/>
                <c:pt idx="0">
                  <c:v>-0.11258451086432519</c:v>
                </c:pt>
                <c:pt idx="1">
                  <c:v>-0.58243082125727907</c:v>
                </c:pt>
                <c:pt idx="2">
                  <c:v>-0.75344089292011351</c:v>
                </c:pt>
                <c:pt idx="3">
                  <c:v>-0.28359458252715963</c:v>
                </c:pt>
                <c:pt idx="4">
                  <c:v>-0.11258451086432519</c:v>
                </c:pt>
              </c:numCache>
            </c:numRef>
          </c:yVal>
        </c:ser>
        <c:ser>
          <c:idx val="7"/>
          <c:order val="6"/>
          <c:tx>
            <c:v>cut_plane_y</c:v>
          </c:tx>
          <c:spPr>
            <a:ln w="28575">
              <a:noFill/>
            </a:ln>
          </c:spPr>
          <c:marker>
            <c:symbol val="circle"/>
            <c:size val="3"/>
            <c:spPr>
              <a:solidFill>
                <a:srgbClr val="993300"/>
              </a:solidFill>
              <a:ln>
                <a:solidFill>
                  <a:srgbClr val="808080"/>
                </a:solidFill>
                <a:prstDash val="solid"/>
              </a:ln>
            </c:spPr>
          </c:marker>
          <c:xVal>
            <c:numRef>
              <c:f>iplot!$O$33:$O$54</c:f>
              <c:numCache>
                <c:formatCode>General</c:formatCode>
                <c:ptCount val="12"/>
                <c:pt idx="0">
                  <c:v>-0.45844563894876522</c:v>
                </c:pt>
                <c:pt idx="1">
                  <c:v>-0.60285414390849201</c:v>
                </c:pt>
                <c:pt idx="2">
                  <c:v>-0.61552155662425745</c:v>
                </c:pt>
                <c:pt idx="3">
                  <c:v>-0.37484071502471283</c:v>
                </c:pt>
                <c:pt idx="4">
                  <c:v>-0.46351260403507138</c:v>
                </c:pt>
                <c:pt idx="5">
                  <c:v>-0.60285414390849201</c:v>
                </c:pt>
                <c:pt idx="6">
                  <c:v>-0.50911528981182719</c:v>
                </c:pt>
                <c:pt idx="7">
                  <c:v>-0.50404832472552108</c:v>
                </c:pt>
                <c:pt idx="8">
                  <c:v>-0.42551036588777486</c:v>
                </c:pt>
                <c:pt idx="9">
                  <c:v>-0.64085638205578854</c:v>
                </c:pt>
                <c:pt idx="10">
                  <c:v>-0.55218449304542994</c:v>
                </c:pt>
                <c:pt idx="11">
                  <c:v>-0.48884742946660242</c:v>
                </c:pt>
              </c:numCache>
            </c:numRef>
          </c:xVal>
          <c:yVal>
            <c:numRef>
              <c:f>iplot!$P$33:$P$54</c:f>
              <c:numCache>
                <c:formatCode>General</c:formatCode>
                <c:ptCount val="12"/>
                <c:pt idx="0">
                  <c:v>-7.3408765057537434E-2</c:v>
                </c:pt>
                <c:pt idx="1">
                  <c:v>6.23005829112179E-2</c:v>
                </c:pt>
                <c:pt idx="2">
                  <c:v>0.31839801292663772</c:v>
                </c:pt>
                <c:pt idx="3">
                  <c:v>0.12750855822191282</c:v>
                </c:pt>
                <c:pt idx="4">
                  <c:v>0.13669571077167841</c:v>
                </c:pt>
                <c:pt idx="5">
                  <c:v>-3.9292807686311278E-2</c:v>
                </c:pt>
                <c:pt idx="6">
                  <c:v>-1.3643471505183115E-2</c:v>
                </c:pt>
                <c:pt idx="7">
                  <c:v>-6.624983859272715E-2</c:v>
                </c:pt>
                <c:pt idx="8">
                  <c:v>-4.1414285267931755E-2</c:v>
                </c:pt>
                <c:pt idx="9">
                  <c:v>9.6868889349198017E-2</c:v>
                </c:pt>
                <c:pt idx="10">
                  <c:v>-1.0785176368660977E-2</c:v>
                </c:pt>
                <c:pt idx="11">
                  <c:v>0.14834096891113713</c:v>
                </c:pt>
              </c:numCache>
            </c:numRef>
          </c:yVal>
        </c:ser>
        <c:ser>
          <c:idx val="8"/>
          <c:order val="7"/>
          <c:tx>
            <c:v>cut_plane_z</c:v>
          </c:tx>
          <c:spPr>
            <a:ln w="28575">
              <a:noFill/>
            </a:ln>
          </c:spPr>
          <c:marker>
            <c:symbol val="circle"/>
            <c:size val="3"/>
            <c:spPr>
              <a:solidFill>
                <a:srgbClr val="333399"/>
              </a:solidFill>
              <a:ln>
                <a:solidFill>
                  <a:srgbClr val="808080"/>
                </a:solidFill>
                <a:prstDash val="solid"/>
              </a:ln>
            </c:spPr>
          </c:marker>
          <c:xVal>
            <c:numRef>
              <c:f>iplot!$Q$33:$Q$54</c:f>
              <c:numCache>
                <c:formatCode>General</c:formatCode>
                <c:ptCount val="12"/>
                <c:pt idx="0">
                  <c:v>-0.12331050845868599</c:v>
                </c:pt>
                <c:pt idx="1">
                  <c:v>0.22512676671405663</c:v>
                </c:pt>
                <c:pt idx="2">
                  <c:v>0.32417106416165076</c:v>
                </c:pt>
                <c:pt idx="3">
                  <c:v>-0.37484071502471289</c:v>
                </c:pt>
                <c:pt idx="4">
                  <c:v>0.14761616332919067</c:v>
                </c:pt>
                <c:pt idx="5">
                  <c:v>-5.0866870160126261E-2</c:v>
                </c:pt>
                <c:pt idx="6">
                  <c:v>-0.11483866570585177</c:v>
                </c:pt>
                <c:pt idx="7">
                  <c:v>4.7938949022844721E-2</c:v>
                </c:pt>
                <c:pt idx="8">
                  <c:v>-0.42551036588777491</c:v>
                </c:pt>
                <c:pt idx="9">
                  <c:v>0.17398197442989424</c:v>
                </c:pt>
                <c:pt idx="10">
                  <c:v>-1.9721929706422467E-4</c:v>
                </c:pt>
                <c:pt idx="11">
                  <c:v>-8.1428251223761045E-2</c:v>
                </c:pt>
              </c:numCache>
            </c:numRef>
          </c:xVal>
          <c:yVal>
            <c:numRef>
              <c:f>iplot!$R$33:$R$54</c:f>
              <c:numCache>
                <c:formatCode>General</c:formatCode>
                <c:ptCount val="12"/>
                <c:pt idx="0">
                  <c:v>-0.39283572835869129</c:v>
                </c:pt>
                <c:pt idx="1">
                  <c:v>-0.6809058786616784</c:v>
                </c:pt>
                <c:pt idx="2">
                  <c:v>-0.71863746252063532</c:v>
                </c:pt>
                <c:pt idx="3">
                  <c:v>-0.2169948020627594</c:v>
                </c:pt>
                <c:pt idx="4">
                  <c:v>-0.45002314877312566</c:v>
                </c:pt>
                <c:pt idx="5">
                  <c:v>-0.63067914432713956</c:v>
                </c:pt>
                <c:pt idx="6">
                  <c:v>-0.47320546080076281</c:v>
                </c:pt>
                <c:pt idx="7">
                  <c:v>-0.49494576576917509</c:v>
                </c:pt>
                <c:pt idx="8">
                  <c:v>-0.28660166286171551</c:v>
                </c:pt>
                <c:pt idx="9">
                  <c:v>-0.73071927500686984</c:v>
                </c:pt>
                <c:pt idx="10">
                  <c:v>-0.56107228352818339</c:v>
                </c:pt>
                <c:pt idx="11">
                  <c:v>-0.44775446573520605</c:v>
                </c:pt>
              </c:numCache>
            </c:numRef>
          </c:yVal>
        </c:ser>
        <c:ser>
          <c:idx val="9"/>
          <c:order val="8"/>
          <c:tx>
            <c:v>laby</c:v>
          </c:tx>
          <c:spPr>
            <a:ln w="3175">
              <a:solidFill>
                <a:srgbClr val="C0C0C0"/>
              </a:solidFill>
              <a:prstDash val="solid"/>
            </a:ln>
          </c:spPr>
          <c:marker>
            <c:symbol val="none"/>
          </c:marker>
          <c:dLbls>
            <c:dLbl>
              <c:idx val="0"/>
              <c:tx>
                <c:strRef>
                  <c:f>iplot!$AC$9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
              <c:tx>
                <c:strRef>
                  <c:f>iplot!$AC$10</c:f>
                  <c:strCache>
                    <c:ptCount val="1"/>
                    <c:pt idx="0">
                      <c:v>20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2"/>
              <c:tx>
                <c:strRef>
                  <c:f>iplot!$AC$11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3"/>
              <c:tx>
                <c:strRef>
                  <c:f>iplot!$AC$12</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4"/>
              <c:tx>
                <c:strRef>
                  <c:f>iplot!$AC$13</c:f>
                  <c:strCache>
                    <c:ptCount val="1"/>
                    <c:pt idx="0">
                      <c:v>40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5"/>
              <c:tx>
                <c:strRef>
                  <c:f>iplot!$AC$14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6"/>
              <c:tx>
                <c:strRef>
                  <c:f>iplot!$AC$15</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7"/>
              <c:tx>
                <c:strRef>
                  <c:f>iplot!$AC$16</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8"/>
              <c:tx>
                <c:strRef>
                  <c:f>iplot!$AC$17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9"/>
              <c:tx>
                <c:strRef>
                  <c:f>iplot!$AC$18</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0"/>
              <c:tx>
                <c:strRef>
                  <c:f>iplot!$AC$19</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1"/>
              <c:tx>
                <c:strRef>
                  <c:f>iplot!$AC$20</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2"/>
              <c:tx>
                <c:strRef>
                  <c:f>iplot!$AC$21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3"/>
              <c:tx>
                <c:strRef>
                  <c:f>iplot!$AC$22</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4"/>
              <c:tx>
                <c:strRef>
                  <c:f>iplot!$AC$23</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5"/>
              <c:tx>
                <c:strRef>
                  <c:f>iplot!$AC$24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6"/>
              <c:tx>
                <c:strRef>
                  <c:f>iplot!$AC$25</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7"/>
              <c:tx>
                <c:strRef>
                  <c:f>iplot!$AC$26</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8"/>
              <c:tx>
                <c:strRef>
                  <c:f>iplot!$AC$27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9"/>
              <c:tx>
                <c:strRef>
                  <c:f>iplot!$AC$28</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20"/>
              <c:tx>
                <c:strRef>
                  <c:f>iplot!$AC$29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elete val="1"/>
          </c:dLbls>
          <c:xVal>
            <c:numRef>
              <c:f>iplot!$AD$9:$AD$29</c:f>
              <c:numCache>
                <c:formatCode>General</c:formatCode>
                <c:ptCount val="21"/>
                <c:pt idx="0">
                  <c:v>-0.4042904075922033</c:v>
                </c:pt>
                <c:pt idx="1">
                  <c:v>-0.43849242192477017</c:v>
                </c:pt>
                <c:pt idx="2">
                  <c:v>-0.4042904075922033</c:v>
                </c:pt>
                <c:pt idx="3">
                  <c:v>-0.16772443312861796</c:v>
                </c:pt>
                <c:pt idx="4">
                  <c:v>-0.20192644746118482</c:v>
                </c:pt>
                <c:pt idx="5">
                  <c:v>-0.16772443312861796</c:v>
                </c:pt>
                <c:pt idx="6">
                  <c:v>6.8841541334967365E-2</c:v>
                </c:pt>
                <c:pt idx="7">
                  <c:v>3.4639527002400493E-2</c:v>
                </c:pt>
                <c:pt idx="8">
                  <c:v>6.8841541334967365E-2</c:v>
                </c:pt>
                <c:pt idx="9">
                  <c:v>6.8841541334967365E-2</c:v>
                </c:pt>
                <c:pt idx="10">
                  <c:v>3.4639527002400493E-2</c:v>
                </c:pt>
                <c:pt idx="11">
                  <c:v>6.8841541334967365E-2</c:v>
                </c:pt>
                <c:pt idx="12">
                  <c:v>6.8841541334967365E-2</c:v>
                </c:pt>
                <c:pt idx="13">
                  <c:v>3.4639527002400493E-2</c:v>
                </c:pt>
                <c:pt idx="14">
                  <c:v>6.8841541334967365E-2</c:v>
                </c:pt>
                <c:pt idx="15">
                  <c:v>6.8841541334967365E-2</c:v>
                </c:pt>
                <c:pt idx="16">
                  <c:v>3.4639527002400493E-2</c:v>
                </c:pt>
                <c:pt idx="17">
                  <c:v>6.8841541334967365E-2</c:v>
                </c:pt>
                <c:pt idx="18">
                  <c:v>6.8841541334967365E-2</c:v>
                </c:pt>
                <c:pt idx="19">
                  <c:v>3.4639527002400493E-2</c:v>
                </c:pt>
                <c:pt idx="20">
                  <c:v>6.8841541334967365E-2</c:v>
                </c:pt>
              </c:numCache>
            </c:numRef>
          </c:xVal>
          <c:yVal>
            <c:numRef>
              <c:f>iplot!$AE$9:$AE$29</c:f>
              <c:numCache>
                <c:formatCode>General</c:formatCode>
                <c:ptCount val="21"/>
                <c:pt idx="0">
                  <c:v>-0.6254823078297409</c:v>
                </c:pt>
                <c:pt idx="1">
                  <c:v>-0.6724669388690363</c:v>
                </c:pt>
                <c:pt idx="2">
                  <c:v>-0.6254823078297409</c:v>
                </c:pt>
                <c:pt idx="3">
                  <c:v>-0.66853379440220273</c:v>
                </c:pt>
                <c:pt idx="4">
                  <c:v>-0.71551842544149813</c:v>
                </c:pt>
                <c:pt idx="5">
                  <c:v>-0.66853379440220273</c:v>
                </c:pt>
                <c:pt idx="6">
                  <c:v>-0.71158528097466456</c:v>
                </c:pt>
                <c:pt idx="7">
                  <c:v>-0.75856991201395996</c:v>
                </c:pt>
                <c:pt idx="8">
                  <c:v>-0.71158528097466456</c:v>
                </c:pt>
                <c:pt idx="9">
                  <c:v>-0.71158528097466456</c:v>
                </c:pt>
                <c:pt idx="10">
                  <c:v>-0.75856991201395996</c:v>
                </c:pt>
                <c:pt idx="11">
                  <c:v>-0.71158528097466456</c:v>
                </c:pt>
                <c:pt idx="12">
                  <c:v>-0.71158528097466456</c:v>
                </c:pt>
                <c:pt idx="13">
                  <c:v>-0.75856991201395996</c:v>
                </c:pt>
                <c:pt idx="14">
                  <c:v>-0.71158528097466456</c:v>
                </c:pt>
                <c:pt idx="15">
                  <c:v>-0.71158528097466456</c:v>
                </c:pt>
                <c:pt idx="16">
                  <c:v>-0.75856991201395996</c:v>
                </c:pt>
                <c:pt idx="17">
                  <c:v>-0.71158528097466456</c:v>
                </c:pt>
                <c:pt idx="18">
                  <c:v>-0.71158528097466456</c:v>
                </c:pt>
                <c:pt idx="19">
                  <c:v>-0.75856991201395996</c:v>
                </c:pt>
                <c:pt idx="20">
                  <c:v>-0.71158528097466456</c:v>
                </c:pt>
              </c:numCache>
            </c:numRef>
          </c:yVal>
        </c:ser>
        <c:ser>
          <c:idx val="10"/>
          <c:order val="9"/>
          <c:tx>
            <c:v>labz</c:v>
          </c:tx>
          <c:spPr>
            <a:ln w="3175">
              <a:solidFill>
                <a:srgbClr val="C0C0C0"/>
              </a:solidFill>
              <a:prstDash val="solid"/>
            </a:ln>
          </c:spPr>
          <c:marker>
            <c:symbol val="none"/>
          </c:marker>
          <c:dLbls>
            <c:dLbl>
              <c:idx val="0"/>
              <c:tx>
                <c:strRef>
                  <c:f>iplot!$AH$9</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
              <c:tx>
                <c:strRef>
                  <c:f>iplot!$AH$10</c:f>
                  <c:strCache>
                    <c:ptCount val="1"/>
                    <c:pt idx="0">
                      <c:v>20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2"/>
              <c:tx>
                <c:strRef>
                  <c:f>iplot!$AH$11</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3"/>
              <c:tx>
                <c:strRef>
                  <c:f>iplot!$AH$12</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4"/>
              <c:tx>
                <c:strRef>
                  <c:f>iplot!$AH$13</c:f>
                  <c:strCache>
                    <c:ptCount val="1"/>
                    <c:pt idx="0">
                      <c:v>40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5"/>
              <c:tx>
                <c:strRef>
                  <c:f>iplot!$AH$14</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6"/>
              <c:tx>
                <c:strRef>
                  <c:f>iplot!$AH$15</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7"/>
              <c:tx>
                <c:strRef>
                  <c:f>iplot!$AH$16</c:f>
                  <c:strCache>
                    <c:ptCount val="1"/>
                    <c:pt idx="0">
                      <c:v>60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8"/>
              <c:tx>
                <c:strRef>
                  <c:f>iplot!$AH$17</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9"/>
              <c:tx>
                <c:strRef>
                  <c:f>iplot!$AH$18</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0"/>
              <c:tx>
                <c:strRef>
                  <c:f>iplot!$AH$19</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1"/>
              <c:tx>
                <c:strRef>
                  <c:f>iplot!$AH$20</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2"/>
              <c:tx>
                <c:strRef>
                  <c:f>iplot!$AH$21</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3"/>
              <c:tx>
                <c:strRef>
                  <c:f>iplot!$AH$22</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4"/>
              <c:tx>
                <c:strRef>
                  <c:f>iplot!$AH$23</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5"/>
              <c:tx>
                <c:strRef>
                  <c:f>iplot!$AH$24</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6"/>
              <c:tx>
                <c:strRef>
                  <c:f>iplot!$AH$25</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7"/>
              <c:tx>
                <c:strRef>
                  <c:f>iplot!$AH$26</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8"/>
              <c:tx>
                <c:strRef>
                  <c:f>iplot!$AH$27</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9"/>
              <c:tx>
                <c:strRef>
                  <c:f>iplot!$AH$28</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20"/>
              <c:tx>
                <c:strRef>
                  <c:f>iplot!$AH$29</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elete val="1"/>
          </c:dLbls>
          <c:xVal>
            <c:numRef>
              <c:f>iplot!$AI$9:$AI$29</c:f>
              <c:numCache>
                <c:formatCode>General</c:formatCode>
                <c:ptCount val="21"/>
                <c:pt idx="0">
                  <c:v>0.64085638205578854</c:v>
                </c:pt>
                <c:pt idx="1">
                  <c:v>0.73482564413437945</c:v>
                </c:pt>
                <c:pt idx="2">
                  <c:v>0.64085638205578854</c:v>
                </c:pt>
                <c:pt idx="3">
                  <c:v>0.64085638205578854</c:v>
                </c:pt>
                <c:pt idx="4">
                  <c:v>0.73482564413437945</c:v>
                </c:pt>
                <c:pt idx="5">
                  <c:v>0.64085638205578854</c:v>
                </c:pt>
                <c:pt idx="6">
                  <c:v>0.64085638205578854</c:v>
                </c:pt>
                <c:pt idx="7">
                  <c:v>0.73482564413437945</c:v>
                </c:pt>
                <c:pt idx="8">
                  <c:v>0.64085638205578854</c:v>
                </c:pt>
                <c:pt idx="9">
                  <c:v>0.64085638205578854</c:v>
                </c:pt>
                <c:pt idx="10">
                  <c:v>0.73482564413437945</c:v>
                </c:pt>
                <c:pt idx="11">
                  <c:v>0.64085638205578854</c:v>
                </c:pt>
                <c:pt idx="12">
                  <c:v>0.64085638205578854</c:v>
                </c:pt>
                <c:pt idx="13">
                  <c:v>0.73482564413437945</c:v>
                </c:pt>
                <c:pt idx="14">
                  <c:v>0.64085638205578854</c:v>
                </c:pt>
                <c:pt idx="15">
                  <c:v>0.64085638205578854</c:v>
                </c:pt>
                <c:pt idx="16">
                  <c:v>0.73482564413437945</c:v>
                </c:pt>
                <c:pt idx="17">
                  <c:v>0.64085638205578854</c:v>
                </c:pt>
                <c:pt idx="18">
                  <c:v>0.64085638205578854</c:v>
                </c:pt>
                <c:pt idx="19">
                  <c:v>0.73482564413437945</c:v>
                </c:pt>
                <c:pt idx="20">
                  <c:v>0.64085638205578854</c:v>
                </c:pt>
              </c:numCache>
            </c:numRef>
          </c:xVal>
          <c:yVal>
            <c:numRef>
              <c:f>iplot!$AJ$9:$AJ$29</c:f>
              <c:numCache>
                <c:formatCode>General</c:formatCode>
                <c:ptCount val="21"/>
                <c:pt idx="0">
                  <c:v>-9.5290676535133678E-2</c:v>
                </c:pt>
                <c:pt idx="1">
                  <c:v>-0.11239168370141711</c:v>
                </c:pt>
                <c:pt idx="2">
                  <c:v>-9.5290676535133678E-2</c:v>
                </c:pt>
                <c:pt idx="3">
                  <c:v>9.3013229456892291E-2</c:v>
                </c:pt>
                <c:pt idx="4">
                  <c:v>7.5912222290608858E-2</c:v>
                </c:pt>
                <c:pt idx="5">
                  <c:v>9.3013229456892291E-2</c:v>
                </c:pt>
                <c:pt idx="6">
                  <c:v>0.28131713544891823</c:v>
                </c:pt>
                <c:pt idx="7">
                  <c:v>0.26421612828263485</c:v>
                </c:pt>
                <c:pt idx="8">
                  <c:v>0.28131713544891823</c:v>
                </c:pt>
                <c:pt idx="9">
                  <c:v>0.46962104144094419</c:v>
                </c:pt>
                <c:pt idx="10">
                  <c:v>0.45252003427466075</c:v>
                </c:pt>
                <c:pt idx="11">
                  <c:v>0.46962104144094419</c:v>
                </c:pt>
                <c:pt idx="12">
                  <c:v>0.46962104144094419</c:v>
                </c:pt>
                <c:pt idx="13">
                  <c:v>0.45252003427466075</c:v>
                </c:pt>
                <c:pt idx="14">
                  <c:v>0.46962104144094419</c:v>
                </c:pt>
                <c:pt idx="15">
                  <c:v>0.46962104144094419</c:v>
                </c:pt>
                <c:pt idx="16">
                  <c:v>0.45252003427466075</c:v>
                </c:pt>
                <c:pt idx="17">
                  <c:v>0.46962104144094419</c:v>
                </c:pt>
                <c:pt idx="18">
                  <c:v>0.46962104144094419</c:v>
                </c:pt>
                <c:pt idx="19">
                  <c:v>0.45252003427466075</c:v>
                </c:pt>
                <c:pt idx="20">
                  <c:v>0.46962104144094419</c:v>
                </c:pt>
              </c:numCache>
            </c:numRef>
          </c:yVal>
        </c:ser>
        <c:ser>
          <c:idx val="2"/>
          <c:order val="10"/>
          <c:tx>
            <c:v>data</c:v>
          </c:tx>
          <c:spPr>
            <a:ln w="28575">
              <a:noFill/>
            </a:ln>
          </c:spPr>
          <c:marker>
            <c:symbol val="circle"/>
            <c:size val="12"/>
            <c:spPr>
              <a:solidFill>
                <a:srgbClr val="004770"/>
              </a:solidFill>
              <a:ln>
                <a:solidFill>
                  <a:srgbClr val="000000"/>
                </a:solidFill>
                <a:prstDash val="solid"/>
              </a:ln>
            </c:spPr>
          </c:marker>
          <c:dLbls>
            <c:dLbl>
              <c:idx val="0"/>
              <c:tx>
                <c:strRef>
                  <c:f>iplot!$B$33</c:f>
                  <c:strCache>
                    <c:ptCount val="1"/>
                    <c:pt idx="0">
                      <c:v>Asunción</c:v>
                    </c:pt>
                  </c:strCache>
                </c:strRef>
              </c:tx>
              <c:dLblPos val="t"/>
              <c:showVal val="1"/>
            </c:dLbl>
            <c:dLbl>
              <c:idx val="1"/>
              <c:tx>
                <c:strRef>
                  <c:f>iplot!$B$34</c:f>
                  <c:strCache>
                    <c:ptCount val="1"/>
                    <c:pt idx="0">
                      <c:v>Bogotá</c:v>
                    </c:pt>
                  </c:strCache>
                </c:strRef>
              </c:tx>
              <c:dLblPos val="t"/>
              <c:showVal val="1"/>
            </c:dLbl>
            <c:dLbl>
              <c:idx val="2"/>
              <c:tx>
                <c:strRef>
                  <c:f>iplot!$B$35</c:f>
                  <c:strCache>
                    <c:ptCount val="1"/>
                    <c:pt idx="0">
                      <c:v>Buenos Aires</c:v>
                    </c:pt>
                  </c:strCache>
                </c:strRef>
              </c:tx>
              <c:dLblPos val="t"/>
              <c:showVal val="1"/>
            </c:dLbl>
            <c:dLbl>
              <c:idx val="3"/>
              <c:tx>
                <c:strRef>
                  <c:f>iplot!$B$36</c:f>
                  <c:strCache>
                    <c:ptCount val="1"/>
                    <c:pt idx="0">
                      <c:v>Ciudad de Belice</c:v>
                    </c:pt>
                  </c:strCache>
                </c:strRef>
              </c:tx>
              <c:dLblPos val="t"/>
              <c:showVal val="1"/>
            </c:dLbl>
            <c:dLbl>
              <c:idx val="4"/>
              <c:tx>
                <c:strRef>
                  <c:f>iplot!$B$37</c:f>
                  <c:strCache>
                    <c:ptCount val="1"/>
                    <c:pt idx="0">
                      <c:v>Ciudad de México</c:v>
                    </c:pt>
                  </c:strCache>
                </c:strRef>
              </c:tx>
              <c:dLblPos val="t"/>
              <c:showVal val="1"/>
            </c:dLbl>
            <c:dLbl>
              <c:idx val="5"/>
              <c:tx>
                <c:strRef>
                  <c:f>iplot!$B$38</c:f>
                  <c:strCache>
                    <c:ptCount val="1"/>
                    <c:pt idx="0">
                      <c:v>Lima</c:v>
                    </c:pt>
                  </c:strCache>
                </c:strRef>
              </c:tx>
              <c:dLblPos val="t"/>
              <c:showVal val="1"/>
            </c:dLbl>
            <c:dLbl>
              <c:idx val="6"/>
              <c:tx>
                <c:strRef>
                  <c:f>iplot!$B$39</c:f>
                  <c:strCache>
                    <c:ptCount val="1"/>
                    <c:pt idx="0">
                      <c:v>Montevideo</c:v>
                    </c:pt>
                  </c:strCache>
                </c:strRef>
              </c:tx>
              <c:dLblPos val="t"/>
              <c:showVal val="1"/>
            </c:dLbl>
            <c:dLbl>
              <c:idx val="7"/>
              <c:tx>
                <c:strRef>
                  <c:f>iplot!$B$40</c:f>
                  <c:strCache>
                    <c:ptCount val="1"/>
                    <c:pt idx="0">
                      <c:v>Quito</c:v>
                    </c:pt>
                  </c:strCache>
                </c:strRef>
              </c:tx>
              <c:dLblPos val="t"/>
              <c:showVal val="1"/>
            </c:dLbl>
            <c:dLbl>
              <c:idx val="8"/>
              <c:tx>
                <c:strRef>
                  <c:f>iplot!$B$41</c:f>
                  <c:strCache>
                    <c:ptCount val="1"/>
                    <c:pt idx="0">
                      <c:v>San José</c:v>
                    </c:pt>
                  </c:strCache>
                </c:strRef>
              </c:tx>
              <c:dLblPos val="t"/>
              <c:showVal val="1"/>
            </c:dLbl>
            <c:dLbl>
              <c:idx val="9"/>
              <c:tx>
                <c:strRef>
                  <c:f>iplot!$B$42</c:f>
                  <c:strCache>
                    <c:ptCount val="1"/>
                    <c:pt idx="0">
                      <c:v>San Pablo</c:v>
                    </c:pt>
                  </c:strCache>
                </c:strRef>
              </c:tx>
              <c:dLblPos val="t"/>
              <c:showVal val="1"/>
            </c:dLbl>
            <c:dLbl>
              <c:idx val="10"/>
              <c:tx>
                <c:strRef>
                  <c:f>iplot!$B$43</c:f>
                  <c:strCache>
                    <c:ptCount val="1"/>
                    <c:pt idx="0">
                      <c:v>Santa Cruz</c:v>
                    </c:pt>
                  </c:strCache>
                </c:strRef>
              </c:tx>
              <c:dLblPos val="t"/>
              <c:showVal val="1"/>
            </c:dLbl>
            <c:dLbl>
              <c:idx val="11"/>
              <c:tx>
                <c:strRef>
                  <c:f>iplot!$B$44</c:f>
                  <c:strCache>
                    <c:ptCount val="1"/>
                    <c:pt idx="0">
                      <c:v>Santiago de Chile</c:v>
                    </c:pt>
                  </c:strCache>
                </c:strRef>
              </c:tx>
              <c:dLblPos val="t"/>
              <c:showVal val="1"/>
            </c:dLbl>
            <c:dLbl>
              <c:idx val="12"/>
              <c:tx>
                <c:strRef>
                  <c:f>iplot!$B$45</c:f>
                  <c:strCache>
                    <c:ptCount val="1"/>
                    <c:pt idx="0">
                      <c:v>Escriba el nombre de la ciudad: incompleto</c:v>
                    </c:pt>
                  </c:strCache>
                </c:strRef>
              </c:tx>
              <c:dLblPos val="t"/>
              <c:showVal val="1"/>
            </c:dLbl>
            <c:dLbl>
              <c:idx val="13"/>
              <c:tx>
                <c:strRef>
                  <c:f>iplot!$B$46</c:f>
                  <c:strCache>
                    <c:ptCount val="1"/>
                    <c:pt idx="0">
                      <c:v>Ciudad_02: incompleto</c:v>
                    </c:pt>
                  </c:strCache>
                </c:strRef>
              </c:tx>
              <c:dLblPos val="t"/>
              <c:showVal val="1"/>
            </c:dLbl>
            <c:dLbl>
              <c:idx val="14"/>
              <c:tx>
                <c:strRef>
                  <c:f>iplot!$B$47</c:f>
                  <c:strCache>
                    <c:ptCount val="1"/>
                    <c:pt idx="0">
                      <c:v>Ciudad_03: incompleto</c:v>
                    </c:pt>
                  </c:strCache>
                </c:strRef>
              </c:tx>
              <c:dLblPos val="t"/>
              <c:showVal val="1"/>
            </c:dLbl>
            <c:dLbl>
              <c:idx val="15"/>
              <c:tx>
                <c:strRef>
                  <c:f>iplot!$B$48</c:f>
                  <c:strCache>
                    <c:ptCount val="1"/>
                    <c:pt idx="0">
                      <c:v>Ciudad_04: incompleto</c:v>
                    </c:pt>
                  </c:strCache>
                </c:strRef>
              </c:tx>
              <c:dLblPos val="t"/>
              <c:showVal val="1"/>
            </c:dLbl>
            <c:dLbl>
              <c:idx val="16"/>
              <c:tx>
                <c:strRef>
                  <c:f>iplot!$B$49</c:f>
                  <c:strCache>
                    <c:ptCount val="1"/>
                    <c:pt idx="0">
                      <c:v>Ciudad_05: incompleto</c:v>
                    </c:pt>
                  </c:strCache>
                </c:strRef>
              </c:tx>
              <c:dLblPos val="t"/>
              <c:showVal val="1"/>
            </c:dLbl>
            <c:dLbl>
              <c:idx val="17"/>
              <c:tx>
                <c:strRef>
                  <c:f>iplot!$B$50</c:f>
                  <c:strCache>
                    <c:ptCount val="1"/>
                    <c:pt idx="0">
                      <c:v>Ciudad_06: incompleto</c:v>
                    </c:pt>
                  </c:strCache>
                </c:strRef>
              </c:tx>
              <c:dLblPos val="t"/>
              <c:showVal val="1"/>
            </c:dLbl>
            <c:dLbl>
              <c:idx val="18"/>
              <c:tx>
                <c:strRef>
                  <c:f>iplot!$B$51</c:f>
                  <c:strCache>
                    <c:ptCount val="1"/>
                    <c:pt idx="0">
                      <c:v>Ciudad_07: incompleto</c:v>
                    </c:pt>
                  </c:strCache>
                </c:strRef>
              </c:tx>
              <c:dLblPos val="t"/>
              <c:showVal val="1"/>
            </c:dLbl>
            <c:dLbl>
              <c:idx val="19"/>
              <c:tx>
                <c:strRef>
                  <c:f>iplot!$B$52</c:f>
                  <c:strCache>
                    <c:ptCount val="1"/>
                    <c:pt idx="0">
                      <c:v>Ciudad_08: incompleto</c:v>
                    </c:pt>
                  </c:strCache>
                </c:strRef>
              </c:tx>
              <c:dLblPos val="t"/>
              <c:showVal val="1"/>
            </c:dLbl>
            <c:dLbl>
              <c:idx val="20"/>
              <c:tx>
                <c:strRef>
                  <c:f>iplot!$B$53</c:f>
                  <c:strCache>
                    <c:ptCount val="1"/>
                    <c:pt idx="0">
                      <c:v>Ciudad_09: incompleto</c:v>
                    </c:pt>
                  </c:strCache>
                </c:strRef>
              </c:tx>
              <c:dLblPos val="t"/>
              <c:showVal val="1"/>
            </c:dLbl>
            <c:dLbl>
              <c:idx val="21"/>
              <c:tx>
                <c:rich>
                  <a:bodyPr/>
                  <a:lstStyle/>
                  <a:p>
                    <a:r>
                      <a:rPr lang="en-US"/>
                      <a:t>.</a:t>
                    </a:r>
                  </a:p>
                </c:rich>
              </c:tx>
              <c:dLblPos val="t"/>
              <c:showVal val="1"/>
            </c:dLbl>
            <c:txPr>
              <a:bodyPr/>
              <a:lstStyle/>
              <a:p>
                <a:pPr>
                  <a:defRPr sz="1000">
                    <a:latin typeface="Arial" pitchFamily="34" charset="0"/>
                    <a:cs typeface="Arial" pitchFamily="34" charset="0"/>
                  </a:defRPr>
                </a:pPr>
                <a:endParaRPr lang="en-US"/>
              </a:p>
            </c:txPr>
            <c:dLblPos val="t"/>
            <c:showVal val="1"/>
          </c:dLbls>
          <c:errBars>
            <c:errDir val="y"/>
            <c:errBarType val="minus"/>
            <c:errValType val="cust"/>
            <c:noEndCap val="1"/>
            <c:minus>
              <c:numRef>
                <c:f>iplot!$G$33:$G$54</c:f>
                <c:numCache>
                  <c:formatCode>General</c:formatCode>
                  <c:ptCount val="12"/>
                  <c:pt idx="0">
                    <c:v>0.25843735732349959</c:v>
                  </c:pt>
                  <c:pt idx="1">
                    <c:v>0.59252625856927987</c:v>
                  </c:pt>
                  <c:pt idx="2">
                    <c:v>0.8660254037844386</c:v>
                  </c:pt>
                  <c:pt idx="3">
                    <c:v>0.34450336028467221</c:v>
                  </c:pt>
                  <c:pt idx="4">
                    <c:v>0.47550251923261105</c:v>
                  </c:pt>
                  <c:pt idx="5">
                    <c:v>0.49093286797175073</c:v>
                  </c:pt>
                  <c:pt idx="6">
                    <c:v>0.38780951167481004</c:v>
                  </c:pt>
                  <c:pt idx="7">
                    <c:v>0.32824245850737033</c:v>
                  </c:pt>
                  <c:pt idx="8">
                    <c:v>0.24518737759378376</c:v>
                  </c:pt>
                  <c:pt idx="9">
                    <c:v>0.67929971060647709</c:v>
                  </c:pt>
                  <c:pt idx="10">
                    <c:v>0.44983363849044483</c:v>
                  </c:pt>
                  <c:pt idx="11">
                    <c:v>0.5219512077715478</c:v>
                  </c:pt>
                </c:numCache>
              </c:numRef>
            </c:minus>
            <c:spPr>
              <a:ln w="12700">
                <a:solidFill>
                  <a:srgbClr val="000000"/>
                </a:solidFill>
                <a:prstDash val="solid"/>
              </a:ln>
            </c:spPr>
          </c:errBars>
          <c:xVal>
            <c:numRef>
              <c:f>iplot!$K$33:$K$54</c:f>
              <c:numCache>
                <c:formatCode>General</c:formatCode>
                <c:ptCount val="12"/>
                <c:pt idx="0">
                  <c:v>-0.12331050845868596</c:v>
                </c:pt>
                <c:pt idx="1">
                  <c:v>0.22512676671405671</c:v>
                </c:pt>
                <c:pt idx="2">
                  <c:v>0.32417106416165087</c:v>
                </c:pt>
                <c:pt idx="3">
                  <c:v>-0.37484071502471283</c:v>
                </c:pt>
                <c:pt idx="4">
                  <c:v>0.14761616332919072</c:v>
                </c:pt>
                <c:pt idx="5">
                  <c:v>-5.0866870160126192E-2</c:v>
                </c:pt>
                <c:pt idx="6">
                  <c:v>-0.11483866570585172</c:v>
                </c:pt>
                <c:pt idx="7">
                  <c:v>4.7938949022844769E-2</c:v>
                </c:pt>
                <c:pt idx="8">
                  <c:v>-0.42551036588777486</c:v>
                </c:pt>
                <c:pt idx="9">
                  <c:v>0.17398197442989433</c:v>
                </c:pt>
                <c:pt idx="10">
                  <c:v>-1.9721929706416103E-4</c:v>
                </c:pt>
                <c:pt idx="11">
                  <c:v>-8.1428251223760975E-2</c:v>
                </c:pt>
              </c:numCache>
            </c:numRef>
          </c:xVal>
          <c:yVal>
            <c:numRef>
              <c:f>iplot!$L$33:$L$54</c:f>
              <c:numCache>
                <c:formatCode>General</c:formatCode>
                <c:ptCount val="12"/>
                <c:pt idx="0">
                  <c:v>-0.1343983710351917</c:v>
                </c:pt>
                <c:pt idx="1">
                  <c:v>-8.8379620092398498E-2</c:v>
                </c:pt>
                <c:pt idx="2">
                  <c:v>0.14738794126380333</c:v>
                </c:pt>
                <c:pt idx="3">
                  <c:v>0.12750855822191282</c:v>
                </c:pt>
                <c:pt idx="4">
                  <c:v>2.5479370459485395E-2</c:v>
                </c:pt>
                <c:pt idx="5">
                  <c:v>-0.13974627635538886</c:v>
                </c:pt>
                <c:pt idx="6">
                  <c:v>-8.5395949125952803E-2</c:v>
                </c:pt>
                <c:pt idx="7">
                  <c:v>-0.16670330726180474</c:v>
                </c:pt>
                <c:pt idx="8">
                  <c:v>-4.1414285267931755E-2</c:v>
                </c:pt>
                <c:pt idx="9">
                  <c:v>-5.1419564400392692E-2</c:v>
                </c:pt>
                <c:pt idx="10">
                  <c:v>-0.11123864503773856</c:v>
                </c:pt>
                <c:pt idx="11">
                  <c:v>7.4196742036341773E-2</c:v>
                </c:pt>
              </c:numCache>
            </c:numRef>
          </c:yVal>
        </c:ser>
        <c:axId val="151078016"/>
        <c:axId val="151079552"/>
      </c:scatterChart>
      <c:valAx>
        <c:axId val="151078016"/>
        <c:scaling>
          <c:orientation val="minMax"/>
          <c:max val="1.1000000000000001"/>
          <c:min val="-1.1000000000000001"/>
        </c:scaling>
        <c:delete val="1"/>
        <c:axPos val="b"/>
        <c:numFmt formatCode="General" sourceLinked="1"/>
        <c:tickLblPos val="none"/>
        <c:crossAx val="151079552"/>
        <c:crosses val="autoZero"/>
        <c:crossBetween val="midCat"/>
      </c:valAx>
      <c:valAx>
        <c:axId val="151079552"/>
        <c:scaling>
          <c:orientation val="minMax"/>
          <c:max val="1.1000000000000001"/>
          <c:min val="-1.1000000000000001"/>
        </c:scaling>
        <c:delete val="1"/>
        <c:axPos val="l"/>
        <c:numFmt formatCode="General" sourceLinked="1"/>
        <c:tickLblPos val="none"/>
        <c:crossAx val="151078016"/>
        <c:crosses val="autoZero"/>
        <c:crossBetween val="midCat"/>
      </c:valAx>
      <c:spPr>
        <a:noFill/>
        <a:ln w="25400">
          <a:noFill/>
        </a:ln>
      </c:spPr>
    </c:plotArea>
    <c:plotVisOnly val="1"/>
    <c:dispBlanksAs val="gap"/>
  </c:chart>
  <c:spPr>
    <a:solidFill>
      <a:srgbClr val="FFFFFF"/>
    </a:solidFill>
    <a:ln w="3175">
      <a:solidFill>
        <a:srgbClr val="C0C0C0"/>
      </a:solidFill>
      <a:prstDash val="solid"/>
    </a:ln>
  </c:spPr>
  <c:txPr>
    <a:bodyPr/>
    <a:lstStyle/>
    <a:p>
      <a:pPr>
        <a:defRPr sz="800" b="0" i="0" u="none" strike="noStrike" baseline="0">
          <a:solidFill>
            <a:srgbClr val="000000"/>
          </a:solidFill>
          <a:latin typeface="Verdana"/>
          <a:ea typeface="Verdana"/>
          <a:cs typeface="Verdana"/>
        </a:defRPr>
      </a:pPr>
      <a:endParaRPr lang="en-US"/>
    </a:p>
  </c:txPr>
  <c:printSettings>
    <c:headerFooter/>
    <c:pageMargins b="1" l="0.75000000000000999" r="0.75000000000000999"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GB"/>
  <c:style val="3"/>
  <c:chart>
    <c:plotArea>
      <c:layout>
        <c:manualLayout>
          <c:layoutTarget val="inner"/>
          <c:xMode val="edge"/>
          <c:yMode val="edge"/>
          <c:x val="0.26967225127881389"/>
          <c:y val="0.22653630796150481"/>
          <c:w val="0.67961822518535564"/>
          <c:h val="0.71220618953728088"/>
        </c:manualLayout>
      </c:layout>
      <c:barChart>
        <c:barDir val="bar"/>
        <c:grouping val="clustered"/>
        <c:ser>
          <c:idx val="0"/>
          <c:order val="0"/>
          <c:tx>
            <c:strRef>
              <c:f>iCCompSpider!$BD$77</c:f>
              <c:strCache>
                <c:ptCount val="1"/>
                <c:pt idx="0">
                  <c:v>Asunción</c:v>
                </c:pt>
              </c:strCache>
            </c:strRef>
          </c:tx>
          <c:spPr>
            <a:solidFill>
              <a:schemeClr val="accent1"/>
            </a:solidFill>
          </c:spPr>
          <c:dLbls>
            <c:numFmt formatCode="#,##0.0" sourceLinked="0"/>
            <c:spPr>
              <a:solidFill>
                <a:schemeClr val="bg1"/>
              </a:solidFill>
            </c:spPr>
            <c:dLblPos val="inBase"/>
            <c:showVal val="1"/>
          </c:dLbls>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iCCompSpider!$BD$78:$BD$88</c:f>
              <c:numCache>
                <c:formatCode>General</c:formatCode>
                <c:ptCount val="4"/>
                <c:pt idx="0">
                  <c:v>25</c:v>
                </c:pt>
                <c:pt idx="1">
                  <c:v>31.25</c:v>
                </c:pt>
                <c:pt idx="2">
                  <c:v>25</c:v>
                </c:pt>
                <c:pt idx="3">
                  <c:v>50</c:v>
                </c:pt>
              </c:numCache>
            </c:numRef>
          </c:val>
        </c:ser>
        <c:ser>
          <c:idx val="4"/>
          <c:order val="1"/>
          <c:tx>
            <c:strRef>
              <c:f>iCCompSpider!$BH$77</c:f>
              <c:strCache>
                <c:ptCount val="1"/>
                <c:pt idx="0">
                  <c:v>Promedio de todas las ciudades</c:v>
                </c:pt>
              </c:strCache>
            </c:strRef>
          </c:tx>
          <c:spPr>
            <a:solidFill>
              <a:srgbClr val="F08221"/>
            </a:solidFill>
            <a:ln w="22225">
              <a:noFill/>
              <a:prstDash val="dash"/>
            </a:ln>
          </c:spPr>
          <c:dLbls>
            <c:numFmt formatCode="#,##0.0" sourceLinked="0"/>
            <c:spPr>
              <a:solidFill>
                <a:schemeClr val="bg1"/>
              </a:solidFill>
            </c:spPr>
            <c:dLblPos val="inBase"/>
            <c:showVal val="1"/>
          </c:dLbls>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iCCompSpider!$BH$78:$BH$88</c:f>
              <c:numCache>
                <c:formatCode>General</c:formatCode>
                <c:ptCount val="4"/>
                <c:pt idx="0">
                  <c:v>43.75</c:v>
                </c:pt>
                <c:pt idx="1">
                  <c:v>40.116666666666667</c:v>
                </c:pt>
                <c:pt idx="2">
                  <c:v>31.25</c:v>
                </c:pt>
                <c:pt idx="3">
                  <c:v>66.666666666666671</c:v>
                </c:pt>
              </c:numCache>
            </c:numRef>
          </c:val>
        </c:ser>
        <c:axId val="151826816"/>
        <c:axId val="151828352"/>
      </c:barChart>
      <c:catAx>
        <c:axId val="151826816"/>
        <c:scaling>
          <c:orientation val="maxMin"/>
        </c:scaling>
        <c:axPos val="l"/>
        <c:majorGridlines/>
        <c:numFmt formatCode="General" sourceLinked="0"/>
        <c:tickLblPos val="nextTo"/>
        <c:crossAx val="151828352"/>
        <c:crosses val="autoZero"/>
        <c:auto val="1"/>
        <c:lblAlgn val="ctr"/>
        <c:lblOffset val="100"/>
      </c:catAx>
      <c:valAx>
        <c:axId val="151828352"/>
        <c:scaling>
          <c:orientation val="minMax"/>
          <c:max val="100"/>
          <c:min val="0"/>
        </c:scaling>
        <c:axPos val="t"/>
        <c:majorGridlines/>
        <c:numFmt formatCode="General" sourceLinked="1"/>
        <c:majorTickMark val="cross"/>
        <c:tickLblPos val="nextTo"/>
        <c:crossAx val="151826816"/>
        <c:crosses val="autoZero"/>
        <c:crossBetween val="between"/>
        <c:majorUnit val="50"/>
      </c:valAx>
    </c:plotArea>
    <c:legend>
      <c:legendPos val="t"/>
      <c:layout>
        <c:manualLayout>
          <c:xMode val="edge"/>
          <c:yMode val="edge"/>
          <c:x val="0.36977753294222898"/>
          <c:y val="1.3201320132013522E-2"/>
          <c:w val="0.46621481078936688"/>
          <c:h val="0.14319672912173106"/>
        </c:manualLayout>
      </c:layout>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2.7504286442835639E-2"/>
          <c:y val="1.3905022306704845E-2"/>
          <c:w val="0.97218863361549956"/>
          <c:h val="0.97334878331402164"/>
        </c:manualLayout>
      </c:layout>
      <c:scatterChart>
        <c:scatterStyle val="lineMarker"/>
        <c:ser>
          <c:idx val="0"/>
          <c:order val="0"/>
          <c:tx>
            <c:v>cage</c:v>
          </c:tx>
          <c:spPr>
            <a:ln w="3175">
              <a:solidFill>
                <a:srgbClr val="969696"/>
              </a:solidFill>
              <a:prstDash val="solid"/>
            </a:ln>
          </c:spPr>
          <c:marker>
            <c:symbol val="none"/>
          </c:marker>
          <c:dLbls>
            <c:dLbl>
              <c:idx val="0"/>
              <c:delete val="1"/>
            </c:dLbl>
            <c:dLbl>
              <c:idx val="1"/>
              <c:delete val="1"/>
            </c:dLbl>
            <c:dLbl>
              <c:idx val="2"/>
              <c:delete val="1"/>
            </c:dLbl>
            <c:dLbl>
              <c:idx val="3"/>
              <c:delete val="1"/>
            </c:dLbl>
            <c:dLbl>
              <c:idx val="4"/>
              <c:tx>
                <c:strRef>
                  <c:f>iplot!$C$32</c:f>
                  <c:strCache>
                    <c:ptCount val="1"/>
                    <c:pt idx="0">
                      <c:v>x-value</c:v>
                    </c:pt>
                  </c:strCache>
                </c:strRef>
              </c:tx>
              <c:dLblPos val="l"/>
            </c:dLbl>
            <c:dLbl>
              <c:idx val="5"/>
              <c:delete val="1"/>
            </c:dLbl>
            <c:dLbl>
              <c:idx val="6"/>
              <c:delete val="1"/>
            </c:dLbl>
            <c:dLbl>
              <c:idx val="7"/>
              <c:delete val="1"/>
            </c:dLbl>
            <c:dLbl>
              <c:idx val="8"/>
              <c:tx>
                <c:strRef>
                  <c:f>iplot!$D$3</c:f>
                  <c:strCache>
                    <c:ptCount val="1"/>
                    <c:pt idx="0">
                      <c:v>3) MERCADO</c:v>
                    </c:pt>
                  </c:strCache>
                </c:strRef>
              </c:tx>
              <c:dLblPos val="t"/>
            </c:dLbl>
            <c:dLbl>
              <c:idx val="9"/>
              <c:delete val="1"/>
            </c:dLbl>
            <c:dLbl>
              <c:idx val="10"/>
              <c:tx>
                <c:strRef>
                  <c:f>iplot!$D$32</c:f>
                  <c:strCache>
                    <c:ptCount val="1"/>
                    <c:pt idx="0">
                      <c:v>y-value</c:v>
                    </c:pt>
                  </c:strCache>
                </c:strRef>
              </c:tx>
              <c:dLblPos val="r"/>
            </c:dLbl>
            <c:spPr>
              <a:noFill/>
              <a:ln w="25400">
                <a:noFill/>
              </a:ln>
            </c:spPr>
            <c:txPr>
              <a:bodyPr/>
              <a:lstStyle/>
              <a:p>
                <a:pPr>
                  <a:defRPr sz="1200" b="1" i="0" u="none" strike="noStrike" baseline="0">
                    <a:solidFill>
                      <a:srgbClr val="000000"/>
                    </a:solidFill>
                    <a:latin typeface="Verdana"/>
                    <a:ea typeface="Verdana"/>
                    <a:cs typeface="Verdana"/>
                  </a:defRPr>
                </a:pPr>
                <a:endParaRPr lang="en-US"/>
              </a:p>
            </c:txPr>
            <c:showVal val="1"/>
          </c:dLbls>
          <c:xVal>
            <c:numRef>
              <c:f>iplot!$N$10:$N$20</c:f>
              <c:numCache>
                <c:formatCode>General</c:formatCode>
                <c:ptCount val="11"/>
                <c:pt idx="0">
                  <c:v>-0.64085638205578865</c:v>
                </c:pt>
                <c:pt idx="1">
                  <c:v>-0.29883623873011983</c:v>
                </c:pt>
                <c:pt idx="2">
                  <c:v>-0.29883623873011972</c:v>
                </c:pt>
                <c:pt idx="3">
                  <c:v>-0.64085638205578843</c:v>
                </c:pt>
                <c:pt idx="4">
                  <c:v>-0.64085638205578865</c:v>
                </c:pt>
                <c:pt idx="5">
                  <c:v>0.29883623873011972</c:v>
                </c:pt>
                <c:pt idx="6">
                  <c:v>0.64085638205578843</c:v>
                </c:pt>
                <c:pt idx="7">
                  <c:v>0.64085638205578865</c:v>
                </c:pt>
                <c:pt idx="8">
                  <c:v>-0.29883623873011972</c:v>
                </c:pt>
                <c:pt idx="9">
                  <c:v>-0.29883623873011983</c:v>
                </c:pt>
                <c:pt idx="10">
                  <c:v>0.64085638205578843</c:v>
                </c:pt>
              </c:numCache>
            </c:numRef>
          </c:xVal>
          <c:yVal>
            <c:numRef>
              <c:f>iplot!$O$10:$O$20</c:f>
              <c:numCache>
                <c:formatCode>General</c:formatCode>
                <c:ptCount val="11"/>
                <c:pt idx="0">
                  <c:v>-0.58243082125727907</c:v>
                </c:pt>
                <c:pt idx="1">
                  <c:v>-0.11258451086432519</c:v>
                </c:pt>
                <c:pt idx="2">
                  <c:v>0.75344089292011351</c:v>
                </c:pt>
                <c:pt idx="3">
                  <c:v>0.28359458252715963</c:v>
                </c:pt>
                <c:pt idx="4">
                  <c:v>-0.58243082125727907</c:v>
                </c:pt>
                <c:pt idx="5">
                  <c:v>-0.75344089292011351</c:v>
                </c:pt>
                <c:pt idx="6">
                  <c:v>-0.28359458252715963</c:v>
                </c:pt>
                <c:pt idx="7">
                  <c:v>0.58243082125727907</c:v>
                </c:pt>
                <c:pt idx="8">
                  <c:v>0.75344089292011351</c:v>
                </c:pt>
                <c:pt idx="9">
                  <c:v>-0.11258451086432519</c:v>
                </c:pt>
                <c:pt idx="10">
                  <c:v>-0.28359458252715963</c:v>
                </c:pt>
              </c:numCache>
            </c:numRef>
          </c:yVal>
        </c:ser>
        <c:ser>
          <c:idx val="1"/>
          <c:order val="1"/>
          <c:tx>
            <c:v>labx</c:v>
          </c:tx>
          <c:spPr>
            <a:ln w="3175">
              <a:solidFill>
                <a:srgbClr val="C0C0C0"/>
              </a:solidFill>
              <a:prstDash val="solid"/>
            </a:ln>
          </c:spPr>
          <c:marker>
            <c:symbol val="none"/>
          </c:marker>
          <c:dLbls>
            <c:dLbl>
              <c:idx val="0"/>
              <c:tx>
                <c:strRef>
                  <c:f>iplot!$X$9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
              <c:tx>
                <c:strRef>
                  <c:f>iplot!$X$10</c:f>
                  <c:strCache>
                    <c:ptCount val="1"/>
                    <c:pt idx="0">
                      <c:v>10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2"/>
              <c:tx>
                <c:strRef>
                  <c:f>iplot!$X$11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3"/>
              <c:tx>
                <c:strRef>
                  <c:f>iplot!$X$12</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4"/>
              <c:tx>
                <c:strRef>
                  <c:f>iplot!$X$13</c:f>
                  <c:strCache>
                    <c:ptCount val="1"/>
                    <c:pt idx="0">
                      <c:v>20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5"/>
              <c:tx>
                <c:strRef>
                  <c:f>iplot!$X$14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6"/>
              <c:tx>
                <c:strRef>
                  <c:f>iplot!$X$15</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7"/>
              <c:tx>
                <c:strRef>
                  <c:f>iplot!$X$16</c:f>
                  <c:strCache>
                    <c:ptCount val="1"/>
                    <c:pt idx="0">
                      <c:v>30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8"/>
              <c:tx>
                <c:strRef>
                  <c:f>iplot!$X$17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9"/>
              <c:tx>
                <c:strRef>
                  <c:f>iplot!$X$18</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0"/>
              <c:tx>
                <c:strRef>
                  <c:f>iplot!$X$19</c:f>
                  <c:strCache>
                    <c:ptCount val="1"/>
                    <c:pt idx="0">
                      <c:v>40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1"/>
              <c:tx>
                <c:strRef>
                  <c:f>iplot!$X$20</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2"/>
              <c:tx>
                <c:strRef>
                  <c:f>iplot!$X$21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3"/>
              <c:tx>
                <c:strRef>
                  <c:f>iplot!$X$22</c:f>
                  <c:strCache>
                    <c:ptCount val="1"/>
                    <c:pt idx="0">
                      <c:v>50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4"/>
              <c:tx>
                <c:strRef>
                  <c:f>iplot!$X$23</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5"/>
              <c:tx>
                <c:strRef>
                  <c:f>iplot!$X$24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6"/>
              <c:tx>
                <c:strRef>
                  <c:f>iplot!$X$25</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7"/>
              <c:tx>
                <c:strRef>
                  <c:f>iplot!$X$26</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8"/>
              <c:tx>
                <c:strRef>
                  <c:f>iplot!$X$27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9"/>
              <c:tx>
                <c:strRef>
                  <c:f>iplot!$X$28</c:f>
                  <c:strCache>
                    <c:ptCount val="1"/>
                    <c:pt idx="0">
                      <c:v>70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20"/>
              <c:tx>
                <c:strRef>
                  <c:f>iplot!$X$29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elete val="1"/>
          </c:dLbls>
          <c:xVal>
            <c:numRef>
              <c:f>iplot!$Y$9:$Y$29</c:f>
              <c:numCache>
                <c:formatCode>General</c:formatCode>
                <c:ptCount val="21"/>
                <c:pt idx="0">
                  <c:v>0.59221351722724891</c:v>
                </c:pt>
                <c:pt idx="1">
                  <c:v>0.68618277930583971</c:v>
                </c:pt>
                <c:pt idx="2">
                  <c:v>0.59221351722724891</c:v>
                </c:pt>
                <c:pt idx="3">
                  <c:v>0.54357065239870928</c:v>
                </c:pt>
                <c:pt idx="4">
                  <c:v>0.63753991447730018</c:v>
                </c:pt>
                <c:pt idx="5">
                  <c:v>0.54357065239870928</c:v>
                </c:pt>
                <c:pt idx="6">
                  <c:v>0.49492778757016981</c:v>
                </c:pt>
                <c:pt idx="7">
                  <c:v>0.58889704964876055</c:v>
                </c:pt>
                <c:pt idx="8">
                  <c:v>0.49492778757016981</c:v>
                </c:pt>
                <c:pt idx="9">
                  <c:v>0.44628492274163023</c:v>
                </c:pt>
                <c:pt idx="10">
                  <c:v>0.54025418482022103</c:v>
                </c:pt>
                <c:pt idx="11">
                  <c:v>0.44628492274163023</c:v>
                </c:pt>
                <c:pt idx="12">
                  <c:v>0.39764205791309065</c:v>
                </c:pt>
                <c:pt idx="13">
                  <c:v>0.49161131999168156</c:v>
                </c:pt>
                <c:pt idx="14">
                  <c:v>0.39764205791309065</c:v>
                </c:pt>
                <c:pt idx="15">
                  <c:v>0.34899919308455113</c:v>
                </c:pt>
                <c:pt idx="16">
                  <c:v>0.44296845516314193</c:v>
                </c:pt>
                <c:pt idx="17">
                  <c:v>0.34899919308455113</c:v>
                </c:pt>
                <c:pt idx="18">
                  <c:v>0.30035632825601155</c:v>
                </c:pt>
                <c:pt idx="19">
                  <c:v>0.3943255903346024</c:v>
                </c:pt>
                <c:pt idx="20">
                  <c:v>0.30035632825601155</c:v>
                </c:pt>
              </c:numCache>
            </c:numRef>
          </c:xVal>
          <c:yVal>
            <c:numRef>
              <c:f>iplot!$Z$9:$Z$29</c:f>
              <c:numCache>
                <c:formatCode>General</c:formatCode>
                <c:ptCount val="21"/>
                <c:pt idx="0">
                  <c:v>-0.35041716889415753</c:v>
                </c:pt>
                <c:pt idx="1">
                  <c:v>-0.36751817606044096</c:v>
                </c:pt>
                <c:pt idx="2">
                  <c:v>-0.35041716889415753</c:v>
                </c:pt>
                <c:pt idx="3">
                  <c:v>-0.41723975526115542</c:v>
                </c:pt>
                <c:pt idx="4">
                  <c:v>-0.43434076242743885</c:v>
                </c:pt>
                <c:pt idx="5">
                  <c:v>-0.41723975526115542</c:v>
                </c:pt>
                <c:pt idx="6">
                  <c:v>-0.48406234162815331</c:v>
                </c:pt>
                <c:pt idx="7">
                  <c:v>-0.50116334879443669</c:v>
                </c:pt>
                <c:pt idx="8">
                  <c:v>-0.48406234162815331</c:v>
                </c:pt>
                <c:pt idx="9">
                  <c:v>-0.55088492799515121</c:v>
                </c:pt>
                <c:pt idx="10">
                  <c:v>-0.56798593516143459</c:v>
                </c:pt>
                <c:pt idx="11">
                  <c:v>-0.55088492799515121</c:v>
                </c:pt>
                <c:pt idx="12">
                  <c:v>-0.6177075143621491</c:v>
                </c:pt>
                <c:pt idx="13">
                  <c:v>-0.63480852152843248</c:v>
                </c:pt>
                <c:pt idx="14">
                  <c:v>-0.6177075143621491</c:v>
                </c:pt>
                <c:pt idx="15">
                  <c:v>-0.68453010072914688</c:v>
                </c:pt>
                <c:pt idx="16">
                  <c:v>-0.70163110789543048</c:v>
                </c:pt>
                <c:pt idx="17">
                  <c:v>-0.68453010072914688</c:v>
                </c:pt>
                <c:pt idx="18">
                  <c:v>-0.75135268709614489</c:v>
                </c:pt>
                <c:pt idx="19">
                  <c:v>-0.76845369426242827</c:v>
                </c:pt>
                <c:pt idx="20">
                  <c:v>-0.75135268709614489</c:v>
                </c:pt>
              </c:numCache>
            </c:numRef>
          </c:yVal>
        </c:ser>
        <c:ser>
          <c:idx val="3"/>
          <c:order val="2"/>
          <c:tx>
            <c:v>cut_plane_x</c:v>
          </c:tx>
          <c:spPr>
            <a:ln w="28575">
              <a:noFill/>
            </a:ln>
          </c:spPr>
          <c:marker>
            <c:symbol val="circle"/>
            <c:size val="3"/>
            <c:spPr>
              <a:solidFill>
                <a:srgbClr val="006411"/>
              </a:solidFill>
              <a:ln>
                <a:solidFill>
                  <a:srgbClr val="808080"/>
                </a:solidFill>
                <a:prstDash val="solid"/>
              </a:ln>
            </c:spPr>
          </c:marker>
          <c:xVal>
            <c:numRef>
              <c:f>iplot!$M$33:$M$54</c:f>
              <c:numCache>
                <c:formatCode>General</c:formatCode>
                <c:ptCount val="12"/>
                <c:pt idx="0">
                  <c:v>3.6298891759959484E-2</c:v>
                </c:pt>
                <c:pt idx="1">
                  <c:v>0.52914467189242897</c:v>
                </c:pt>
                <c:pt idx="2">
                  <c:v>0.64085638205578865</c:v>
                </c:pt>
                <c:pt idx="3">
                  <c:v>-0.29883623873011977</c:v>
                </c:pt>
                <c:pt idx="4">
                  <c:v>0.31229252863414236</c:v>
                </c:pt>
                <c:pt idx="5">
                  <c:v>0.2531510350182461</c:v>
                </c:pt>
                <c:pt idx="6">
                  <c:v>9.544038537585578E-2</c:v>
                </c:pt>
                <c:pt idx="7">
                  <c:v>0.2531510350182461</c:v>
                </c:pt>
                <c:pt idx="8">
                  <c:v>-0.29883623873011977</c:v>
                </c:pt>
                <c:pt idx="9">
                  <c:v>0.51600211775556315</c:v>
                </c:pt>
                <c:pt idx="10">
                  <c:v>0.2531510350182461</c:v>
                </c:pt>
                <c:pt idx="11">
                  <c:v>0.10858293951272172</c:v>
                </c:pt>
              </c:numCache>
            </c:numRef>
          </c:xVal>
          <c:yVal>
            <c:numRef>
              <c:f>iplot!$N$33:$N$54</c:f>
              <c:numCache>
                <c:formatCode>General</c:formatCode>
                <c:ptCount val="12"/>
                <c:pt idx="0">
                  <c:v>8.4863240481520136E-2</c:v>
                </c:pt>
                <c:pt idx="1">
                  <c:v>0.32926154470133828</c:v>
                </c:pt>
                <c:pt idx="2">
                  <c:v>0.58243082125727907</c:v>
                </c:pt>
                <c:pt idx="3">
                  <c:v>0.23191884942034702</c:v>
                </c:pt>
                <c:pt idx="4">
                  <c:v>0.25170166805609279</c:v>
                </c:pt>
                <c:pt idx="5">
                  <c:v>0.27789488843834786</c:v>
                </c:pt>
                <c:pt idx="6">
                  <c:v>0.20347252318971515</c:v>
                </c:pt>
                <c:pt idx="7">
                  <c:v>0.11520447897396757</c:v>
                </c:pt>
                <c:pt idx="8">
                  <c:v>0.13260286672945856</c:v>
                </c:pt>
                <c:pt idx="9">
                  <c:v>0.41842674599256113</c:v>
                </c:pt>
                <c:pt idx="10">
                  <c:v>0.23679565895704208</c:v>
                </c:pt>
                <c:pt idx="11">
                  <c:v>0.33522247003242728</c:v>
                </c:pt>
              </c:numCache>
            </c:numRef>
          </c:yVal>
        </c:ser>
        <c:ser>
          <c:idx val="4"/>
          <c:order val="3"/>
          <c:tx>
            <c:v>projxframe</c:v>
          </c:tx>
          <c:spPr>
            <a:ln w="25400">
              <a:solidFill>
                <a:srgbClr val="006411"/>
              </a:solidFill>
              <a:prstDash val="solid"/>
            </a:ln>
          </c:spPr>
          <c:marker>
            <c:symbol val="none"/>
          </c:marker>
          <c:xVal>
            <c:numRef>
              <c:f>iplot!$M$24:$M$28</c:f>
              <c:numCache>
                <c:formatCode>General</c:formatCode>
                <c:ptCount val="5"/>
                <c:pt idx="0">
                  <c:v>-0.29883623873011983</c:v>
                </c:pt>
                <c:pt idx="1">
                  <c:v>0.64085638205578843</c:v>
                </c:pt>
                <c:pt idx="2">
                  <c:v>0.64085638205578865</c:v>
                </c:pt>
                <c:pt idx="3">
                  <c:v>-0.29883623873011972</c:v>
                </c:pt>
                <c:pt idx="4">
                  <c:v>-0.29883623873011983</c:v>
                </c:pt>
              </c:numCache>
            </c:numRef>
          </c:xVal>
          <c:yVal>
            <c:numRef>
              <c:f>iplot!$N$24:$N$28</c:f>
              <c:numCache>
                <c:formatCode>General</c:formatCode>
                <c:ptCount val="5"/>
                <c:pt idx="0">
                  <c:v>-0.11258451086432519</c:v>
                </c:pt>
                <c:pt idx="1">
                  <c:v>-0.28359458252715963</c:v>
                </c:pt>
                <c:pt idx="2">
                  <c:v>0.58243082125727907</c:v>
                </c:pt>
                <c:pt idx="3">
                  <c:v>0.75344089292011351</c:v>
                </c:pt>
                <c:pt idx="4">
                  <c:v>-0.11258451086432519</c:v>
                </c:pt>
              </c:numCache>
            </c:numRef>
          </c:yVal>
        </c:ser>
        <c:ser>
          <c:idx val="5"/>
          <c:order val="4"/>
          <c:tx>
            <c:v>projyframe</c:v>
          </c:tx>
          <c:spPr>
            <a:ln w="25400">
              <a:solidFill>
                <a:srgbClr val="900000"/>
              </a:solidFill>
              <a:prstDash val="solid"/>
            </a:ln>
          </c:spPr>
          <c:marker>
            <c:symbol val="none"/>
          </c:marker>
          <c:xVal>
            <c:numRef>
              <c:f>iplot!$O$24:$O$28</c:f>
              <c:numCache>
                <c:formatCode>General</c:formatCode>
                <c:ptCount val="5"/>
                <c:pt idx="0">
                  <c:v>-0.29883623873011983</c:v>
                </c:pt>
                <c:pt idx="1">
                  <c:v>-0.64085638205578865</c:v>
                </c:pt>
                <c:pt idx="2">
                  <c:v>-0.64085638205578843</c:v>
                </c:pt>
                <c:pt idx="3">
                  <c:v>-0.29883623873011972</c:v>
                </c:pt>
                <c:pt idx="4">
                  <c:v>-0.29883623873011983</c:v>
                </c:pt>
              </c:numCache>
            </c:numRef>
          </c:xVal>
          <c:yVal>
            <c:numRef>
              <c:f>iplot!$P$24:$P$28</c:f>
              <c:numCache>
                <c:formatCode>General</c:formatCode>
                <c:ptCount val="5"/>
                <c:pt idx="0">
                  <c:v>-0.11258451086432519</c:v>
                </c:pt>
                <c:pt idx="1">
                  <c:v>-0.58243082125727907</c:v>
                </c:pt>
                <c:pt idx="2">
                  <c:v>0.28359458252715963</c:v>
                </c:pt>
                <c:pt idx="3">
                  <c:v>0.75344089292011351</c:v>
                </c:pt>
                <c:pt idx="4">
                  <c:v>-0.11258451086432519</c:v>
                </c:pt>
              </c:numCache>
            </c:numRef>
          </c:yVal>
        </c:ser>
        <c:ser>
          <c:idx val="6"/>
          <c:order val="5"/>
          <c:tx>
            <c:v>projzframe</c:v>
          </c:tx>
          <c:spPr>
            <a:ln w="25400">
              <a:solidFill>
                <a:srgbClr val="000090"/>
              </a:solidFill>
              <a:prstDash val="solid"/>
            </a:ln>
          </c:spPr>
          <c:marker>
            <c:symbol val="none"/>
          </c:marker>
          <c:xVal>
            <c:numRef>
              <c:f>iplot!$Q$24:$Q$28</c:f>
              <c:numCache>
                <c:formatCode>General</c:formatCode>
                <c:ptCount val="5"/>
                <c:pt idx="0">
                  <c:v>-0.29883623873011983</c:v>
                </c:pt>
                <c:pt idx="1">
                  <c:v>-0.64085638205578865</c:v>
                </c:pt>
                <c:pt idx="2">
                  <c:v>0.29883623873011972</c:v>
                </c:pt>
                <c:pt idx="3">
                  <c:v>0.64085638205578843</c:v>
                </c:pt>
                <c:pt idx="4">
                  <c:v>-0.29883623873011983</c:v>
                </c:pt>
              </c:numCache>
            </c:numRef>
          </c:xVal>
          <c:yVal>
            <c:numRef>
              <c:f>iplot!$R$24:$R$28</c:f>
              <c:numCache>
                <c:formatCode>General</c:formatCode>
                <c:ptCount val="5"/>
                <c:pt idx="0">
                  <c:v>-0.11258451086432519</c:v>
                </c:pt>
                <c:pt idx="1">
                  <c:v>-0.58243082125727907</c:v>
                </c:pt>
                <c:pt idx="2">
                  <c:v>-0.75344089292011351</c:v>
                </c:pt>
                <c:pt idx="3">
                  <c:v>-0.28359458252715963</c:v>
                </c:pt>
                <c:pt idx="4">
                  <c:v>-0.11258451086432519</c:v>
                </c:pt>
              </c:numCache>
            </c:numRef>
          </c:yVal>
        </c:ser>
        <c:ser>
          <c:idx val="7"/>
          <c:order val="6"/>
          <c:tx>
            <c:v>cut_plane_y</c:v>
          </c:tx>
          <c:spPr>
            <a:ln w="28575">
              <a:noFill/>
            </a:ln>
          </c:spPr>
          <c:marker>
            <c:symbol val="circle"/>
            <c:size val="3"/>
            <c:spPr>
              <a:solidFill>
                <a:srgbClr val="993300"/>
              </a:solidFill>
              <a:ln>
                <a:solidFill>
                  <a:srgbClr val="808080"/>
                </a:solidFill>
                <a:prstDash val="solid"/>
              </a:ln>
            </c:spPr>
          </c:marker>
          <c:xVal>
            <c:numRef>
              <c:f>iplot!$O$33:$O$54</c:f>
              <c:numCache>
                <c:formatCode>General</c:formatCode>
                <c:ptCount val="12"/>
                <c:pt idx="0">
                  <c:v>-0.45844563894876522</c:v>
                </c:pt>
                <c:pt idx="1">
                  <c:v>-0.60285414390849201</c:v>
                </c:pt>
                <c:pt idx="2">
                  <c:v>-0.61552155662425745</c:v>
                </c:pt>
                <c:pt idx="3">
                  <c:v>-0.37484071502471283</c:v>
                </c:pt>
                <c:pt idx="4">
                  <c:v>-0.46351260403507138</c:v>
                </c:pt>
                <c:pt idx="5">
                  <c:v>-0.60285414390849201</c:v>
                </c:pt>
                <c:pt idx="6">
                  <c:v>-0.50911528981182719</c:v>
                </c:pt>
                <c:pt idx="7">
                  <c:v>-0.50404832472552108</c:v>
                </c:pt>
                <c:pt idx="8">
                  <c:v>-0.42551036588777486</c:v>
                </c:pt>
                <c:pt idx="9">
                  <c:v>-0.64085638205578854</c:v>
                </c:pt>
                <c:pt idx="10">
                  <c:v>-0.55218449304542994</c:v>
                </c:pt>
                <c:pt idx="11">
                  <c:v>-0.48884742946660242</c:v>
                </c:pt>
              </c:numCache>
            </c:numRef>
          </c:xVal>
          <c:yVal>
            <c:numRef>
              <c:f>iplot!$P$33:$P$54</c:f>
              <c:numCache>
                <c:formatCode>General</c:formatCode>
                <c:ptCount val="12"/>
                <c:pt idx="0">
                  <c:v>-7.3408765057537434E-2</c:v>
                </c:pt>
                <c:pt idx="1">
                  <c:v>6.23005829112179E-2</c:v>
                </c:pt>
                <c:pt idx="2">
                  <c:v>0.31839801292663772</c:v>
                </c:pt>
                <c:pt idx="3">
                  <c:v>0.12750855822191282</c:v>
                </c:pt>
                <c:pt idx="4">
                  <c:v>0.13669571077167841</c:v>
                </c:pt>
                <c:pt idx="5">
                  <c:v>-3.9292807686311278E-2</c:v>
                </c:pt>
                <c:pt idx="6">
                  <c:v>-1.3643471505183115E-2</c:v>
                </c:pt>
                <c:pt idx="7">
                  <c:v>-6.624983859272715E-2</c:v>
                </c:pt>
                <c:pt idx="8">
                  <c:v>-4.1414285267931755E-2</c:v>
                </c:pt>
                <c:pt idx="9">
                  <c:v>9.6868889349198017E-2</c:v>
                </c:pt>
                <c:pt idx="10">
                  <c:v>-1.0785176368660977E-2</c:v>
                </c:pt>
                <c:pt idx="11">
                  <c:v>0.14834096891113713</c:v>
                </c:pt>
              </c:numCache>
            </c:numRef>
          </c:yVal>
        </c:ser>
        <c:ser>
          <c:idx val="8"/>
          <c:order val="7"/>
          <c:tx>
            <c:v>cut_plane_z</c:v>
          </c:tx>
          <c:spPr>
            <a:ln w="28575">
              <a:noFill/>
            </a:ln>
          </c:spPr>
          <c:marker>
            <c:symbol val="circle"/>
            <c:size val="3"/>
            <c:spPr>
              <a:solidFill>
                <a:srgbClr val="333399"/>
              </a:solidFill>
              <a:ln>
                <a:solidFill>
                  <a:srgbClr val="808080"/>
                </a:solidFill>
                <a:prstDash val="solid"/>
              </a:ln>
            </c:spPr>
          </c:marker>
          <c:xVal>
            <c:numRef>
              <c:f>iplot!$Q$33:$Q$54</c:f>
              <c:numCache>
                <c:formatCode>General</c:formatCode>
                <c:ptCount val="12"/>
                <c:pt idx="0">
                  <c:v>-0.12331050845868599</c:v>
                </c:pt>
                <c:pt idx="1">
                  <c:v>0.22512676671405663</c:v>
                </c:pt>
                <c:pt idx="2">
                  <c:v>0.32417106416165076</c:v>
                </c:pt>
                <c:pt idx="3">
                  <c:v>-0.37484071502471289</c:v>
                </c:pt>
                <c:pt idx="4">
                  <c:v>0.14761616332919067</c:v>
                </c:pt>
                <c:pt idx="5">
                  <c:v>-5.0866870160126261E-2</c:v>
                </c:pt>
                <c:pt idx="6">
                  <c:v>-0.11483866570585177</c:v>
                </c:pt>
                <c:pt idx="7">
                  <c:v>4.7938949022844721E-2</c:v>
                </c:pt>
                <c:pt idx="8">
                  <c:v>-0.42551036588777491</c:v>
                </c:pt>
                <c:pt idx="9">
                  <c:v>0.17398197442989424</c:v>
                </c:pt>
                <c:pt idx="10">
                  <c:v>-1.9721929706422467E-4</c:v>
                </c:pt>
                <c:pt idx="11">
                  <c:v>-8.1428251223761045E-2</c:v>
                </c:pt>
              </c:numCache>
            </c:numRef>
          </c:xVal>
          <c:yVal>
            <c:numRef>
              <c:f>iplot!$R$33:$R$54</c:f>
              <c:numCache>
                <c:formatCode>General</c:formatCode>
                <c:ptCount val="12"/>
                <c:pt idx="0">
                  <c:v>-0.39283572835869129</c:v>
                </c:pt>
                <c:pt idx="1">
                  <c:v>-0.6809058786616784</c:v>
                </c:pt>
                <c:pt idx="2">
                  <c:v>-0.71863746252063532</c:v>
                </c:pt>
                <c:pt idx="3">
                  <c:v>-0.2169948020627594</c:v>
                </c:pt>
                <c:pt idx="4">
                  <c:v>-0.45002314877312566</c:v>
                </c:pt>
                <c:pt idx="5">
                  <c:v>-0.63067914432713956</c:v>
                </c:pt>
                <c:pt idx="6">
                  <c:v>-0.47320546080076281</c:v>
                </c:pt>
                <c:pt idx="7">
                  <c:v>-0.49494576576917509</c:v>
                </c:pt>
                <c:pt idx="8">
                  <c:v>-0.28660166286171551</c:v>
                </c:pt>
                <c:pt idx="9">
                  <c:v>-0.73071927500686984</c:v>
                </c:pt>
                <c:pt idx="10">
                  <c:v>-0.56107228352818339</c:v>
                </c:pt>
                <c:pt idx="11">
                  <c:v>-0.44775446573520605</c:v>
                </c:pt>
              </c:numCache>
            </c:numRef>
          </c:yVal>
        </c:ser>
        <c:ser>
          <c:idx val="9"/>
          <c:order val="8"/>
          <c:tx>
            <c:v>laby</c:v>
          </c:tx>
          <c:spPr>
            <a:ln w="3175">
              <a:solidFill>
                <a:srgbClr val="C0C0C0"/>
              </a:solidFill>
              <a:prstDash val="solid"/>
            </a:ln>
          </c:spPr>
          <c:marker>
            <c:symbol val="none"/>
          </c:marker>
          <c:dLbls>
            <c:dLbl>
              <c:idx val="0"/>
              <c:tx>
                <c:strRef>
                  <c:f>iplot!$AC$9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
              <c:tx>
                <c:strRef>
                  <c:f>iplot!$AC$10</c:f>
                  <c:strCache>
                    <c:ptCount val="1"/>
                    <c:pt idx="0">
                      <c:v>20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2"/>
              <c:tx>
                <c:strRef>
                  <c:f>iplot!$AC$11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3"/>
              <c:tx>
                <c:strRef>
                  <c:f>iplot!$AC$12</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4"/>
              <c:tx>
                <c:strRef>
                  <c:f>iplot!$AC$13</c:f>
                  <c:strCache>
                    <c:ptCount val="1"/>
                    <c:pt idx="0">
                      <c:v>40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5"/>
              <c:tx>
                <c:strRef>
                  <c:f>iplot!$AC$14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6"/>
              <c:tx>
                <c:strRef>
                  <c:f>iplot!$AC$15</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7"/>
              <c:tx>
                <c:strRef>
                  <c:f>iplot!$AC$16</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8"/>
              <c:tx>
                <c:strRef>
                  <c:f>iplot!$AC$17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9"/>
              <c:tx>
                <c:strRef>
                  <c:f>iplot!$AC$18</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0"/>
              <c:tx>
                <c:strRef>
                  <c:f>iplot!$AC$19</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1"/>
              <c:tx>
                <c:strRef>
                  <c:f>iplot!$AC$20</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2"/>
              <c:tx>
                <c:strRef>
                  <c:f>iplot!$AC$21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3"/>
              <c:tx>
                <c:strRef>
                  <c:f>iplot!$AC$22</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4"/>
              <c:tx>
                <c:strRef>
                  <c:f>iplot!$AC$23</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5"/>
              <c:tx>
                <c:strRef>
                  <c:f>iplot!$AC$24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6"/>
              <c:tx>
                <c:strRef>
                  <c:f>iplot!$AC$25</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7"/>
              <c:tx>
                <c:strRef>
                  <c:f>iplot!$AC$26</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8"/>
              <c:tx>
                <c:strRef>
                  <c:f>iplot!$AC$27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9"/>
              <c:tx>
                <c:strRef>
                  <c:f>iplot!$AC$28</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20"/>
              <c:tx>
                <c:strRef>
                  <c:f>iplot!$AC$29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elete val="1"/>
          </c:dLbls>
          <c:xVal>
            <c:numRef>
              <c:f>iplot!$AD$9:$AD$29</c:f>
              <c:numCache>
                <c:formatCode>General</c:formatCode>
                <c:ptCount val="21"/>
                <c:pt idx="0">
                  <c:v>-0.4042904075922033</c:v>
                </c:pt>
                <c:pt idx="1">
                  <c:v>-0.43849242192477017</c:v>
                </c:pt>
                <c:pt idx="2">
                  <c:v>-0.4042904075922033</c:v>
                </c:pt>
                <c:pt idx="3">
                  <c:v>-0.16772443312861796</c:v>
                </c:pt>
                <c:pt idx="4">
                  <c:v>-0.20192644746118482</c:v>
                </c:pt>
                <c:pt idx="5">
                  <c:v>-0.16772443312861796</c:v>
                </c:pt>
                <c:pt idx="6">
                  <c:v>6.8841541334967365E-2</c:v>
                </c:pt>
                <c:pt idx="7">
                  <c:v>3.4639527002400493E-2</c:v>
                </c:pt>
                <c:pt idx="8">
                  <c:v>6.8841541334967365E-2</c:v>
                </c:pt>
                <c:pt idx="9">
                  <c:v>6.8841541334967365E-2</c:v>
                </c:pt>
                <c:pt idx="10">
                  <c:v>3.4639527002400493E-2</c:v>
                </c:pt>
                <c:pt idx="11">
                  <c:v>6.8841541334967365E-2</c:v>
                </c:pt>
                <c:pt idx="12">
                  <c:v>6.8841541334967365E-2</c:v>
                </c:pt>
                <c:pt idx="13">
                  <c:v>3.4639527002400493E-2</c:v>
                </c:pt>
                <c:pt idx="14">
                  <c:v>6.8841541334967365E-2</c:v>
                </c:pt>
                <c:pt idx="15">
                  <c:v>6.8841541334967365E-2</c:v>
                </c:pt>
                <c:pt idx="16">
                  <c:v>3.4639527002400493E-2</c:v>
                </c:pt>
                <c:pt idx="17">
                  <c:v>6.8841541334967365E-2</c:v>
                </c:pt>
                <c:pt idx="18">
                  <c:v>6.8841541334967365E-2</c:v>
                </c:pt>
                <c:pt idx="19">
                  <c:v>3.4639527002400493E-2</c:v>
                </c:pt>
                <c:pt idx="20">
                  <c:v>6.8841541334967365E-2</c:v>
                </c:pt>
              </c:numCache>
            </c:numRef>
          </c:xVal>
          <c:yVal>
            <c:numRef>
              <c:f>iplot!$AE$9:$AE$29</c:f>
              <c:numCache>
                <c:formatCode>General</c:formatCode>
                <c:ptCount val="21"/>
                <c:pt idx="0">
                  <c:v>-0.6254823078297409</c:v>
                </c:pt>
                <c:pt idx="1">
                  <c:v>-0.6724669388690363</c:v>
                </c:pt>
                <c:pt idx="2">
                  <c:v>-0.6254823078297409</c:v>
                </c:pt>
                <c:pt idx="3">
                  <c:v>-0.66853379440220273</c:v>
                </c:pt>
                <c:pt idx="4">
                  <c:v>-0.71551842544149813</c:v>
                </c:pt>
                <c:pt idx="5">
                  <c:v>-0.66853379440220273</c:v>
                </c:pt>
                <c:pt idx="6">
                  <c:v>-0.71158528097466456</c:v>
                </c:pt>
                <c:pt idx="7">
                  <c:v>-0.75856991201395996</c:v>
                </c:pt>
                <c:pt idx="8">
                  <c:v>-0.71158528097466456</c:v>
                </c:pt>
                <c:pt idx="9">
                  <c:v>-0.71158528097466456</c:v>
                </c:pt>
                <c:pt idx="10">
                  <c:v>-0.75856991201395996</c:v>
                </c:pt>
                <c:pt idx="11">
                  <c:v>-0.71158528097466456</c:v>
                </c:pt>
                <c:pt idx="12">
                  <c:v>-0.71158528097466456</c:v>
                </c:pt>
                <c:pt idx="13">
                  <c:v>-0.75856991201395996</c:v>
                </c:pt>
                <c:pt idx="14">
                  <c:v>-0.71158528097466456</c:v>
                </c:pt>
                <c:pt idx="15">
                  <c:v>-0.71158528097466456</c:v>
                </c:pt>
                <c:pt idx="16">
                  <c:v>-0.75856991201395996</c:v>
                </c:pt>
                <c:pt idx="17">
                  <c:v>-0.71158528097466456</c:v>
                </c:pt>
                <c:pt idx="18">
                  <c:v>-0.71158528097466456</c:v>
                </c:pt>
                <c:pt idx="19">
                  <c:v>-0.75856991201395996</c:v>
                </c:pt>
                <c:pt idx="20">
                  <c:v>-0.71158528097466456</c:v>
                </c:pt>
              </c:numCache>
            </c:numRef>
          </c:yVal>
        </c:ser>
        <c:ser>
          <c:idx val="10"/>
          <c:order val="9"/>
          <c:tx>
            <c:v>labz</c:v>
          </c:tx>
          <c:spPr>
            <a:ln w="3175">
              <a:solidFill>
                <a:srgbClr val="C0C0C0"/>
              </a:solidFill>
              <a:prstDash val="solid"/>
            </a:ln>
          </c:spPr>
          <c:marker>
            <c:symbol val="none"/>
          </c:marker>
          <c:dLbls>
            <c:dLbl>
              <c:idx val="0"/>
              <c:tx>
                <c:strRef>
                  <c:f>iplot!$AH$9</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
              <c:tx>
                <c:strRef>
                  <c:f>iplot!$AH$10</c:f>
                  <c:strCache>
                    <c:ptCount val="1"/>
                    <c:pt idx="0">
                      <c:v>20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2"/>
              <c:tx>
                <c:strRef>
                  <c:f>iplot!$AH$11</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3"/>
              <c:tx>
                <c:strRef>
                  <c:f>iplot!$AH$12</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4"/>
              <c:tx>
                <c:strRef>
                  <c:f>iplot!$AH$13</c:f>
                  <c:strCache>
                    <c:ptCount val="1"/>
                    <c:pt idx="0">
                      <c:v>40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5"/>
              <c:tx>
                <c:strRef>
                  <c:f>iplot!$AH$14</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6"/>
              <c:tx>
                <c:strRef>
                  <c:f>iplot!$AH$15</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7"/>
              <c:tx>
                <c:strRef>
                  <c:f>iplot!$AH$16</c:f>
                  <c:strCache>
                    <c:ptCount val="1"/>
                    <c:pt idx="0">
                      <c:v>60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8"/>
              <c:tx>
                <c:strRef>
                  <c:f>iplot!$AH$17</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9"/>
              <c:tx>
                <c:strRef>
                  <c:f>iplot!$AH$18</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0"/>
              <c:tx>
                <c:strRef>
                  <c:f>iplot!$AH$19</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1"/>
              <c:tx>
                <c:strRef>
                  <c:f>iplot!$AH$20</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2"/>
              <c:tx>
                <c:strRef>
                  <c:f>iplot!$AH$21</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3"/>
              <c:tx>
                <c:strRef>
                  <c:f>iplot!$AH$22</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4"/>
              <c:tx>
                <c:strRef>
                  <c:f>iplot!$AH$23</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5"/>
              <c:tx>
                <c:strRef>
                  <c:f>iplot!$AH$24</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6"/>
              <c:tx>
                <c:strRef>
                  <c:f>iplot!$AH$25</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7"/>
              <c:tx>
                <c:strRef>
                  <c:f>iplot!$AH$26</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8"/>
              <c:tx>
                <c:strRef>
                  <c:f>iplot!$AH$27</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9"/>
              <c:tx>
                <c:strRef>
                  <c:f>iplot!$AH$28</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20"/>
              <c:tx>
                <c:strRef>
                  <c:f>iplot!$AH$29</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elete val="1"/>
          </c:dLbls>
          <c:xVal>
            <c:numRef>
              <c:f>iplot!$AI$9:$AI$29</c:f>
              <c:numCache>
                <c:formatCode>General</c:formatCode>
                <c:ptCount val="21"/>
                <c:pt idx="0">
                  <c:v>0.64085638205578854</c:v>
                </c:pt>
                <c:pt idx="1">
                  <c:v>0.73482564413437945</c:v>
                </c:pt>
                <c:pt idx="2">
                  <c:v>0.64085638205578854</c:v>
                </c:pt>
                <c:pt idx="3">
                  <c:v>0.64085638205578854</c:v>
                </c:pt>
                <c:pt idx="4">
                  <c:v>0.73482564413437945</c:v>
                </c:pt>
                <c:pt idx="5">
                  <c:v>0.64085638205578854</c:v>
                </c:pt>
                <c:pt idx="6">
                  <c:v>0.64085638205578854</c:v>
                </c:pt>
                <c:pt idx="7">
                  <c:v>0.73482564413437945</c:v>
                </c:pt>
                <c:pt idx="8">
                  <c:v>0.64085638205578854</c:v>
                </c:pt>
                <c:pt idx="9">
                  <c:v>0.64085638205578854</c:v>
                </c:pt>
                <c:pt idx="10">
                  <c:v>0.73482564413437945</c:v>
                </c:pt>
                <c:pt idx="11">
                  <c:v>0.64085638205578854</c:v>
                </c:pt>
                <c:pt idx="12">
                  <c:v>0.64085638205578854</c:v>
                </c:pt>
                <c:pt idx="13">
                  <c:v>0.73482564413437945</c:v>
                </c:pt>
                <c:pt idx="14">
                  <c:v>0.64085638205578854</c:v>
                </c:pt>
                <c:pt idx="15">
                  <c:v>0.64085638205578854</c:v>
                </c:pt>
                <c:pt idx="16">
                  <c:v>0.73482564413437945</c:v>
                </c:pt>
                <c:pt idx="17">
                  <c:v>0.64085638205578854</c:v>
                </c:pt>
                <c:pt idx="18">
                  <c:v>0.64085638205578854</c:v>
                </c:pt>
                <c:pt idx="19">
                  <c:v>0.73482564413437945</c:v>
                </c:pt>
                <c:pt idx="20">
                  <c:v>0.64085638205578854</c:v>
                </c:pt>
              </c:numCache>
            </c:numRef>
          </c:xVal>
          <c:yVal>
            <c:numRef>
              <c:f>iplot!$AJ$9:$AJ$29</c:f>
              <c:numCache>
                <c:formatCode>General</c:formatCode>
                <c:ptCount val="21"/>
                <c:pt idx="0">
                  <c:v>-9.5290676535133678E-2</c:v>
                </c:pt>
                <c:pt idx="1">
                  <c:v>-0.11239168370141711</c:v>
                </c:pt>
                <c:pt idx="2">
                  <c:v>-9.5290676535133678E-2</c:v>
                </c:pt>
                <c:pt idx="3">
                  <c:v>9.3013229456892291E-2</c:v>
                </c:pt>
                <c:pt idx="4">
                  <c:v>7.5912222290608858E-2</c:v>
                </c:pt>
                <c:pt idx="5">
                  <c:v>9.3013229456892291E-2</c:v>
                </c:pt>
                <c:pt idx="6">
                  <c:v>0.28131713544891823</c:v>
                </c:pt>
                <c:pt idx="7">
                  <c:v>0.26421612828263485</c:v>
                </c:pt>
                <c:pt idx="8">
                  <c:v>0.28131713544891823</c:v>
                </c:pt>
                <c:pt idx="9">
                  <c:v>0.46962104144094419</c:v>
                </c:pt>
                <c:pt idx="10">
                  <c:v>0.45252003427466075</c:v>
                </c:pt>
                <c:pt idx="11">
                  <c:v>0.46962104144094419</c:v>
                </c:pt>
                <c:pt idx="12">
                  <c:v>0.46962104144094419</c:v>
                </c:pt>
                <c:pt idx="13">
                  <c:v>0.45252003427466075</c:v>
                </c:pt>
                <c:pt idx="14">
                  <c:v>0.46962104144094419</c:v>
                </c:pt>
                <c:pt idx="15">
                  <c:v>0.46962104144094419</c:v>
                </c:pt>
                <c:pt idx="16">
                  <c:v>0.45252003427466075</c:v>
                </c:pt>
                <c:pt idx="17">
                  <c:v>0.46962104144094419</c:v>
                </c:pt>
                <c:pt idx="18">
                  <c:v>0.46962104144094419</c:v>
                </c:pt>
                <c:pt idx="19">
                  <c:v>0.45252003427466075</c:v>
                </c:pt>
                <c:pt idx="20">
                  <c:v>0.46962104144094419</c:v>
                </c:pt>
              </c:numCache>
            </c:numRef>
          </c:yVal>
        </c:ser>
        <c:ser>
          <c:idx val="2"/>
          <c:order val="10"/>
          <c:tx>
            <c:v>data</c:v>
          </c:tx>
          <c:spPr>
            <a:ln w="28575">
              <a:noFill/>
            </a:ln>
          </c:spPr>
          <c:marker>
            <c:symbol val="circle"/>
            <c:size val="12"/>
            <c:spPr>
              <a:solidFill>
                <a:srgbClr val="0000D4"/>
              </a:solidFill>
              <a:ln>
                <a:solidFill>
                  <a:srgbClr val="000000"/>
                </a:solidFill>
                <a:prstDash val="solid"/>
              </a:ln>
            </c:spPr>
          </c:marker>
          <c:dLbls>
            <c:dLbl>
              <c:idx val="0"/>
              <c:tx>
                <c:strRef>
                  <c:f>iplot!$B$33</c:f>
                  <c:strCache>
                    <c:ptCount val="1"/>
                    <c:pt idx="0">
                      <c:v>Asunción</c:v>
                    </c:pt>
                  </c:strCache>
                </c:strRef>
              </c:tx>
              <c:dLblPos val="t"/>
              <c:showVal val="1"/>
            </c:dLbl>
            <c:dLbl>
              <c:idx val="1"/>
              <c:tx>
                <c:strRef>
                  <c:f>iplot!$B$34</c:f>
                  <c:strCache>
                    <c:ptCount val="1"/>
                    <c:pt idx="0">
                      <c:v>Bogotá</c:v>
                    </c:pt>
                  </c:strCache>
                </c:strRef>
              </c:tx>
              <c:dLblPos val="t"/>
              <c:showVal val="1"/>
            </c:dLbl>
            <c:dLbl>
              <c:idx val="2"/>
              <c:tx>
                <c:strRef>
                  <c:f>iplot!$B$35</c:f>
                  <c:strCache>
                    <c:ptCount val="1"/>
                    <c:pt idx="0">
                      <c:v>Buenos Aires</c:v>
                    </c:pt>
                  </c:strCache>
                </c:strRef>
              </c:tx>
              <c:dLblPos val="t"/>
              <c:showVal val="1"/>
            </c:dLbl>
            <c:dLbl>
              <c:idx val="3"/>
              <c:tx>
                <c:strRef>
                  <c:f>iplot!$B$36</c:f>
                  <c:strCache>
                    <c:ptCount val="1"/>
                    <c:pt idx="0">
                      <c:v>Ciudad de Belice</c:v>
                    </c:pt>
                  </c:strCache>
                </c:strRef>
              </c:tx>
              <c:dLblPos val="t"/>
              <c:showVal val="1"/>
            </c:dLbl>
            <c:dLbl>
              <c:idx val="4"/>
              <c:tx>
                <c:strRef>
                  <c:f>iplot!$B$37</c:f>
                  <c:strCache>
                    <c:ptCount val="1"/>
                    <c:pt idx="0">
                      <c:v>Ciudad de México</c:v>
                    </c:pt>
                  </c:strCache>
                </c:strRef>
              </c:tx>
              <c:dLblPos val="t"/>
              <c:showVal val="1"/>
            </c:dLbl>
            <c:dLbl>
              <c:idx val="5"/>
              <c:tx>
                <c:strRef>
                  <c:f>iplot!$B$38</c:f>
                  <c:strCache>
                    <c:ptCount val="1"/>
                    <c:pt idx="0">
                      <c:v>Lima</c:v>
                    </c:pt>
                  </c:strCache>
                </c:strRef>
              </c:tx>
              <c:dLblPos val="t"/>
              <c:showVal val="1"/>
            </c:dLbl>
            <c:dLbl>
              <c:idx val="6"/>
              <c:tx>
                <c:strRef>
                  <c:f>iplot!$B$39</c:f>
                  <c:strCache>
                    <c:ptCount val="1"/>
                    <c:pt idx="0">
                      <c:v>Montevideo</c:v>
                    </c:pt>
                  </c:strCache>
                </c:strRef>
              </c:tx>
              <c:dLblPos val="t"/>
              <c:showVal val="1"/>
            </c:dLbl>
            <c:dLbl>
              <c:idx val="7"/>
              <c:tx>
                <c:strRef>
                  <c:f>iplot!$B$40</c:f>
                  <c:strCache>
                    <c:ptCount val="1"/>
                    <c:pt idx="0">
                      <c:v>Quito</c:v>
                    </c:pt>
                  </c:strCache>
                </c:strRef>
              </c:tx>
              <c:dLblPos val="t"/>
              <c:showVal val="1"/>
            </c:dLbl>
            <c:dLbl>
              <c:idx val="8"/>
              <c:tx>
                <c:strRef>
                  <c:f>iplot!$B$41</c:f>
                  <c:strCache>
                    <c:ptCount val="1"/>
                    <c:pt idx="0">
                      <c:v>San José</c:v>
                    </c:pt>
                  </c:strCache>
                </c:strRef>
              </c:tx>
              <c:dLblPos val="t"/>
              <c:showVal val="1"/>
            </c:dLbl>
            <c:dLbl>
              <c:idx val="9"/>
              <c:tx>
                <c:strRef>
                  <c:f>iplot!$B$42</c:f>
                  <c:strCache>
                    <c:ptCount val="1"/>
                    <c:pt idx="0">
                      <c:v>San Pablo</c:v>
                    </c:pt>
                  </c:strCache>
                </c:strRef>
              </c:tx>
              <c:dLblPos val="t"/>
              <c:showVal val="1"/>
            </c:dLbl>
            <c:dLbl>
              <c:idx val="10"/>
              <c:tx>
                <c:strRef>
                  <c:f>iplot!$B$43</c:f>
                  <c:strCache>
                    <c:ptCount val="1"/>
                    <c:pt idx="0">
                      <c:v>Santa Cruz</c:v>
                    </c:pt>
                  </c:strCache>
                </c:strRef>
              </c:tx>
              <c:dLblPos val="t"/>
              <c:showVal val="1"/>
            </c:dLbl>
            <c:dLbl>
              <c:idx val="11"/>
              <c:tx>
                <c:strRef>
                  <c:f>iplot!$B$54</c:f>
                  <c:strCache>
                    <c:ptCount val="1"/>
                    <c:pt idx="0">
                      <c:v>Ciudad_10: incompleto</c:v>
                    </c:pt>
                  </c:strCache>
                </c:strRef>
              </c:tx>
              <c:dLblPos val="t"/>
              <c:showVal val="1"/>
            </c:dLbl>
            <c:txPr>
              <a:bodyPr/>
              <a:lstStyle/>
              <a:p>
                <a:pPr>
                  <a:defRPr sz="1000">
                    <a:latin typeface="Arial" pitchFamily="34" charset="0"/>
                    <a:cs typeface="Arial" pitchFamily="34" charset="0"/>
                  </a:defRPr>
                </a:pPr>
                <a:endParaRPr lang="en-US"/>
              </a:p>
            </c:txPr>
            <c:dLblPos val="t"/>
            <c:showVal val="1"/>
          </c:dLbls>
          <c:errBars>
            <c:errDir val="y"/>
            <c:errBarType val="minus"/>
            <c:errValType val="cust"/>
            <c:noEndCap val="1"/>
            <c:minus>
              <c:numRef>
                <c:f>iplot!$G$33:$G$54</c:f>
                <c:numCache>
                  <c:formatCode>General</c:formatCode>
                  <c:ptCount val="12"/>
                  <c:pt idx="0">
                    <c:v>0.25843735732349959</c:v>
                  </c:pt>
                  <c:pt idx="1">
                    <c:v>0.59252625856927987</c:v>
                  </c:pt>
                  <c:pt idx="2">
                    <c:v>0.8660254037844386</c:v>
                  </c:pt>
                  <c:pt idx="3">
                    <c:v>0.34450336028467221</c:v>
                  </c:pt>
                  <c:pt idx="4">
                    <c:v>0.47550251923261105</c:v>
                  </c:pt>
                  <c:pt idx="5">
                    <c:v>0.49093286797175073</c:v>
                  </c:pt>
                  <c:pt idx="6">
                    <c:v>0.38780951167481004</c:v>
                  </c:pt>
                  <c:pt idx="7">
                    <c:v>0.32824245850737033</c:v>
                  </c:pt>
                  <c:pt idx="8">
                    <c:v>0.24518737759378376</c:v>
                  </c:pt>
                  <c:pt idx="9">
                    <c:v>0.67929971060647709</c:v>
                  </c:pt>
                  <c:pt idx="10">
                    <c:v>0.44983363849044483</c:v>
                  </c:pt>
                  <c:pt idx="11">
                    <c:v>0.5219512077715478</c:v>
                  </c:pt>
                </c:numCache>
              </c:numRef>
            </c:minus>
            <c:spPr>
              <a:ln w="12700">
                <a:solidFill>
                  <a:srgbClr val="000000"/>
                </a:solidFill>
                <a:prstDash val="solid"/>
              </a:ln>
            </c:spPr>
          </c:errBars>
          <c:xVal>
            <c:numRef>
              <c:f>iplot!$K$33:$K$54</c:f>
              <c:numCache>
                <c:formatCode>General</c:formatCode>
                <c:ptCount val="12"/>
                <c:pt idx="0">
                  <c:v>-0.12331050845868596</c:v>
                </c:pt>
                <c:pt idx="1">
                  <c:v>0.22512676671405671</c:v>
                </c:pt>
                <c:pt idx="2">
                  <c:v>0.32417106416165087</c:v>
                </c:pt>
                <c:pt idx="3">
                  <c:v>-0.37484071502471283</c:v>
                </c:pt>
                <c:pt idx="4">
                  <c:v>0.14761616332919072</c:v>
                </c:pt>
                <c:pt idx="5">
                  <c:v>-5.0866870160126192E-2</c:v>
                </c:pt>
                <c:pt idx="6">
                  <c:v>-0.11483866570585172</c:v>
                </c:pt>
                <c:pt idx="7">
                  <c:v>4.7938949022844769E-2</c:v>
                </c:pt>
                <c:pt idx="8">
                  <c:v>-0.42551036588777486</c:v>
                </c:pt>
                <c:pt idx="9">
                  <c:v>0.17398197442989433</c:v>
                </c:pt>
                <c:pt idx="10">
                  <c:v>-1.9721929706416103E-4</c:v>
                </c:pt>
                <c:pt idx="11">
                  <c:v>-8.1428251223760975E-2</c:v>
                </c:pt>
              </c:numCache>
            </c:numRef>
          </c:xVal>
          <c:yVal>
            <c:numRef>
              <c:f>iplot!$L$33:$L$54</c:f>
              <c:numCache>
                <c:formatCode>General</c:formatCode>
                <c:ptCount val="12"/>
                <c:pt idx="0">
                  <c:v>-0.1343983710351917</c:v>
                </c:pt>
                <c:pt idx="1">
                  <c:v>-8.8379620092398498E-2</c:v>
                </c:pt>
                <c:pt idx="2">
                  <c:v>0.14738794126380333</c:v>
                </c:pt>
                <c:pt idx="3">
                  <c:v>0.12750855822191282</c:v>
                </c:pt>
                <c:pt idx="4">
                  <c:v>2.5479370459485395E-2</c:v>
                </c:pt>
                <c:pt idx="5">
                  <c:v>-0.13974627635538886</c:v>
                </c:pt>
                <c:pt idx="6">
                  <c:v>-8.5395949125952803E-2</c:v>
                </c:pt>
                <c:pt idx="7">
                  <c:v>-0.16670330726180474</c:v>
                </c:pt>
                <c:pt idx="8">
                  <c:v>-4.1414285267931755E-2</c:v>
                </c:pt>
                <c:pt idx="9">
                  <c:v>-5.1419564400392692E-2</c:v>
                </c:pt>
                <c:pt idx="10">
                  <c:v>-0.11123864503773856</c:v>
                </c:pt>
                <c:pt idx="11">
                  <c:v>7.4196742036341773E-2</c:v>
                </c:pt>
              </c:numCache>
            </c:numRef>
          </c:yVal>
        </c:ser>
        <c:axId val="152927232"/>
        <c:axId val="152957696"/>
      </c:scatterChart>
      <c:valAx>
        <c:axId val="152927232"/>
        <c:scaling>
          <c:orientation val="minMax"/>
          <c:max val="1.1000000000000001"/>
          <c:min val="-1.1000000000000001"/>
        </c:scaling>
        <c:delete val="1"/>
        <c:axPos val="b"/>
        <c:numFmt formatCode="General" sourceLinked="1"/>
        <c:tickLblPos val="none"/>
        <c:crossAx val="152957696"/>
        <c:crosses val="autoZero"/>
        <c:crossBetween val="midCat"/>
      </c:valAx>
      <c:valAx>
        <c:axId val="152957696"/>
        <c:scaling>
          <c:orientation val="minMax"/>
          <c:max val="1.1000000000000001"/>
          <c:min val="-1.1000000000000001"/>
        </c:scaling>
        <c:delete val="1"/>
        <c:axPos val="l"/>
        <c:numFmt formatCode="General" sourceLinked="1"/>
        <c:tickLblPos val="none"/>
        <c:crossAx val="152927232"/>
        <c:crosses val="autoZero"/>
        <c:crossBetween val="midCat"/>
      </c:valAx>
      <c:spPr>
        <a:noFill/>
        <a:ln w="25400">
          <a:noFill/>
        </a:ln>
      </c:spPr>
    </c:plotArea>
    <c:plotVisOnly val="1"/>
    <c:dispBlanksAs val="gap"/>
  </c:chart>
  <c:spPr>
    <a:solidFill>
      <a:srgbClr val="FFFFFF"/>
    </a:solidFill>
    <a:ln w="3175">
      <a:solidFill>
        <a:srgbClr val="C0C0C0"/>
      </a:solidFill>
      <a:prstDash val="solid"/>
    </a:ln>
  </c:spPr>
  <c:txPr>
    <a:bodyPr/>
    <a:lstStyle/>
    <a:p>
      <a:pPr>
        <a:defRPr sz="800" b="0" i="0" u="none" strike="noStrike" baseline="0">
          <a:solidFill>
            <a:srgbClr val="000000"/>
          </a:solidFill>
          <a:latin typeface="Verdana"/>
          <a:ea typeface="Verdana"/>
          <a:cs typeface="Verdana"/>
        </a:defRPr>
      </a:pPr>
      <a:endParaRPr lang="en-US"/>
    </a:p>
  </c:txPr>
  <c:printSettings>
    <c:headerFooter/>
    <c:pageMargins b="1" l="0.75000000000000977" r="0.75000000000000977"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12801023844264794"/>
          <c:y val="3.9518991520708063E-2"/>
          <c:w val="0.80988655806784049"/>
          <c:h val="0.83333525598014824"/>
        </c:manualLayout>
      </c:layout>
      <c:bubbleChart>
        <c:ser>
          <c:idx val="0"/>
          <c:order val="0"/>
          <c:tx>
            <c:v>base</c:v>
          </c:tx>
          <c:spPr>
            <a:solidFill>
              <a:srgbClr val="004770">
                <a:alpha val="70000"/>
              </a:srgbClr>
            </a:solidFill>
            <a:ln w="28575">
              <a:solidFill>
                <a:sysClr val="window" lastClr="FFFFFF">
                  <a:lumMod val="85000"/>
                </a:sysClr>
              </a:solidFill>
            </a:ln>
          </c:spPr>
          <c:dLbls>
            <c:dLbl>
              <c:idx val="6"/>
              <c:layout>
                <c:manualLayout>
                  <c:x val="-0.50457262780139656"/>
                  <c:y val="-0.29398661634873374"/>
                </c:manualLayout>
              </c:layout>
              <c:tx>
                <c:strRef>
                  <c:f>iScatter3d!$Q$19</c:f>
                  <c:strCache>
                    <c:ptCount val="1"/>
                  </c:strCache>
                </c:strRef>
              </c:tx>
              <c:spPr>
                <a:solidFill>
                  <a:schemeClr val="bg1">
                    <a:lumMod val="85000"/>
                  </a:schemeClr>
                </a:solidFill>
              </c:spPr>
              <c:txPr>
                <a:bodyPr/>
                <a:lstStyle/>
                <a:p>
                  <a:pPr>
                    <a:defRPr/>
                  </a:pPr>
                  <a:endParaRPr lang="en-US"/>
                </a:p>
              </c:txPr>
              <c:dLblPos val="r"/>
              <c:showVal val="1"/>
            </c:dLbl>
            <c:delete val="1"/>
          </c:dLbls>
          <c:trendline>
            <c:trendlineType val="linear"/>
          </c:trendline>
          <c:xVal>
            <c:numRef>
              <c:f>iScatter3d!$AA$19:$AA$30</c:f>
              <c:numCache>
                <c:formatCode>General</c:formatCode>
                <c:ptCount val="12"/>
                <c:pt idx="0">
                  <c:v>32.8125</c:v>
                </c:pt>
                <c:pt idx="1">
                  <c:v>62.5</c:v>
                </c:pt>
                <c:pt idx="2">
                  <c:v>65.104166666666657</c:v>
                </c:pt>
                <c:pt idx="3">
                  <c:v>15.625</c:v>
                </c:pt>
                <c:pt idx="4">
                  <c:v>33.854166666666664</c:v>
                </c:pt>
                <c:pt idx="5">
                  <c:v>62.5</c:v>
                </c:pt>
                <c:pt idx="6">
                  <c:v>43.229166666666664</c:v>
                </c:pt>
                <c:pt idx="7">
                  <c:v>42.1875</c:v>
                </c:pt>
                <c:pt idx="8">
                  <c:v>26.041666666666664</c:v>
                </c:pt>
                <c:pt idx="9">
                  <c:v>70.3125</c:v>
                </c:pt>
                <c:pt idx="10">
                  <c:v>52.083333333333329</c:v>
                </c:pt>
                <c:pt idx="11">
                  <c:v>39.0625</c:v>
                </c:pt>
              </c:numCache>
            </c:numRef>
          </c:xVal>
          <c:yVal>
            <c:numRef>
              <c:f>iScatter3d!$AB$19:$AB$30</c:f>
              <c:numCache>
                <c:formatCode>General</c:formatCode>
                <c:ptCount val="12"/>
                <c:pt idx="0">
                  <c:v>32.8125</c:v>
                </c:pt>
                <c:pt idx="1">
                  <c:v>62.5</c:v>
                </c:pt>
                <c:pt idx="2">
                  <c:v>65.104166666666657</c:v>
                </c:pt>
                <c:pt idx="3">
                  <c:v>15.625</c:v>
                </c:pt>
                <c:pt idx="4">
                  <c:v>33.854166666666664</c:v>
                </c:pt>
                <c:pt idx="5">
                  <c:v>62.5</c:v>
                </c:pt>
                <c:pt idx="6">
                  <c:v>43.229166666666664</c:v>
                </c:pt>
                <c:pt idx="7">
                  <c:v>42.1875</c:v>
                </c:pt>
                <c:pt idx="8">
                  <c:v>26.041666666666664</c:v>
                </c:pt>
                <c:pt idx="9">
                  <c:v>70.3125</c:v>
                </c:pt>
                <c:pt idx="10">
                  <c:v>52.083333333333329</c:v>
                </c:pt>
                <c:pt idx="11">
                  <c:v>39.0625</c:v>
                </c:pt>
              </c:numCache>
            </c:numRef>
          </c:yVal>
          <c:bubbleSize>
            <c:numRef>
              <c:f>iScatter3d!$AC$19:$AC$30</c:f>
              <c:numCache>
                <c:formatCode>General</c:formatCode>
                <c:ptCount val="12"/>
                <c:pt idx="0">
                  <c:v>32.8125</c:v>
                </c:pt>
                <c:pt idx="1">
                  <c:v>62.5</c:v>
                </c:pt>
                <c:pt idx="2">
                  <c:v>65.104166666666657</c:v>
                </c:pt>
                <c:pt idx="3">
                  <c:v>15.625</c:v>
                </c:pt>
                <c:pt idx="4">
                  <c:v>33.854166666666664</c:v>
                </c:pt>
                <c:pt idx="5">
                  <c:v>62.5</c:v>
                </c:pt>
                <c:pt idx="6">
                  <c:v>43.229166666666664</c:v>
                </c:pt>
                <c:pt idx="7">
                  <c:v>42.1875</c:v>
                </c:pt>
                <c:pt idx="8">
                  <c:v>26.041666666666664</c:v>
                </c:pt>
                <c:pt idx="9">
                  <c:v>70.3125</c:v>
                </c:pt>
                <c:pt idx="10">
                  <c:v>52.083333333333329</c:v>
                </c:pt>
                <c:pt idx="11">
                  <c:v>39.0625</c:v>
                </c:pt>
              </c:numCache>
            </c:numRef>
          </c:bubbleSize>
        </c:ser>
        <c:ser>
          <c:idx val="1"/>
          <c:order val="1"/>
          <c:tx>
            <c:v>Highlighted</c:v>
          </c:tx>
          <c:spPr>
            <a:ln w="28575">
              <a:noFill/>
            </a:ln>
          </c:spPr>
          <c:dLbls>
            <c:dLbl>
              <c:idx val="0"/>
              <c:tx>
                <c:rich>
                  <a:bodyPr/>
                  <a:lstStyle/>
                  <a:p>
                    <a:pPr>
                      <a:defRPr sz="800"/>
                    </a:pPr>
                    <a:endParaRPr lang="en-GB"/>
                  </a:p>
                </c:rich>
              </c:tx>
              <c:spPr>
                <a:noFill/>
                <a:ln w="25400">
                  <a:noFill/>
                </a:ln>
              </c:spPr>
              <c:extLst>
                <c:ext xmlns:c15="http://schemas.microsoft.com/office/drawing/2012/chart" uri="{CE6537A1-D6FC-4f65-9D91-7224C49458BB}"/>
              </c:extLst>
            </c:dLbl>
            <c:dLbl>
              <c:idx val="1"/>
              <c:tx>
                <c:rich>
                  <a:bodyPr/>
                  <a:lstStyle/>
                  <a:p>
                    <a:pPr>
                      <a:defRPr sz="800"/>
                    </a:pPr>
                    <a:endParaRPr lang="en-GB"/>
                  </a:p>
                </c:rich>
              </c:tx>
              <c:spPr>
                <a:noFill/>
                <a:ln w="25400">
                  <a:noFill/>
                </a:ln>
              </c:spPr>
              <c:extLst>
                <c:ext xmlns:c15="http://schemas.microsoft.com/office/drawing/2012/chart" uri="{CE6537A1-D6FC-4f65-9D91-7224C49458BB}"/>
              </c:extLst>
            </c:dLbl>
            <c:dLbl>
              <c:idx val="2"/>
              <c:tx>
                <c:rich>
                  <a:bodyPr/>
                  <a:lstStyle/>
                  <a:p>
                    <a:pPr>
                      <a:defRPr sz="800"/>
                    </a:pPr>
                    <a:endParaRPr lang="en-GB"/>
                  </a:p>
                </c:rich>
              </c:tx>
              <c:spPr>
                <a:noFill/>
                <a:ln w="25400">
                  <a:noFill/>
                </a:ln>
              </c:spPr>
              <c:extLst>
                <c:ext xmlns:c15="http://schemas.microsoft.com/office/drawing/2012/chart" uri="{CE6537A1-D6FC-4f65-9D91-7224C49458BB}"/>
              </c:extLst>
            </c:dLbl>
            <c:dLbl>
              <c:idx val="3"/>
              <c:tx>
                <c:rich>
                  <a:bodyPr/>
                  <a:lstStyle/>
                  <a:p>
                    <a:pPr>
                      <a:defRPr sz="800"/>
                    </a:pPr>
                    <a:endParaRPr lang="en-GB"/>
                  </a:p>
                </c:rich>
              </c:tx>
              <c:spPr>
                <a:noFill/>
                <a:ln w="25400">
                  <a:noFill/>
                </a:ln>
              </c:spPr>
              <c:extLst>
                <c:ext xmlns:c15="http://schemas.microsoft.com/office/drawing/2012/chart" uri="{CE6537A1-D6FC-4f65-9D91-7224C49458BB}"/>
              </c:extLst>
            </c:dLbl>
            <c:dLbl>
              <c:idx val="4"/>
              <c:tx>
                <c:rich>
                  <a:bodyPr/>
                  <a:lstStyle/>
                  <a:p>
                    <a:pPr>
                      <a:defRPr sz="800"/>
                    </a:pPr>
                    <a:endParaRPr lang="en-GB"/>
                  </a:p>
                </c:rich>
              </c:tx>
              <c:spPr>
                <a:noFill/>
                <a:ln w="25400">
                  <a:noFill/>
                </a:ln>
              </c:spPr>
              <c:extLst>
                <c:ext xmlns:c15="http://schemas.microsoft.com/office/drawing/2012/chart" uri="{CE6537A1-D6FC-4f65-9D91-7224C49458BB}"/>
              </c:extLst>
            </c:dLbl>
            <c:dLbl>
              <c:idx val="5"/>
              <c:tx>
                <c:rich>
                  <a:bodyPr/>
                  <a:lstStyle/>
                  <a:p>
                    <a:pPr>
                      <a:defRPr sz="800"/>
                    </a:pPr>
                    <a:endParaRPr lang="en-GB"/>
                  </a:p>
                </c:rich>
              </c:tx>
              <c:spPr>
                <a:noFill/>
                <a:ln w="25400">
                  <a:noFill/>
                </a:ln>
              </c:spPr>
              <c:extLst>
                <c:ext xmlns:c15="http://schemas.microsoft.com/office/drawing/2012/chart" uri="{CE6537A1-D6FC-4f65-9D91-7224C49458BB}"/>
              </c:extLst>
            </c:dLbl>
            <c:dLbl>
              <c:idx val="6"/>
              <c:tx>
                <c:rich>
                  <a:bodyPr/>
                  <a:lstStyle/>
                  <a:p>
                    <a:pPr>
                      <a:defRPr sz="800"/>
                    </a:pPr>
                    <a:endParaRPr lang="en-GB"/>
                  </a:p>
                </c:rich>
              </c:tx>
              <c:spPr>
                <a:noFill/>
                <a:ln w="25400">
                  <a:noFill/>
                </a:ln>
              </c:spPr>
              <c:extLst>
                <c:ext xmlns:c15="http://schemas.microsoft.com/office/drawing/2012/chart" uri="{CE6537A1-D6FC-4f65-9D91-7224C49458BB}"/>
              </c:extLst>
            </c:dLbl>
            <c:dLbl>
              <c:idx val="7"/>
              <c:tx>
                <c:rich>
                  <a:bodyPr/>
                  <a:lstStyle/>
                  <a:p>
                    <a:pPr>
                      <a:defRPr sz="800"/>
                    </a:pPr>
                    <a:endParaRPr lang="en-GB"/>
                  </a:p>
                </c:rich>
              </c:tx>
              <c:spPr>
                <a:noFill/>
                <a:ln w="25400">
                  <a:noFill/>
                </a:ln>
              </c:spPr>
              <c:extLst>
                <c:ext xmlns:c15="http://schemas.microsoft.com/office/drawing/2012/chart" uri="{CE6537A1-D6FC-4f65-9D91-7224C49458BB}"/>
              </c:extLst>
            </c:dLbl>
            <c:delete val="1"/>
            <c:spPr>
              <a:noFill/>
              <a:ln>
                <a:noFill/>
              </a:ln>
              <a:effectLst/>
            </c:spPr>
            <c:extLst>
              <c:ext xmlns:c15="http://schemas.microsoft.com/office/drawing/2012/chart" uri="{CE6537A1-D6FC-4f65-9D91-7224C49458BB}">
                <c15:showLeaderLines val="0"/>
              </c:ext>
            </c:extLst>
          </c:dLbls>
          <c:xVal>
            <c:numRef>
              <c:f>iScatter3d!$AE$19:$AE$30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iScatter3d!$AF$19:$AF$30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bubbleSize>
            <c:numRef>
              <c:f>iScatter3d!$AG$19:$AG$30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bubbleSize>
        </c:ser>
        <c:ser>
          <c:idx val="2"/>
          <c:order val="2"/>
          <c:tx>
            <c:v>Labels</c:v>
          </c:tx>
          <c:spPr>
            <a:noFill/>
            <a:ln w="28575">
              <a:noFill/>
            </a:ln>
          </c:spPr>
          <c:dLbls>
            <c:dLbl>
              <c:idx val="0"/>
              <c:tx>
                <c:strRef>
                  <c:f>iScatter!$B$19</c:f>
                  <c:strCache>
                    <c:ptCount val="1"/>
                    <c:pt idx="0">
                      <c:v>Asunción</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{0B05BDA4-0E42-4CBB-85AF-823F404B05F0}</c15:txfldGUID>
                      <c15:f>iScatter!$B$19</c15:f>
                      <c15:dlblFieldTableCache>
                        <c:ptCount val="1"/>
                        <c:pt idx="0">
                          <c:v>Algeria</c:v>
                        </c:pt>
                      </c15:dlblFieldTableCache>
                    </c15:dlblFTEntry>
                  </c15:dlblFieldTable>
                  <c15:showDataLabelsRange val="0"/>
                </c:ext>
              </c:extLst>
            </c:dLbl>
            <c:dLbl>
              <c:idx val="1"/>
              <c:tx>
                <c:strRef>
                  <c:f>iScatter!$B$20</c:f>
                  <c:strCache>
                    <c:ptCount val="1"/>
                    <c:pt idx="0">
                      <c:v>Bogotá</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{34FDE213-6290-43A5-836D-6FE971E9B3DD}</c15:txfldGUID>
                      <c15:f>iScatter!$B$20</c15:f>
                      <c15:dlblFieldTableCache>
                        <c:ptCount val="1"/>
                        <c:pt idx="0">
                          <c:v>Argentina</c:v>
                        </c:pt>
                      </c15:dlblFieldTableCache>
                    </c15:dlblFTEntry>
                  </c15:dlblFieldTable>
                  <c15:showDataLabelsRange val="0"/>
                </c:ext>
              </c:extLst>
            </c:dLbl>
            <c:dLbl>
              <c:idx val="2"/>
              <c:tx>
                <c:strRef>
                  <c:f>iScatter!$B$21</c:f>
                  <c:strCache>
                    <c:ptCount val="1"/>
                    <c:pt idx="0">
                      <c:v>Buenos Aires</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{96A7825E-261D-4518-BBE1-7320772C87BB}</c15:txfldGUID>
                      <c15:f>iScatter!$B$21</c15:f>
                      <c15:dlblFieldTableCache>
                        <c:ptCount val="1"/>
                        <c:pt idx="0">
                          <c:v>Australia</c:v>
                        </c:pt>
                      </c15:dlblFieldTableCache>
                    </c15:dlblFTEntry>
                  </c15:dlblFieldTable>
                  <c15:showDataLabelsRange val="0"/>
                </c:ext>
              </c:extLst>
            </c:dLbl>
            <c:dLbl>
              <c:idx val="3"/>
              <c:tx>
                <c:strRef>
                  <c:f>iScatter!$B$22</c:f>
                  <c:strCache>
                    <c:ptCount val="1"/>
                    <c:pt idx="0">
                      <c:v>Ciudad de Belice</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{D76103A4-D5FB-446C-A03D-54352BE0E49C}</c15:txfldGUID>
                      <c15:f>iScatter!$B$22</c15:f>
                      <c15:dlblFieldTableCache>
                        <c:ptCount val="1"/>
                        <c:pt idx="0">
                          <c:v>Austria</c:v>
                        </c:pt>
                      </c15:dlblFieldTableCache>
                    </c15:dlblFTEntry>
                  </c15:dlblFieldTable>
                  <c15:showDataLabelsRange val="0"/>
                </c:ext>
              </c:extLst>
            </c:dLbl>
            <c:dLbl>
              <c:idx val="4"/>
              <c:tx>
                <c:strRef>
                  <c:f>iScatter!$B$23</c:f>
                  <c:strCache>
                    <c:ptCount val="1"/>
                    <c:pt idx="0">
                      <c:v>Ciudad de México</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{D9DAEDA7-7E5F-4C33-A23C-444FD0074DBA}</c15:txfldGUID>
                      <c15:f>iScatter!$B$23</c15:f>
                      <c15:dlblFieldTableCache>
                        <c:ptCount val="1"/>
                        <c:pt idx="0">
                          <c:v>Belgium</c:v>
                        </c:pt>
                      </c15:dlblFieldTableCache>
                    </c15:dlblFTEntry>
                  </c15:dlblFieldTable>
                  <c15:showDataLabelsRange val="0"/>
                </c:ext>
              </c:extLst>
            </c:dLbl>
            <c:dLbl>
              <c:idx val="5"/>
              <c:tx>
                <c:strRef>
                  <c:f>iScatter!$B$24</c:f>
                  <c:strCache>
                    <c:ptCount val="1"/>
                    <c:pt idx="0">
                      <c:v>Lima</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{0A770D70-879A-4D5A-80AD-AD44D616EF2D}</c15:txfldGUID>
                      <c15:f>iScatter!$B$24</c15:f>
                      <c15:dlblFieldTableCache>
                        <c:ptCount val="1"/>
                        <c:pt idx="0">
                          <c:v>Brazil</c:v>
                        </c:pt>
                      </c15:dlblFieldTableCache>
                    </c15:dlblFTEntry>
                  </c15:dlblFieldTable>
                  <c15:showDataLabelsRange val="0"/>
                </c:ext>
              </c:extLst>
            </c:dLbl>
            <c:dLbl>
              <c:idx val="6"/>
              <c:tx>
                <c:strRef>
                  <c:f>iScatter!$B$25</c:f>
                  <c:strCache>
                    <c:ptCount val="1"/>
                    <c:pt idx="0">
                      <c:v>Montevideo</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{FDEF356C-32C8-441D-81EA-A33C55E9B8E7}</c15:txfldGUID>
                      <c15:f>iScatter!$B$25</c15:f>
                      <c15:dlblFieldTableCache>
                        <c:ptCount val="1"/>
                        <c:pt idx="0">
                          <c:v>Canada</c:v>
                        </c:pt>
                      </c15:dlblFieldTableCache>
                    </c15:dlblFTEntry>
                  </c15:dlblFieldTable>
                  <c15:showDataLabelsRange val="0"/>
                </c:ext>
              </c:extLst>
            </c:dLbl>
            <c:dLbl>
              <c:idx val="7"/>
              <c:tx>
                <c:strRef>
                  <c:f>iScatter!$B$26</c:f>
                  <c:strCache>
                    <c:ptCount val="1"/>
                    <c:pt idx="0">
                      <c:v>Quito</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{65D5EED4-0C76-43EC-A61B-2517F9B8ACAE}</c15:txfldGUID>
                      <c15:f>iScatter!$B$26</c15:f>
                      <c15:dlblFieldTableCache>
                        <c:ptCount val="1"/>
                        <c:pt idx="0">
                          <c:v>Chile</c:v>
                        </c:pt>
                      </c15:dlblFieldTableCache>
                    </c15:dlblFTEntry>
                  </c15:dlblFieldTable>
                  <c15:showDataLabelsRange val="0"/>
                </c:ext>
              </c:extLst>
            </c:dLbl>
            <c:dLbl>
              <c:idx val="8"/>
              <c:tx>
                <c:strRef>
                  <c:f>iScatter!$B$27</c:f>
                  <c:strCache>
                    <c:ptCount val="1"/>
                    <c:pt idx="0">
                      <c:v>San José</c:v>
                    </c:pt>
                  </c:strCache>
                </c:strRef>
              </c:tx>
              <c:showSerName val="1"/>
              <c:extLst>
                <c:ext xmlns:c15="http://schemas.microsoft.com/office/drawing/2012/chart" uri="{CE6537A1-D6FC-4f65-9D91-7224C49458BB}">
                  <c15:dlblFieldTable>
                    <c15:dlblFTEntry>
                      <c15:txfldGUID>{C1761FB4-ADE5-4438-8C35-D770FB65D429}</c15:txfldGUID>
                      <c15:f>iScatter!$B$27</c15:f>
                      <c15:dlblFieldTableCache>
                        <c:ptCount val="1"/>
                        <c:pt idx="0">
                          <c:v>China</c:v>
                        </c:pt>
                      </c15:dlblFieldTableCache>
                    </c15:dlblFTEntry>
                  </c15:dlblFieldTable>
                  <c15:showDataLabelsRange val="0"/>
                </c:ext>
              </c:extLst>
            </c:dLbl>
            <c:dLbl>
              <c:idx val="9"/>
              <c:tx>
                <c:strRef>
                  <c:f>iScatter!$B$28</c:f>
                  <c:strCache>
                    <c:ptCount val="1"/>
                    <c:pt idx="0">
                      <c:v>San Pablo</c:v>
                    </c:pt>
                  </c:strCache>
                </c:strRef>
              </c:tx>
              <c:showSerName val="1"/>
              <c:extLst>
                <c:ext xmlns:c15="http://schemas.microsoft.com/office/drawing/2012/chart" uri="{CE6537A1-D6FC-4f65-9D91-7224C49458BB}">
                  <c15:dlblFieldTable>
                    <c15:dlblFTEntry>
                      <c15:txfldGUID>{6116B2DC-56DA-4B9B-8C8A-4D62ABFB35D8}</c15:txfldGUID>
                      <c15:f>iScatter!$B$28</c15:f>
                      <c15:dlblFieldTableCache>
                        <c:ptCount val="1"/>
                        <c:pt idx="0">
                          <c:v>Colombia</c:v>
                        </c:pt>
                      </c15:dlblFieldTableCache>
                    </c15:dlblFTEntry>
                  </c15:dlblFieldTable>
                  <c15:showDataLabelsRange val="0"/>
                </c:ext>
              </c:extLst>
            </c:dLbl>
            <c:dLbl>
              <c:idx val="10"/>
              <c:tx>
                <c:strRef>
                  <c:f>iScatter!$B$29</c:f>
                  <c:strCache>
                    <c:ptCount val="1"/>
                    <c:pt idx="0">
                      <c:v>Santa Cruz</c:v>
                    </c:pt>
                  </c:strCache>
                </c:strRef>
              </c:tx>
              <c:showSerName val="1"/>
              <c:extLst>
                <c:ext xmlns:c15="http://schemas.microsoft.com/office/drawing/2012/chart" uri="{CE6537A1-D6FC-4f65-9D91-7224C49458BB}">
                  <c15:dlblFieldTable>
                    <c15:dlblFTEntry>
                      <c15:txfldGUID>{BD67773C-CD3C-4F05-8B5E-376302870ABA}</c15:txfldGUID>
                      <c15:f>iScatter!$B$29</c15:f>
                      <c15:dlblFieldTableCache>
                        <c:ptCount val="1"/>
                        <c:pt idx="0">
                          <c:v>Costa Rica</c:v>
                        </c:pt>
                      </c15:dlblFieldTableCache>
                    </c15:dlblFTEntry>
                  </c15:dlblFieldTable>
                  <c15:showDataLabelsRange val="0"/>
                </c:ext>
              </c:extLst>
            </c:dLbl>
            <c:dLbl>
              <c:idx val="11"/>
              <c:tx>
                <c:strRef>
                  <c:f>iScatter!$B$30</c:f>
                  <c:strCache>
                    <c:ptCount val="1"/>
                    <c:pt idx="0">
                      <c:v>Santiago de Chile</c:v>
                    </c:pt>
                  </c:strCache>
                </c:strRef>
              </c:tx>
              <c:showSerName val="1"/>
              <c:extLst>
                <c:ext xmlns:c15="http://schemas.microsoft.com/office/drawing/2012/chart" uri="{CE6537A1-D6FC-4f65-9D91-7224C49458BB}">
                  <c15:dlblFieldTable>
                    <c15:dlblFTEntry>
                      <c15:txfldGUID>{DA9BD986-86AD-4CD8-9C06-523CD3802740}</c15:txfldGUID>
                      <c15:f>iScatter!$B$30</c15:f>
                      <c15:dlblFieldTableCache>
                        <c:ptCount val="1"/>
                        <c:pt idx="0">
                          <c:v>Croatia</c:v>
                        </c:pt>
                      </c15:dlblFieldTableCache>
                    </c15:dlblFTEntry>
                  </c15:dlblFieldTable>
                  <c15:showDataLabelsRange val="0"/>
                </c:ext>
              </c:extLst>
            </c:dLbl>
            <c:dLbl>
              <c:idx val="12"/>
              <c:tx>
                <c:strRef>
                  <c:f>iScatter!#REF!</c:f>
                  <c:strCache>
                    <c:ptCount val="1"/>
                    <c:pt idx="0">
                      <c:v>#REF!</c:v>
                    </c:pt>
                  </c:strCache>
                </c:strRef>
              </c:tx>
              <c:showSerName val="1"/>
              <c:extLst>
                <c:ext xmlns:c15="http://schemas.microsoft.com/office/drawing/2012/chart" uri="{CE6537A1-D6FC-4f65-9D91-7224C49458BB}">
                  <c15:dlblFieldTable>
                    <c15:dlblFTEntry>
                      <c15:txfldGUID>{562C8A92-1B09-42CC-9A0B-51C8FED1C978}</c15:txfldGUID>
                      <c15:f>iScatter!$B$31</c15:f>
                      <c15:dlblFieldTableCache>
                        <c:ptCount val="1"/>
                        <c:pt idx="0">
                          <c:v>Czech Republic</c:v>
                        </c:pt>
                      </c15:dlblFieldTableCache>
                    </c15:dlblFTEntry>
                  </c15:dlblFieldTable>
                  <c15:showDataLabelsRange val="0"/>
                </c:ext>
              </c:extLst>
            </c:dLbl>
            <c:dLbl>
              <c:idx val="13"/>
              <c:tx>
                <c:strRef>
                  <c:f>iScatter!#REF!</c:f>
                  <c:strCache>
                    <c:ptCount val="1"/>
                    <c:pt idx="0">
                      <c:v>#REF!</c:v>
                    </c:pt>
                  </c:strCache>
                </c:strRef>
              </c:tx>
              <c:showSerName val="1"/>
              <c:extLst>
                <c:ext xmlns:c15="http://schemas.microsoft.com/office/drawing/2012/chart" uri="{CE6537A1-D6FC-4f65-9D91-7224C49458BB}">
                  <c15:dlblFieldTable>
                    <c15:dlblFTEntry>
                      <c15:txfldGUID>{7B4FF84F-980A-4488-B283-72F00F501204}</c15:txfldGUID>
                      <c15:f>iScatter!$B$32</c15:f>
                      <c15:dlblFieldTableCache>
                        <c:ptCount val="1"/>
                        <c:pt idx="0">
                          <c:v>Denmark</c:v>
                        </c:pt>
                      </c15:dlblFieldTableCache>
                    </c15:dlblFTEntry>
                  </c15:dlblFieldTable>
                  <c15:showDataLabelsRange val="0"/>
                </c:ext>
              </c:extLst>
            </c:dLbl>
            <c:dLbl>
              <c:idx val="14"/>
              <c:tx>
                <c:strRef>
                  <c:f>iScatter!#REF!</c:f>
                  <c:strCache>
                    <c:ptCount val="1"/>
                    <c:pt idx="0">
                      <c:v>#REF!</c:v>
                    </c:pt>
                  </c:strCache>
                </c:strRef>
              </c:tx>
              <c:showSerName val="1"/>
              <c:extLst>
                <c:ext xmlns:c15="http://schemas.microsoft.com/office/drawing/2012/chart" uri="{CE6537A1-D6FC-4f65-9D91-7224C49458BB}">
                  <c15:dlblFieldTable>
                    <c15:dlblFTEntry>
                      <c15:txfldGUID>{20F9AF27-36F2-4DE0-9862-8FBFE23EE60C}</c15:txfldGUID>
                      <c15:f>iScatter!$B$33</c15:f>
                      <c15:dlblFieldTableCache>
                        <c:ptCount val="1"/>
                        <c:pt idx="0">
                          <c:v>Egypt</c:v>
                        </c:pt>
                      </c15:dlblFieldTableCache>
                    </c15:dlblFTEntry>
                  </c15:dlblFieldTable>
                  <c15:showDataLabelsRange val="0"/>
                </c:ext>
              </c:extLst>
            </c:dLbl>
            <c:dLbl>
              <c:idx val="15"/>
              <c:tx>
                <c:strRef>
                  <c:f>iScatter!#REF!</c:f>
                  <c:strCache>
                    <c:ptCount val="1"/>
                    <c:pt idx="0">
                      <c:v>#REF!</c:v>
                    </c:pt>
                  </c:strCache>
                </c:strRef>
              </c:tx>
              <c:showSerName val="1"/>
              <c:extLst>
                <c:ext xmlns:c15="http://schemas.microsoft.com/office/drawing/2012/chart" uri="{CE6537A1-D6FC-4f65-9D91-7224C49458BB}">
                  <c15:dlblFieldTable>
                    <c15:dlblFTEntry>
                      <c15:txfldGUID>{0E8BF82B-7837-4960-8991-A69B84A7AB68}</c15:txfldGUID>
                      <c15:f>iScatter!$B$34</c15:f>
                      <c15:dlblFieldTableCache>
                        <c:ptCount val="1"/>
                        <c:pt idx="0">
                          <c:v>Finland</c:v>
                        </c:pt>
                      </c15:dlblFieldTableCache>
                    </c15:dlblFTEntry>
                  </c15:dlblFieldTable>
                  <c15:showDataLabelsRange val="0"/>
                </c:ext>
              </c:extLst>
            </c:dLbl>
            <c:dLbl>
              <c:idx val="16"/>
              <c:tx>
                <c:strRef>
                  <c:f>iScatter!#REF!</c:f>
                  <c:strCache>
                    <c:ptCount val="1"/>
                    <c:pt idx="0">
                      <c:v>#REF!</c:v>
                    </c:pt>
                  </c:strCache>
                </c:strRef>
              </c:tx>
              <c:showSerName val="1"/>
              <c:extLst>
                <c:ext xmlns:c15="http://schemas.microsoft.com/office/drawing/2012/chart" uri="{CE6537A1-D6FC-4f65-9D91-7224C49458BB}">
                  <c15:dlblFieldTable>
                    <c15:dlblFTEntry>
                      <c15:txfldGUID>{E13FF348-3834-4A1E-BB39-9253498726EC}</c15:txfldGUID>
                      <c15:f>iScatter!$B$35</c15:f>
                      <c15:dlblFieldTableCache>
                        <c:ptCount val="1"/>
                        <c:pt idx="0">
                          <c:v>France</c:v>
                        </c:pt>
                      </c15:dlblFieldTableCache>
                    </c15:dlblFTEntry>
                  </c15:dlblFieldTable>
                  <c15:showDataLabelsRange val="0"/>
                </c:ext>
              </c:extLst>
            </c:dLbl>
            <c:dLbl>
              <c:idx val="17"/>
              <c:tx>
                <c:strRef>
                  <c:f>iScatter!#REF!</c:f>
                  <c:strCache>
                    <c:ptCount val="1"/>
                    <c:pt idx="0">
                      <c:v>#REF!</c:v>
                    </c:pt>
                  </c:strCache>
                </c:strRef>
              </c:tx>
              <c:showSerName val="1"/>
              <c:extLst>
                <c:ext xmlns:c15="http://schemas.microsoft.com/office/drawing/2012/chart" uri="{CE6537A1-D6FC-4f65-9D91-7224C49458BB}">
                  <c15:dlblFieldTable>
                    <c15:dlblFTEntry>
                      <c15:txfldGUID>{8ACAF1CA-D8C1-4B8A-940E-1F550F4F9EED}</c15:txfldGUID>
                      <c15:f>iScatter!$B$36</c15:f>
                      <c15:dlblFieldTableCache>
                        <c:ptCount val="1"/>
                        <c:pt idx="0">
                          <c:v>Germany</c:v>
                        </c:pt>
                      </c15:dlblFieldTableCache>
                    </c15:dlblFTEntry>
                  </c15:dlblFieldTable>
                  <c15:showDataLabelsRange val="0"/>
                </c:ext>
              </c:extLst>
            </c:dLbl>
            <c:dLbl>
              <c:idx val="18"/>
              <c:tx>
                <c:strRef>
                  <c:f>iScatter!#REF!</c:f>
                  <c:strCache>
                    <c:ptCount val="1"/>
                    <c:pt idx="0">
                      <c:v>#REF!</c:v>
                    </c:pt>
                  </c:strCache>
                </c:strRef>
              </c:tx>
              <c:showSerName val="1"/>
              <c:extLst>
                <c:ext xmlns:c15="http://schemas.microsoft.com/office/drawing/2012/chart" uri="{CE6537A1-D6FC-4f65-9D91-7224C49458BB}">
                  <c15:dlblFieldTable>
                    <c15:dlblFTEntry>
                      <c15:txfldGUID>{20CD5E6F-8413-4861-822F-4F5E47B673A7}</c15:txfldGUID>
                      <c15:f>iScatter!$B$37</c15:f>
                      <c15:dlblFieldTableCache>
                        <c:ptCount val="1"/>
                        <c:pt idx="0">
                          <c:v>Greece</c:v>
                        </c:pt>
                      </c15:dlblFieldTableCache>
                    </c15:dlblFTEntry>
                  </c15:dlblFieldTable>
                  <c15:showDataLabelsRange val="0"/>
                </c:ext>
              </c:extLst>
            </c:dLbl>
            <c:dLbl>
              <c:idx val="19"/>
              <c:tx>
                <c:strRef>
                  <c:f>iScatter!#REF!</c:f>
                  <c:strCache>
                    <c:ptCount val="1"/>
                    <c:pt idx="0">
                      <c:v>#REF!</c:v>
                    </c:pt>
                  </c:strCache>
                </c:strRef>
              </c:tx>
              <c:showSerName val="1"/>
              <c:extLst>
                <c:ext xmlns:c15="http://schemas.microsoft.com/office/drawing/2012/chart" uri="{CE6537A1-D6FC-4f65-9D91-7224C49458BB}">
                  <c15:dlblFieldTable>
                    <c15:dlblFTEntry>
                      <c15:txfldGUID>{0BFC23DC-F0D7-4B3F-8122-5A1D3A4867BA}</c15:txfldGUID>
                      <c15:f>iScatter!$B$38</c15:f>
                      <c15:dlblFieldTableCache>
                        <c:ptCount val="1"/>
                        <c:pt idx="0">
                          <c:v>Hong Kong</c:v>
                        </c:pt>
                      </c15:dlblFieldTableCache>
                    </c15:dlblFTEntry>
                  </c15:dlblFieldTable>
                  <c15:showDataLabelsRange val="0"/>
                </c:ext>
              </c:extLst>
            </c:dLbl>
            <c:dLbl>
              <c:idx val="20"/>
              <c:tx>
                <c:strRef>
                  <c:f>iScatter!#REF!</c:f>
                  <c:strCache>
                    <c:ptCount val="1"/>
                    <c:pt idx="0">
                      <c:v>#REF!</c:v>
                    </c:pt>
                  </c:strCache>
                </c:strRef>
              </c:tx>
              <c:showSerName val="1"/>
              <c:extLst>
                <c:ext xmlns:c15="http://schemas.microsoft.com/office/drawing/2012/chart" uri="{CE6537A1-D6FC-4f65-9D91-7224C49458BB}">
                  <c15:dlblFieldTable>
                    <c15:dlblFTEntry>
                      <c15:txfldGUID>{2DA62E0A-E405-4037-8196-E6F8FEE52DD9}</c15:txfldGUID>
                      <c15:f>iScatter!$B$39</c15:f>
                      <c15:dlblFieldTableCache>
                        <c:ptCount val="1"/>
                        <c:pt idx="0">
                          <c:v>Hungary</c:v>
                        </c:pt>
                      </c15:dlblFieldTableCache>
                    </c15:dlblFTEntry>
                  </c15:dlblFieldTable>
                  <c15:showDataLabelsRange val="0"/>
                </c:ext>
              </c:extLst>
            </c:dLbl>
            <c:dLbl>
              <c:idx val="21"/>
              <c:tx>
                <c:strRef>
                  <c:f>iScatter!#REF!</c:f>
                  <c:strCache>
                    <c:ptCount val="1"/>
                    <c:pt idx="0">
                      <c:v>#REF!</c:v>
                    </c:pt>
                  </c:strCache>
                </c:strRef>
              </c:tx>
              <c:showSerName val="1"/>
              <c:extLst>
                <c:ext xmlns:c15="http://schemas.microsoft.com/office/drawing/2012/chart" uri="{CE6537A1-D6FC-4f65-9D91-7224C49458BB}">
                  <c15:dlblFieldTable>
                    <c15:dlblFTEntry>
                      <c15:txfldGUID>{AE6CE0AE-A5A5-488A-94B3-A40FD4F0FD39}</c15:txfldGUID>
                      <c15:f>iScatter!$B$40</c15:f>
                      <c15:dlblFieldTableCache>
                        <c:ptCount val="1"/>
                        <c:pt idx="0">
                          <c:v>India</c:v>
                        </c:pt>
                      </c15:dlblFieldTableCache>
                    </c15:dlblFTEntry>
                  </c15:dlblFieldTable>
                  <c15:showDataLabelsRange val="0"/>
                </c:ext>
              </c:extLst>
            </c:dLbl>
            <c:dLbl>
              <c:idx val="22"/>
              <c:tx>
                <c:strRef>
                  <c:f>iScatter!#REF!</c:f>
                  <c:strCache>
                    <c:ptCount val="1"/>
                    <c:pt idx="0">
                      <c:v>#REF!</c:v>
                    </c:pt>
                  </c:strCache>
                </c:strRef>
              </c:tx>
              <c:showSerName val="1"/>
              <c:extLst>
                <c:ext xmlns:c15="http://schemas.microsoft.com/office/drawing/2012/chart" uri="{CE6537A1-D6FC-4f65-9D91-7224C49458BB}">
                  <c15:dlblFieldTable>
                    <c15:dlblFTEntry>
                      <c15:txfldGUID>{122F9296-1290-480C-998A-B11CFA1115ED}</c15:txfldGUID>
                      <c15:f>iScatter!$B$41</c15:f>
                      <c15:dlblFieldTableCache>
                        <c:ptCount val="1"/>
                        <c:pt idx="0">
                          <c:v>Indonesia</c:v>
                        </c:pt>
                      </c15:dlblFieldTableCache>
                    </c15:dlblFTEntry>
                  </c15:dlblFieldTable>
                  <c15:showDataLabelsRange val="0"/>
                </c:ext>
              </c:extLst>
            </c:dLbl>
            <c:dLbl>
              <c:idx val="23"/>
              <c:tx>
                <c:strRef>
                  <c:f>iScatter!#REF!</c:f>
                  <c:strCache>
                    <c:ptCount val="1"/>
                    <c:pt idx="0">
                      <c:v>#REF!</c:v>
                    </c:pt>
                  </c:strCache>
                </c:strRef>
              </c:tx>
              <c:showSerName val="1"/>
              <c:extLst>
                <c:ext xmlns:c15="http://schemas.microsoft.com/office/drawing/2012/chart" uri="{CE6537A1-D6FC-4f65-9D91-7224C49458BB}">
                  <c15:dlblFieldTable>
                    <c15:dlblFTEntry>
                      <c15:txfldGUID>{C3370E02-BD81-4647-A065-EDBA24EECF63}</c15:txfldGUID>
                      <c15:f>iScatter!$B$42</c15:f>
                      <c15:dlblFieldTableCache>
                        <c:ptCount val="1"/>
                        <c:pt idx="0">
                          <c:v>Ireland</c:v>
                        </c:pt>
                      </c15:dlblFieldTableCache>
                    </c15:dlblFTEntry>
                  </c15:dlblFieldTable>
                  <c15:showDataLabelsRange val="0"/>
                </c:ext>
              </c:extLst>
            </c:dLbl>
            <c:dLbl>
              <c:idx val="24"/>
              <c:tx>
                <c:strRef>
                  <c:f>iScatter!#REF!</c:f>
                  <c:strCache>
                    <c:ptCount val="1"/>
                    <c:pt idx="0">
                      <c:v>#REF!</c:v>
                    </c:pt>
                  </c:strCache>
                </c:strRef>
              </c:tx>
              <c:showSerName val="1"/>
              <c:extLst>
                <c:ext xmlns:c15="http://schemas.microsoft.com/office/drawing/2012/chart" uri="{CE6537A1-D6FC-4f65-9D91-7224C49458BB}">
                  <c15:dlblFieldTable>
                    <c15:dlblFTEntry>
                      <c15:txfldGUID>{745107D9-C689-46C0-A83B-39C66011A223}</c15:txfldGUID>
                      <c15:f>iScatter!$B$43</c15:f>
                      <c15:dlblFieldTableCache>
                        <c:ptCount val="1"/>
                        <c:pt idx="0">
                          <c:v>Israel</c:v>
                        </c:pt>
                      </c15:dlblFieldTableCache>
                    </c15:dlblFTEntry>
                  </c15:dlblFieldTable>
                  <c15:showDataLabelsRange val="0"/>
                </c:ext>
              </c:extLst>
            </c:dLbl>
            <c:dLbl>
              <c:idx val="25"/>
              <c:tx>
                <c:strRef>
                  <c:f>iScatter!#REF!</c:f>
                  <c:strCache>
                    <c:ptCount val="1"/>
                    <c:pt idx="0">
                      <c:v>#REF!</c:v>
                    </c:pt>
                  </c:strCache>
                </c:strRef>
              </c:tx>
              <c:showSerName val="1"/>
              <c:extLst>
                <c:ext xmlns:c15="http://schemas.microsoft.com/office/drawing/2012/chart" uri="{CE6537A1-D6FC-4f65-9D91-7224C49458BB}">
                  <c15:dlblFieldTable>
                    <c15:dlblFTEntry>
                      <c15:txfldGUID>{E7EAE0FA-E8C1-4A75-A31B-C59D9135C15C}</c15:txfldGUID>
                      <c15:f>iScatter!$B$44</c15:f>
                      <c15:dlblFieldTableCache>
                        <c:ptCount val="1"/>
                        <c:pt idx="0">
                          <c:v>Italy</c:v>
                        </c:pt>
                      </c15:dlblFieldTableCache>
                    </c15:dlblFTEntry>
                  </c15:dlblFieldTable>
                  <c15:showDataLabelsRange val="0"/>
                </c:ext>
              </c:extLst>
            </c:dLbl>
            <c:dLbl>
              <c:idx val="26"/>
              <c:tx>
                <c:strRef>
                  <c:f>iScatter!#REF!</c:f>
                  <c:strCache>
                    <c:ptCount val="1"/>
                    <c:pt idx="0">
                      <c:v>#REF!</c:v>
                    </c:pt>
                  </c:strCache>
                </c:strRef>
              </c:tx>
              <c:showSerName val="1"/>
              <c:extLst>
                <c:ext xmlns:c15="http://schemas.microsoft.com/office/drawing/2012/chart" uri="{CE6537A1-D6FC-4f65-9D91-7224C49458BB}">
                  <c15:dlblFieldTable>
                    <c15:dlblFTEntry>
                      <c15:txfldGUID>{EFC6BCFD-7CF6-45CA-9CA6-34D51DAC2DFC}</c15:txfldGUID>
                      <c15:f>iScatter!$B$45</c15:f>
                      <c15:dlblFieldTableCache>
                        <c:ptCount val="1"/>
                        <c:pt idx="0">
                          <c:v>Japan</c:v>
                        </c:pt>
                      </c15:dlblFieldTableCache>
                    </c15:dlblFTEntry>
                  </c15:dlblFieldTable>
                  <c15:showDataLabelsRange val="0"/>
                </c:ext>
              </c:extLst>
            </c:dLbl>
            <c:dLbl>
              <c:idx val="27"/>
              <c:tx>
                <c:strRef>
                  <c:f>iScatter!#REF!</c:f>
                  <c:strCache>
                    <c:ptCount val="1"/>
                    <c:pt idx="0">
                      <c:v>#REF!</c:v>
                    </c:pt>
                  </c:strCache>
                </c:strRef>
              </c:tx>
              <c:showSerName val="1"/>
              <c:extLst>
                <c:ext xmlns:c15="http://schemas.microsoft.com/office/drawing/2012/chart" uri="{CE6537A1-D6FC-4f65-9D91-7224C49458BB}">
                  <c15:dlblFieldTable>
                    <c15:dlblFTEntry>
                      <c15:txfldGUID>{852FF62F-D597-4A0A-B87B-D0067315D1BF}</c15:txfldGUID>
                      <c15:f>iScatter!$B$46</c15:f>
                      <c15:dlblFieldTableCache>
                        <c:ptCount val="1"/>
                        <c:pt idx="0">
                          <c:v>Malaysia</c:v>
                        </c:pt>
                      </c15:dlblFieldTableCache>
                    </c15:dlblFTEntry>
                  </c15:dlblFieldTable>
                  <c15:showDataLabelsRange val="0"/>
                </c:ext>
              </c:extLst>
            </c:dLbl>
            <c:dLbl>
              <c:idx val="28"/>
              <c:tx>
                <c:strRef>
                  <c:f>iScatter!#REF!</c:f>
                  <c:strCache>
                    <c:ptCount val="1"/>
                    <c:pt idx="0">
                      <c:v>#REF!</c:v>
                    </c:pt>
                  </c:strCache>
                </c:strRef>
              </c:tx>
              <c:showSerName val="1"/>
              <c:extLst>
                <c:ext xmlns:c15="http://schemas.microsoft.com/office/drawing/2012/chart" uri="{CE6537A1-D6FC-4f65-9D91-7224C49458BB}">
                  <c15:dlblFieldTable>
                    <c15:dlblFTEntry>
                      <c15:txfldGUID>{57941531-FA13-49AD-9B39-A84967FC491A}</c15:txfldGUID>
                      <c15:f>iScatter!$B$47</c15:f>
                      <c15:dlblFieldTableCache>
                        <c:ptCount val="1"/>
                        <c:pt idx="0">
                          <c:v>Mexico</c:v>
                        </c:pt>
                      </c15:dlblFieldTableCache>
                    </c15:dlblFTEntry>
                  </c15:dlblFieldTable>
                  <c15:showDataLabelsRange val="0"/>
                </c:ext>
              </c:extLst>
            </c:dLbl>
            <c:dLbl>
              <c:idx val="29"/>
              <c:tx>
                <c:strRef>
                  <c:f>iScatter!#REF!</c:f>
                  <c:strCache>
                    <c:ptCount val="1"/>
                    <c:pt idx="0">
                      <c:v>#REF!</c:v>
                    </c:pt>
                  </c:strCache>
                </c:strRef>
              </c:tx>
              <c:showSerName val="1"/>
              <c:extLst>
                <c:ext xmlns:c15="http://schemas.microsoft.com/office/drawing/2012/chart" uri="{CE6537A1-D6FC-4f65-9D91-7224C49458BB}">
                  <c15:dlblFieldTable>
                    <c15:dlblFTEntry>
                      <c15:txfldGUID>{377334CB-3740-47FE-9D2D-DFD91B4FF650}</c15:txfldGUID>
                      <c15:f>iScatter!$B$48</c15:f>
                      <c15:dlblFieldTableCache>
                        <c:ptCount val="1"/>
                        <c:pt idx="0">
                          <c:v>Netherlands</c:v>
                        </c:pt>
                      </c15:dlblFieldTableCache>
                    </c15:dlblFTEntry>
                  </c15:dlblFieldTable>
                  <c15:showDataLabelsRange val="0"/>
                </c:ext>
              </c:extLst>
            </c:dLbl>
            <c:dLbl>
              <c:idx val="30"/>
              <c:tx>
                <c:strRef>
                  <c:f>iScatter!#REF!</c:f>
                  <c:strCache>
                    <c:ptCount val="1"/>
                    <c:pt idx="0">
                      <c:v>#REF!</c:v>
                    </c:pt>
                  </c:strCache>
                </c:strRef>
              </c:tx>
              <c:showSerName val="1"/>
              <c:extLst>
                <c:ext xmlns:c15="http://schemas.microsoft.com/office/drawing/2012/chart" uri="{CE6537A1-D6FC-4f65-9D91-7224C49458BB}">
                  <c15:dlblFieldTable>
                    <c15:dlblFTEntry>
                      <c15:txfldGUID>{55C256F2-55AD-4924-BC93-5CE6076D8DB6}</c15:txfldGUID>
                      <c15:f>iScatter!$B$49</c15:f>
                      <c15:dlblFieldTableCache>
                        <c:ptCount val="1"/>
                        <c:pt idx="0">
                          <c:v>New Zealand</c:v>
                        </c:pt>
                      </c15:dlblFieldTableCache>
                    </c15:dlblFTEntry>
                  </c15:dlblFieldTable>
                  <c15:showDataLabelsRange val="0"/>
                </c:ext>
              </c:extLst>
            </c:dLbl>
            <c:dLbl>
              <c:idx val="31"/>
              <c:tx>
                <c:strRef>
                  <c:f>iScatter!#REF!</c:f>
                  <c:strCache>
                    <c:ptCount val="1"/>
                    <c:pt idx="0">
                      <c:v>#REF!</c:v>
                    </c:pt>
                  </c:strCache>
                </c:strRef>
              </c:tx>
              <c:showSerName val="1"/>
              <c:extLst>
                <c:ext xmlns:c15="http://schemas.microsoft.com/office/drawing/2012/chart" uri="{CE6537A1-D6FC-4f65-9D91-7224C49458BB}">
                  <c15:dlblFieldTable>
                    <c15:dlblFTEntry>
                      <c15:txfldGUID>{A35B525F-1C97-4E4E-9247-C7BCA3CB68A5}</c15:txfldGUID>
                      <c15:f>iScatter!$B$50</c15:f>
                      <c15:dlblFieldTableCache>
                        <c:ptCount val="1"/>
                        <c:pt idx="0">
                          <c:v>Nigeria</c:v>
                        </c:pt>
                      </c15:dlblFieldTableCache>
                    </c15:dlblFTEntry>
                  </c15:dlblFieldTable>
                  <c15:showDataLabelsRange val="0"/>
                </c:ext>
              </c:extLst>
            </c:dLbl>
            <c:dLbl>
              <c:idx val="32"/>
              <c:tx>
                <c:strRef>
                  <c:f>iScatter!#REF!</c:f>
                  <c:strCache>
                    <c:ptCount val="1"/>
                    <c:pt idx="0">
                      <c:v>#REF!</c:v>
                    </c:pt>
                  </c:strCache>
                </c:strRef>
              </c:tx>
              <c:showSerName val="1"/>
              <c:extLst>
                <c:ext xmlns:c15="http://schemas.microsoft.com/office/drawing/2012/chart" uri="{CE6537A1-D6FC-4f65-9D91-7224C49458BB}">
                  <c15:dlblFieldTable>
                    <c15:dlblFTEntry>
                      <c15:txfldGUID>{952B69C8-9240-4FC2-8D78-FED87B002566}</c15:txfldGUID>
                      <c15:f>iScatter!$B$51</c15:f>
                      <c15:dlblFieldTableCache>
                        <c:ptCount val="1"/>
                        <c:pt idx="0">
                          <c:v>Norway</c:v>
                        </c:pt>
                      </c15:dlblFieldTableCache>
                    </c15:dlblFTEntry>
                  </c15:dlblFieldTable>
                  <c15:showDataLabelsRange val="0"/>
                </c:ext>
              </c:extLst>
            </c:dLbl>
            <c:dLbl>
              <c:idx val="33"/>
              <c:tx>
                <c:strRef>
                  <c:f>iScatter!#REF!</c:f>
                  <c:strCache>
                    <c:ptCount val="1"/>
                    <c:pt idx="0">
                      <c:v>#REF!</c:v>
                    </c:pt>
                  </c:strCache>
                </c:strRef>
              </c:tx>
              <c:showSerName val="1"/>
              <c:extLst>
                <c:ext xmlns:c15="http://schemas.microsoft.com/office/drawing/2012/chart" uri="{CE6537A1-D6FC-4f65-9D91-7224C49458BB}">
                  <c15:dlblFieldTable>
                    <c15:dlblFTEntry>
                      <c15:txfldGUID>{2B038E1D-73E9-42BE-AC93-E540587721DF}</c15:txfldGUID>
                      <c15:f>iScatter!$B$52</c15:f>
                      <c15:dlblFieldTableCache>
                        <c:ptCount val="1"/>
                        <c:pt idx="0">
                          <c:v>Pakistan</c:v>
                        </c:pt>
                      </c15:dlblFieldTableCache>
                    </c15:dlblFTEntry>
                  </c15:dlblFieldTable>
                  <c15:showDataLabelsRange val="0"/>
                </c:ext>
              </c:extLst>
            </c:dLbl>
            <c:dLbl>
              <c:idx val="34"/>
              <c:tx>
                <c:strRef>
                  <c:f>iScatter!#REF!</c:f>
                  <c:strCache>
                    <c:ptCount val="1"/>
                    <c:pt idx="0">
                      <c:v>#REF!</c:v>
                    </c:pt>
                  </c:strCache>
                </c:strRef>
              </c:tx>
              <c:showSerName val="1"/>
              <c:extLst>
                <c:ext xmlns:c15="http://schemas.microsoft.com/office/drawing/2012/chart" uri="{CE6537A1-D6FC-4f65-9D91-7224C49458BB}">
                  <c15:dlblFieldTable>
                    <c15:dlblFTEntry>
                      <c15:txfldGUID>{8F753C94-E37E-40CE-800A-5B05B0886590}</c15:txfldGUID>
                      <c15:f>iScatter!$B$53</c15:f>
                      <c15:dlblFieldTableCache>
                        <c:ptCount val="1"/>
                        <c:pt idx="0">
                          <c:v>Peru</c:v>
                        </c:pt>
                      </c15:dlblFieldTableCache>
                    </c15:dlblFTEntry>
                  </c15:dlblFieldTable>
                  <c15:showDataLabelsRange val="0"/>
                </c:ext>
              </c:extLst>
            </c:dLbl>
            <c:dLbl>
              <c:idx val="35"/>
              <c:tx>
                <c:strRef>
                  <c:f>iScatter!#REF!</c:f>
                  <c:strCache>
                    <c:ptCount val="1"/>
                    <c:pt idx="0">
                      <c:v>#REF!</c:v>
                    </c:pt>
                  </c:strCache>
                </c:strRef>
              </c:tx>
              <c:showSerName val="1"/>
              <c:extLst>
                <c:ext xmlns:c15="http://schemas.microsoft.com/office/drawing/2012/chart" uri="{CE6537A1-D6FC-4f65-9D91-7224C49458BB}">
                  <c15:dlblFieldTable>
                    <c15:dlblFTEntry>
                      <c15:txfldGUID>{C8FDDF33-2913-463D-9BA7-898BC0CF77F9}</c15:txfldGUID>
                      <c15:f>iScatter!$B$54</c15:f>
                      <c15:dlblFieldTableCache>
                        <c:ptCount val="1"/>
                        <c:pt idx="0">
                          <c:v>Philippines</c:v>
                        </c:pt>
                      </c15:dlblFieldTableCache>
                    </c15:dlblFTEntry>
                  </c15:dlblFieldTable>
                  <c15:showDataLabelsRange val="0"/>
                </c:ext>
              </c:extLst>
            </c:dLbl>
            <c:dLbl>
              <c:idx val="36"/>
              <c:tx>
                <c:strRef>
                  <c:f>iScatter!#REF!</c:f>
                  <c:strCache>
                    <c:ptCount val="1"/>
                    <c:pt idx="0">
                      <c:v>#REF!</c:v>
                    </c:pt>
                  </c:strCache>
                </c:strRef>
              </c:tx>
              <c:showSerName val="1"/>
              <c:extLst>
                <c:ext xmlns:c15="http://schemas.microsoft.com/office/drawing/2012/chart" uri="{CE6537A1-D6FC-4f65-9D91-7224C49458BB}">
                  <c15:dlblFieldTable>
                    <c15:dlblFTEntry>
                      <c15:txfldGUID>{E3D336B9-146C-4201-BFCE-15ADAB84B4B4}</c15:txfldGUID>
                      <c15:f>iScatter!$B$55</c15:f>
                      <c15:dlblFieldTableCache>
                        <c:ptCount val="1"/>
                        <c:pt idx="0">
                          <c:v>Poland</c:v>
                        </c:pt>
                      </c15:dlblFieldTableCache>
                    </c15:dlblFTEntry>
                  </c15:dlblFieldTable>
                  <c15:showDataLabelsRange val="0"/>
                </c:ext>
              </c:extLst>
            </c:dLbl>
            <c:dLbl>
              <c:idx val="37"/>
              <c:tx>
                <c:strRef>
                  <c:f>iScatter!#REF!</c:f>
                  <c:strCache>
                    <c:ptCount val="1"/>
                    <c:pt idx="0">
                      <c:v>#REF!</c:v>
                    </c:pt>
                  </c:strCache>
                </c:strRef>
              </c:tx>
              <c:showSerName val="1"/>
              <c:extLst>
                <c:ext xmlns:c15="http://schemas.microsoft.com/office/drawing/2012/chart" uri="{CE6537A1-D6FC-4f65-9D91-7224C49458BB}">
                  <c15:dlblFieldTable>
                    <c15:dlblFTEntry>
                      <c15:txfldGUID>{454D1B8F-7627-47BD-8C77-7FCE395A5493}</c15:txfldGUID>
                      <c15:f>iScatter!$B$56</c15:f>
                      <c15:dlblFieldTableCache>
                        <c:ptCount val="1"/>
                        <c:pt idx="0">
                          <c:v>Qatar</c:v>
                        </c:pt>
                      </c15:dlblFieldTableCache>
                    </c15:dlblFTEntry>
                  </c15:dlblFieldTable>
                  <c15:showDataLabelsRange val="0"/>
                </c:ext>
              </c:extLst>
            </c:dLbl>
            <c:dLbl>
              <c:idx val="38"/>
              <c:tx>
                <c:strRef>
                  <c:f>iScatter!#REF!</c:f>
                  <c:strCache>
                    <c:ptCount val="1"/>
                    <c:pt idx="0">
                      <c:v>#REF!</c:v>
                    </c:pt>
                  </c:strCache>
                </c:strRef>
              </c:tx>
              <c:showSerName val="1"/>
              <c:extLst>
                <c:ext xmlns:c15="http://schemas.microsoft.com/office/drawing/2012/chart" uri="{CE6537A1-D6FC-4f65-9D91-7224C49458BB}">
                  <c15:dlblFieldTable>
                    <c15:dlblFTEntry>
                      <c15:txfldGUID>{62B973E9-8788-4F8C-88C7-DF23BA8A3749}</c15:txfldGUID>
                      <c15:f>iScatter!$B$57</c15:f>
                      <c15:dlblFieldTableCache>
                        <c:ptCount val="1"/>
                        <c:pt idx="0">
                          <c:v>Romania</c:v>
                        </c:pt>
                      </c15:dlblFieldTableCache>
                    </c15:dlblFTEntry>
                  </c15:dlblFieldTable>
                  <c15:showDataLabelsRange val="0"/>
                </c:ext>
              </c:extLst>
            </c:dLbl>
            <c:dLbl>
              <c:idx val="39"/>
              <c:tx>
                <c:strRef>
                  <c:f>iScatter!#REF!</c:f>
                  <c:strCache>
                    <c:ptCount val="1"/>
                    <c:pt idx="0">
                      <c:v>#REF!</c:v>
                    </c:pt>
                  </c:strCache>
                </c:strRef>
              </c:tx>
              <c:showSerName val="1"/>
              <c:extLst>
                <c:ext xmlns:c15="http://schemas.microsoft.com/office/drawing/2012/chart" uri="{CE6537A1-D6FC-4f65-9D91-7224C49458BB}">
                  <c15:dlblFieldTable>
                    <c15:dlblFTEntry>
                      <c15:txfldGUID>{E250396D-C977-49EE-B775-669344BF6491}</c15:txfldGUID>
                      <c15:f>iScatter!$B$58</c15:f>
                      <c15:dlblFieldTableCache>
                        <c:ptCount val="1"/>
                        <c:pt idx="0">
                          <c:v>Russia</c:v>
                        </c:pt>
                      </c15:dlblFieldTableCache>
                    </c15:dlblFTEntry>
                  </c15:dlblFieldTable>
                  <c15:showDataLabelsRange val="0"/>
                </c:ext>
              </c:extLst>
            </c:dLbl>
            <c:dLbl>
              <c:idx val="40"/>
              <c:tx>
                <c:strRef>
                  <c:f>iScatter!#REF!</c:f>
                  <c:strCache>
                    <c:ptCount val="1"/>
                    <c:pt idx="0">
                      <c:v>#REF!</c:v>
                    </c:pt>
                  </c:strCache>
                </c:strRef>
              </c:tx>
              <c:showSerName val="1"/>
              <c:extLst>
                <c:ext xmlns:c15="http://schemas.microsoft.com/office/drawing/2012/chart" uri="{CE6537A1-D6FC-4f65-9D91-7224C49458BB}">
                  <c15:dlblFieldTable>
                    <c15:dlblFTEntry>
                      <c15:txfldGUID>{083C5B29-E41E-4EF1-8BA2-D3DB3759689D}</c15:txfldGUID>
                      <c15:f>iScatter!$B$59</c15:f>
                      <c15:dlblFieldTableCache>
                        <c:ptCount val="1"/>
                        <c:pt idx="0">
                          <c:v>Saudi Arabia</c:v>
                        </c:pt>
                      </c15:dlblFieldTableCache>
                    </c15:dlblFTEntry>
                  </c15:dlblFieldTable>
                  <c15:showDataLabelsRange val="0"/>
                </c:ext>
              </c:extLst>
            </c:dLbl>
            <c:dLbl>
              <c:idx val="41"/>
              <c:tx>
                <c:strRef>
                  <c:f>iScatter!#REF!</c:f>
                  <c:strCache>
                    <c:ptCount val="1"/>
                    <c:pt idx="0">
                      <c:v>#REF!</c:v>
                    </c:pt>
                  </c:strCache>
                </c:strRef>
              </c:tx>
              <c:showSerName val="1"/>
              <c:extLst>
                <c:ext xmlns:c15="http://schemas.microsoft.com/office/drawing/2012/chart" uri="{CE6537A1-D6FC-4f65-9D91-7224C49458BB}">
                  <c15:dlblFieldTable>
                    <c15:dlblFTEntry>
                      <c15:txfldGUID>{EC8EA087-0350-4386-937B-2C20F373A917}</c15:txfldGUID>
                      <c15:f>iScatter!$B$60</c15:f>
                      <c15:dlblFieldTableCache>
                        <c:ptCount val="1"/>
                        <c:pt idx="0">
                          <c:v>Singapore</c:v>
                        </c:pt>
                      </c15:dlblFieldTableCache>
                    </c15:dlblFTEntry>
                  </c15:dlblFieldTable>
                  <c15:showDataLabelsRange val="0"/>
                </c:ext>
              </c:extLst>
            </c:dLbl>
            <c:dLbl>
              <c:idx val="42"/>
              <c:tx>
                <c:strRef>
                  <c:f>iScatter!#REF!</c:f>
                  <c:strCache>
                    <c:ptCount val="1"/>
                    <c:pt idx="0">
                      <c:v>#REF!</c:v>
                    </c:pt>
                  </c:strCache>
                </c:strRef>
              </c:tx>
              <c:showSerName val="1"/>
              <c:extLst>
                <c:ext xmlns:c15="http://schemas.microsoft.com/office/drawing/2012/chart" uri="{CE6537A1-D6FC-4f65-9D91-7224C49458BB}">
                  <c15:dlblFieldTable>
                    <c15:dlblFTEntry>
                      <c15:txfldGUID>{F9034F9A-258C-4242-A087-A31CF6170934}</c15:txfldGUID>
                      <c15:f>iScatter!$B$61</c15:f>
                      <c15:dlblFieldTableCache>
                        <c:ptCount val="1"/>
                        <c:pt idx="0">
                          <c:v>Slovakia</c:v>
                        </c:pt>
                      </c15:dlblFieldTableCache>
                    </c15:dlblFTEntry>
                  </c15:dlblFieldTable>
                  <c15:showDataLabelsRange val="0"/>
                </c:ext>
              </c:extLst>
            </c:dLbl>
            <c:dLbl>
              <c:idx val="43"/>
              <c:tx>
                <c:strRef>
                  <c:f>iScatter!#REF!</c:f>
                  <c:strCache>
                    <c:ptCount val="1"/>
                    <c:pt idx="0">
                      <c:v>#REF!</c:v>
                    </c:pt>
                  </c:strCache>
                </c:strRef>
              </c:tx>
              <c:showSerName val="1"/>
              <c:extLst>
                <c:ext xmlns:c15="http://schemas.microsoft.com/office/drawing/2012/chart" uri="{CE6537A1-D6FC-4f65-9D91-7224C49458BB}">
                  <c15:dlblFieldTable>
                    <c15:dlblFTEntry>
                      <c15:txfldGUID>{5F425491-244D-440B-83DB-BC625160FD46}</c15:txfldGUID>
                      <c15:f>iScatter!$B$62</c15:f>
                      <c15:dlblFieldTableCache>
                        <c:ptCount val="1"/>
                        <c:pt idx="0">
                          <c:v>South Africa</c:v>
                        </c:pt>
                      </c15:dlblFieldTableCache>
                    </c15:dlblFTEntry>
                  </c15:dlblFieldTable>
                  <c15:showDataLabelsRange val="0"/>
                </c:ext>
              </c:extLst>
            </c:dLbl>
            <c:dLbl>
              <c:idx val="44"/>
              <c:tx>
                <c:strRef>
                  <c:f>iScatter!#REF!</c:f>
                  <c:strCache>
                    <c:ptCount val="1"/>
                    <c:pt idx="0">
                      <c:v>#REF!</c:v>
                    </c:pt>
                  </c:strCache>
                </c:strRef>
              </c:tx>
              <c:showSerName val="1"/>
              <c:extLst>
                <c:ext xmlns:c15="http://schemas.microsoft.com/office/drawing/2012/chart" uri="{CE6537A1-D6FC-4f65-9D91-7224C49458BB}">
                  <c15:dlblFieldTable>
                    <c15:dlblFTEntry>
                      <c15:txfldGUID>{F8E5F6CF-32DC-4FE6-82DB-37233A4EC2FB}</c15:txfldGUID>
                      <c15:f>iScatter!$B$63</c15:f>
                      <c15:dlblFieldTableCache>
                        <c:ptCount val="1"/>
                        <c:pt idx="0">
                          <c:v>South Korea</c:v>
                        </c:pt>
                      </c15:dlblFieldTableCache>
                    </c15:dlblFTEntry>
                  </c15:dlblFieldTable>
                  <c15:showDataLabelsRange val="0"/>
                </c:ext>
              </c:extLst>
            </c:dLbl>
            <c:dLbl>
              <c:idx val="45"/>
              <c:tx>
                <c:strRef>
                  <c:f>iScatter!#REF!</c:f>
                  <c:strCache>
                    <c:ptCount val="1"/>
                    <c:pt idx="0">
                      <c:v>#REF!</c:v>
                    </c:pt>
                  </c:strCache>
                </c:strRef>
              </c:tx>
              <c:showSerName val="1"/>
              <c:extLst>
                <c:ext xmlns:c15="http://schemas.microsoft.com/office/drawing/2012/chart" uri="{CE6537A1-D6FC-4f65-9D91-7224C49458BB}">
                  <c15:dlblFieldTable>
                    <c15:dlblFTEntry>
                      <c15:txfldGUID>{CABE5E9A-925A-4426-8FCF-1E9CBC1E404C}</c15:txfldGUID>
                      <c15:f>iScatter!$B$64</c15:f>
                      <c15:dlblFieldTableCache>
                        <c:ptCount val="1"/>
                        <c:pt idx="0">
                          <c:v>Spain</c:v>
                        </c:pt>
                      </c15:dlblFieldTableCache>
                    </c15:dlblFTEntry>
                  </c15:dlblFieldTable>
                  <c15:showDataLabelsRange val="0"/>
                </c:ext>
              </c:extLst>
            </c:dLbl>
            <c:dLbl>
              <c:idx val="46"/>
              <c:tx>
                <c:strRef>
                  <c:f>iScatter!#REF!</c:f>
                  <c:strCache>
                    <c:ptCount val="1"/>
                    <c:pt idx="0">
                      <c:v>#REF!</c:v>
                    </c:pt>
                  </c:strCache>
                </c:strRef>
              </c:tx>
              <c:showSerName val="1"/>
              <c:extLst>
                <c:ext xmlns:c15="http://schemas.microsoft.com/office/drawing/2012/chart" uri="{CE6537A1-D6FC-4f65-9D91-7224C49458BB}">
                  <c15:dlblFieldTable>
                    <c15:dlblFTEntry>
                      <c15:txfldGUID>{65D1C92F-2207-4619-A218-EF022A497C81}</c15:txfldGUID>
                      <c15:f>iScatter!$B$65</c15:f>
                      <c15:dlblFieldTableCache>
                        <c:ptCount val="1"/>
                        <c:pt idx="0">
                          <c:v>Sweden</c:v>
                        </c:pt>
                      </c15:dlblFieldTableCache>
                    </c15:dlblFTEntry>
                  </c15:dlblFieldTable>
                  <c15:showDataLabelsRange val="0"/>
                </c:ext>
              </c:extLst>
            </c:dLbl>
            <c:dLbl>
              <c:idx val="47"/>
              <c:tx>
                <c:strRef>
                  <c:f>iScatter!#REF!</c:f>
                  <c:strCache>
                    <c:ptCount val="1"/>
                    <c:pt idx="0">
                      <c:v>#REF!</c:v>
                    </c:pt>
                  </c:strCache>
                </c:strRef>
              </c:tx>
              <c:showSerName val="1"/>
              <c:extLst>
                <c:ext xmlns:c15="http://schemas.microsoft.com/office/drawing/2012/chart" uri="{CE6537A1-D6FC-4f65-9D91-7224C49458BB}">
                  <c15:dlblFieldTable>
                    <c15:dlblFTEntry>
                      <c15:txfldGUID>{F8065466-C956-469A-8C12-ED08CD8CD5EC}</c15:txfldGUID>
                      <c15:f>iScatter!$B$66</c15:f>
                      <c15:dlblFieldTableCache>
                        <c:ptCount val="1"/>
                        <c:pt idx="0">
                          <c:v>Switzerland</c:v>
                        </c:pt>
                      </c15:dlblFieldTableCache>
                    </c15:dlblFTEntry>
                  </c15:dlblFieldTable>
                  <c15:showDataLabelsRange val="0"/>
                </c:ext>
              </c:extLst>
            </c:dLbl>
            <c:dLbl>
              <c:idx val="48"/>
              <c:tx>
                <c:strRef>
                  <c:f>iScatter!#REF!</c:f>
                  <c:strCache>
                    <c:ptCount val="1"/>
                    <c:pt idx="0">
                      <c:v>#REF!</c:v>
                    </c:pt>
                  </c:strCache>
                </c:strRef>
              </c:tx>
              <c:showSerName val="1"/>
              <c:extLst>
                <c:ext xmlns:c15="http://schemas.microsoft.com/office/drawing/2012/chart" uri="{CE6537A1-D6FC-4f65-9D91-7224C49458BB}">
                  <c15:dlblFieldTable>
                    <c15:dlblFTEntry>
                      <c15:txfldGUID>{4AE35EB4-8A6D-4320-9BFF-39F84FCB4DEE}</c15:txfldGUID>
                      <c15:f>iScatter!$B$67</c15:f>
                      <c15:dlblFieldTableCache>
                        <c:ptCount val="1"/>
                        <c:pt idx="0">
                          <c:v>Taiwan</c:v>
                        </c:pt>
                      </c15:dlblFieldTableCache>
                    </c15:dlblFTEntry>
                  </c15:dlblFieldTable>
                  <c15:showDataLabelsRange val="0"/>
                </c:ext>
              </c:extLst>
            </c:dLbl>
            <c:dLbl>
              <c:idx val="49"/>
              <c:tx>
                <c:strRef>
                  <c:f>iScatter!#REF!</c:f>
                  <c:strCache>
                    <c:ptCount val="1"/>
                    <c:pt idx="0">
                      <c:v>#REF!</c:v>
                    </c:pt>
                  </c:strCache>
                </c:strRef>
              </c:tx>
              <c:showSerName val="1"/>
              <c:extLst>
                <c:ext xmlns:c15="http://schemas.microsoft.com/office/drawing/2012/chart" uri="{CE6537A1-D6FC-4f65-9D91-7224C49458BB}">
                  <c15:dlblFieldTable>
                    <c15:dlblFTEntry>
                      <c15:txfldGUID>{FEB467AE-AD43-497D-9862-2E4E0F1BEAA0}</c15:txfldGUID>
                      <c15:f>iScatter!$B$68</c15:f>
                      <c15:dlblFieldTableCache>
                        <c:ptCount val="1"/>
                        <c:pt idx="0">
                          <c:v>Thailand</c:v>
                        </c:pt>
                      </c15:dlblFieldTableCache>
                    </c15:dlblFTEntry>
                  </c15:dlblFieldTable>
                  <c15:showDataLabelsRange val="0"/>
                </c:ext>
              </c:extLst>
            </c:dLbl>
            <c:dLbl>
              <c:idx val="50"/>
              <c:tx>
                <c:strRef>
                  <c:f>iScatter!#REF!</c:f>
                  <c:strCache>
                    <c:ptCount val="1"/>
                    <c:pt idx="0">
                      <c:v>#REF!</c:v>
                    </c:pt>
                  </c:strCache>
                </c:strRef>
              </c:tx>
              <c:showSerName val="1"/>
              <c:extLst>
                <c:ext xmlns:c15="http://schemas.microsoft.com/office/drawing/2012/chart" uri="{CE6537A1-D6FC-4f65-9D91-7224C49458BB}">
                  <c15:dlblFieldTable>
                    <c15:dlblFTEntry>
                      <c15:txfldGUID>{2C981728-199D-4781-807B-2B4D8193FA31}</c15:txfldGUID>
                      <c15:f>iScatter!$B$69</c15:f>
                      <c15:dlblFieldTableCache>
                        <c:ptCount val="1"/>
                        <c:pt idx="0">
                          <c:v>Tunisia</c:v>
                        </c:pt>
                      </c15:dlblFieldTableCache>
                    </c15:dlblFTEntry>
                  </c15:dlblFieldTable>
                  <c15:showDataLabelsRange val="0"/>
                </c:ext>
              </c:extLst>
            </c:dLbl>
            <c:dLbl>
              <c:idx val="51"/>
              <c:tx>
                <c:strRef>
                  <c:f>iScatter!#REF!</c:f>
                  <c:strCache>
                    <c:ptCount val="1"/>
                    <c:pt idx="0">
                      <c:v>#REF!</c:v>
                    </c:pt>
                  </c:strCache>
                </c:strRef>
              </c:tx>
              <c:showSerName val="1"/>
              <c:extLst>
                <c:ext xmlns:c15="http://schemas.microsoft.com/office/drawing/2012/chart" uri="{CE6537A1-D6FC-4f65-9D91-7224C49458BB}">
                  <c15:dlblFieldTable>
                    <c15:dlblFTEntry>
                      <c15:txfldGUID>{9D361273-5BAB-4B4B-A9CD-B7A27C76740A}</c15:txfldGUID>
                      <c15:f>iScatter!$B$70</c15:f>
                      <c15:dlblFieldTableCache>
                        <c:ptCount val="1"/>
                        <c:pt idx="0">
                          <c:v>Turkey</c:v>
                        </c:pt>
                      </c15:dlblFieldTableCache>
                    </c15:dlblFTEntry>
                  </c15:dlblFieldTable>
                  <c15:showDataLabelsRange val="0"/>
                </c:ext>
              </c:extLst>
            </c:dLbl>
            <c:dLbl>
              <c:idx val="52"/>
              <c:tx>
                <c:strRef>
                  <c:f>iScatter!#REF!</c:f>
                  <c:strCache>
                    <c:ptCount val="1"/>
                    <c:pt idx="0">
                      <c:v>#REF!</c:v>
                    </c:pt>
                  </c:strCache>
                </c:strRef>
              </c:tx>
              <c:showSerName val="1"/>
              <c:extLst>
                <c:ext xmlns:c15="http://schemas.microsoft.com/office/drawing/2012/chart" uri="{CE6537A1-D6FC-4f65-9D91-7224C49458BB}">
                  <c15:dlblFieldTable>
                    <c15:dlblFTEntry>
                      <c15:txfldGUID>{9C35E0EE-5BCE-492B-BCA4-31C717560887}</c15:txfldGUID>
                      <c15:f>iScatter!$B$71</c15:f>
                      <c15:dlblFieldTableCache>
                        <c:ptCount val="1"/>
                        <c:pt idx="0">
                          <c:v>United Arab Emirates</c:v>
                        </c:pt>
                      </c15:dlblFieldTableCache>
                    </c15:dlblFTEntry>
                  </c15:dlblFieldTable>
                  <c15:showDataLabelsRange val="0"/>
                </c:ext>
              </c:extLst>
            </c:dLbl>
            <c:dLbl>
              <c:idx val="53"/>
              <c:layout>
                <c:manualLayout>
                  <c:x val="0"/>
                  <c:y val="0"/>
                </c:manualLayout>
              </c:layout>
              <c:tx>
                <c:strRef>
                  <c:f>iScatter!#REF!</c:f>
                  <c:strCache>
                    <c:ptCount val="1"/>
                    <c:pt idx="0">
                      <c:v>#REF!</c:v>
                    </c:pt>
                  </c:strCache>
                </c:strRef>
              </c:tx>
              <c:showSerName val="1"/>
              <c:extLst>
                <c:ext xmlns:c15="http://schemas.microsoft.com/office/drawing/2012/chart" uri="{CE6537A1-D6FC-4f65-9D91-7224C49458BB}">
                  <c15:dlblFieldTable>
                    <c15:dlblFTEntry>
                      <c15:txfldGUID>{282A4B4B-A5DD-4D96-9804-52496B6DCF9E}</c15:txfldGUID>
                      <c15:f>iScatter!$B$72</c15:f>
                      <c15:dlblFieldTableCache>
                        <c:ptCount val="1"/>
                        <c:pt idx="0">
                          <c:v>United Kingdom</c:v>
                        </c:pt>
                      </c15:dlblFieldTableCache>
                    </c15:dlblFTEntry>
                  </c15:dlblFieldTable>
                  <c15:showDataLabelsRange val="0"/>
                </c:ext>
              </c:extLst>
            </c:dLbl>
            <c:dLbl>
              <c:idx val="54"/>
              <c:tx>
                <c:strRef>
                  <c:f>iScatter!#REF!</c:f>
                  <c:strCache>
                    <c:ptCount val="1"/>
                    <c:pt idx="0">
                      <c:v>#REF!</c:v>
                    </c:pt>
                  </c:strCache>
                </c:strRef>
              </c:tx>
              <c:showSerName val="1"/>
              <c:extLst>
                <c:ext xmlns:c15="http://schemas.microsoft.com/office/drawing/2012/chart" uri="{CE6537A1-D6FC-4f65-9D91-7224C49458BB}">
                  <c15:dlblFieldTable>
                    <c15:dlblFTEntry>
                      <c15:txfldGUID>{DDD36ACF-D0CC-43D6-9C50-0F1D960AFE4E}</c15:txfldGUID>
                      <c15:f>iScatter!$B$73</c15:f>
                      <c15:dlblFieldTableCache>
                        <c:ptCount val="1"/>
                        <c:pt idx="0">
                          <c:v>United States</c:v>
                        </c:pt>
                      </c15:dlblFieldTableCache>
                    </c15:dlblFTEntry>
                  </c15:dlblFieldTable>
                  <c15:showDataLabelsRange val="0"/>
                </c:ext>
              </c:extLst>
            </c:dLbl>
            <c:dLbl>
              <c:idx val="55"/>
              <c:tx>
                <c:strRef>
                  <c:f>iScatter!#REF!</c:f>
                  <c:strCache>
                    <c:ptCount val="1"/>
                    <c:pt idx="0">
                      <c:v>#REF!</c:v>
                    </c:pt>
                  </c:strCache>
                </c:strRef>
              </c:tx>
              <c:showSerName val="1"/>
              <c:extLst>
                <c:ext xmlns:c15="http://schemas.microsoft.com/office/drawing/2012/chart" uri="{CE6537A1-D6FC-4f65-9D91-7224C49458BB}">
                  <c15:dlblFieldTable>
                    <c15:dlblFTEntry>
                      <c15:txfldGUID>{948A94EF-90FE-4E2D-AA5F-A47316A902B6}</c15:txfldGUID>
                      <c15:f>iScatter!$B$74</c15:f>
                      <c15:dlblFieldTableCache>
                        <c:ptCount val="1"/>
                        <c:pt idx="0">
                          <c:v>Vietnam</c:v>
                        </c:pt>
                      </c15:dlblFieldTableCache>
                    </c15:dlblFTEntry>
                  </c15:dlblFieldTable>
                  <c15:showDataLabelsRange val="0"/>
                </c:ext>
              </c:extLst>
            </c:dLbl>
            <c:spPr>
              <a:solidFill>
                <a:schemeClr val="bg1">
                  <a:lumMod val="85000"/>
                </a:schemeClr>
              </a:solidFill>
              <a:ln>
                <a:noFill/>
              </a:ln>
              <a:effectLst/>
            </c:spPr>
            <c:txPr>
              <a:bodyPr/>
              <a:lstStyle/>
              <a:p>
                <a:pPr>
                  <a:defRPr sz="900"/>
                </a:pPr>
                <a:endParaRPr lang="en-US"/>
              </a:p>
            </c:txPr>
            <c:showSerName val="1"/>
            <c:extLst>
              <c:ext xmlns:c15="http://schemas.microsoft.com/office/drawing/2012/chart" uri="{CE6537A1-D6FC-4f65-9D91-7224C49458BB}">
                <c15:showLeaderLines val="0"/>
              </c:ext>
            </c:extLst>
          </c:dLbls>
          <c:xVal>
            <c:numRef>
              <c:f>iScatter3d!$W$19:$W$30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iScatter3d!$X$19:$X$30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bubbleSize>
            <c:numRef>
              <c:f>iScatter3d!$Y$19:$Y$29</c:f>
              <c:numCache>
                <c:formatCode>General</c:formatCode>
                <c:ptCount val="11"/>
                <c:pt idx="0">
                  <c:v>#N/A</c:v>
                </c:pt>
                <c:pt idx="1">
                  <c:v>#N/A</c:v>
                </c:pt>
                <c:pt idx="2">
                  <c:v>#N/A</c:v>
                </c:pt>
                <c:pt idx="3">
                  <c:v>#N/A</c:v>
                </c:pt>
                <c:pt idx="4">
                  <c:v>#N/A</c:v>
                </c:pt>
                <c:pt idx="5">
                  <c:v>#N/A</c:v>
                </c:pt>
                <c:pt idx="6">
                  <c:v>#N/A</c:v>
                </c:pt>
                <c:pt idx="7">
                  <c:v>#N/A</c:v>
                </c:pt>
                <c:pt idx="8">
                  <c:v>#N/A</c:v>
                </c:pt>
                <c:pt idx="9">
                  <c:v>#N/A</c:v>
                </c:pt>
                <c:pt idx="10">
                  <c:v>#N/A</c:v>
                </c:pt>
              </c:numCache>
            </c:numRef>
          </c:bubbleSize>
        </c:ser>
        <c:ser>
          <c:idx val="4"/>
          <c:order val="3"/>
          <c:tx>
            <c:strRef>
              <c:f>iScatter3d!$Q$23</c:f>
              <c:strCache>
                <c:ptCount val="1"/>
                <c:pt idx="0">
                  <c:v>#N/A</c:v>
                </c:pt>
              </c:strCache>
            </c:strRef>
          </c:tx>
          <c:spPr>
            <a:ln w="28575">
              <a:noFill/>
            </a:ln>
          </c:spPr>
          <c:dLbls>
            <c:dLbl>
              <c:idx val="0"/>
              <c:spPr>
                <a:noFill/>
                <a:ln w="25400">
                  <a:noFill/>
                </a:ln>
              </c:spPr>
              <c:txPr>
                <a:bodyPr/>
                <a:lstStyle/>
                <a:p>
                  <a:pPr>
                    <a:defRPr sz="900" b="0" i="0" u="none" strike="noStrike" baseline="0">
                      <a:solidFill>
                        <a:srgbClr val="31659C"/>
                      </a:solidFill>
                      <a:latin typeface="Calibri"/>
                      <a:ea typeface="Calibri"/>
                      <a:cs typeface="Calibri"/>
                    </a:defRPr>
                  </a:pPr>
                  <a:endParaRPr lang="en-US"/>
                </a:p>
              </c:txPr>
              <c:dLblPos val="r"/>
              <c:showSerName val="1"/>
              <c:extLst>
                <c:ext xmlns:c15="http://schemas.microsoft.com/office/drawing/2012/chart" uri="{CE6537A1-D6FC-4f65-9D91-7224C49458BB}"/>
              </c:extLst>
            </c:dLbl>
            <c:spPr>
              <a:noFill/>
              <a:ln w="25400">
                <a:noFill/>
              </a:ln>
            </c:spPr>
            <c:txPr>
              <a:bodyPr wrap="square" lIns="38100" tIns="19050" rIns="38100" bIns="19050" anchor="ctr">
                <a:spAutoFit/>
              </a:bodyPr>
              <a:lstStyle/>
              <a:p>
                <a:pPr>
                  <a:defRPr sz="900" b="0" i="0" u="none" strike="noStrike" baseline="0">
                    <a:solidFill>
                      <a:srgbClr val="31659C"/>
                    </a:solidFill>
                    <a:latin typeface="Calibri"/>
                    <a:ea typeface="Calibri"/>
                    <a:cs typeface="Calibri"/>
                  </a:defRPr>
                </a:pPr>
                <a:endParaRPr lang="en-US"/>
              </a:p>
            </c:txPr>
            <c:dLblPos val="r"/>
            <c:showVal val="1"/>
            <c:extLst>
              <c:ext xmlns:c15="http://schemas.microsoft.com/office/drawing/2012/chart" uri="{CE6537A1-D6FC-4f65-9D91-7224C49458BB}">
                <c15:showLeaderLines val="0"/>
              </c:ext>
            </c:extLst>
          </c:dLbls>
          <c:xVal>
            <c:numRef>
              <c:f>iScatter3d!$R$23</c:f>
              <c:numCache>
                <c:formatCode>General</c:formatCode>
                <c:ptCount val="1"/>
                <c:pt idx="0">
                  <c:v>#N/A</c:v>
                </c:pt>
              </c:numCache>
            </c:numRef>
          </c:xVal>
          <c:yVal>
            <c:numRef>
              <c:f>iScatter3d!$S$23</c:f>
              <c:numCache>
                <c:formatCode>General</c:formatCode>
                <c:ptCount val="1"/>
                <c:pt idx="0">
                  <c:v>#N/A</c:v>
                </c:pt>
              </c:numCache>
            </c:numRef>
          </c:yVal>
          <c:bubbleSize>
            <c:numRef>
              <c:f>iScatter3d!$T$23</c:f>
              <c:numCache>
                <c:formatCode>General</c:formatCode>
                <c:ptCount val="1"/>
                <c:pt idx="0">
                  <c:v>#N/A</c:v>
                </c:pt>
              </c:numCache>
            </c:numRef>
          </c:bubbleSize>
        </c:ser>
        <c:ser>
          <c:idx val="5"/>
          <c:order val="4"/>
          <c:tx>
            <c:strRef>
              <c:f>iScatter3d!$Q$27</c:f>
              <c:strCache>
                <c:ptCount val="1"/>
                <c:pt idx="0">
                  <c:v>#N/A</c:v>
                </c:pt>
              </c:strCache>
            </c:strRef>
          </c:tx>
          <c:spPr>
            <a:ln w="28575">
              <a:noFill/>
            </a:ln>
          </c:spPr>
          <c:dLbls>
            <c:spPr>
              <a:noFill/>
              <a:ln w="25400">
                <a:noFill/>
              </a:ln>
            </c:spPr>
            <c:txPr>
              <a:bodyPr wrap="square" lIns="38100" tIns="19050" rIns="38100" bIns="19050" anchor="ctr">
                <a:spAutoFit/>
              </a:bodyPr>
              <a:lstStyle/>
              <a:p>
                <a:pPr>
                  <a:defRPr sz="900" b="0" i="0" u="none" strike="noStrike" baseline="0">
                    <a:solidFill>
                      <a:srgbClr val="31659C"/>
                    </a:solidFill>
                    <a:latin typeface="Calibri"/>
                    <a:ea typeface="Calibri"/>
                    <a:cs typeface="Calibri"/>
                  </a:defRPr>
                </a:pPr>
                <a:endParaRPr lang="en-US"/>
              </a:p>
            </c:txPr>
            <c:dLblPos val="r"/>
            <c:showSerName val="1"/>
            <c:extLst>
              <c:ext xmlns:c15="http://schemas.microsoft.com/office/drawing/2012/chart" uri="{CE6537A1-D6FC-4f65-9D91-7224C49458BB}">
                <c15:showLeaderLines val="0"/>
              </c:ext>
            </c:extLst>
          </c:dLbls>
          <c:xVal>
            <c:numRef>
              <c:f>iScatter3d!$R$27</c:f>
              <c:numCache>
                <c:formatCode>General</c:formatCode>
                <c:ptCount val="1"/>
                <c:pt idx="0">
                  <c:v>#N/A</c:v>
                </c:pt>
              </c:numCache>
            </c:numRef>
          </c:xVal>
          <c:yVal>
            <c:numRef>
              <c:f>iScatter3d!$S$27</c:f>
              <c:numCache>
                <c:formatCode>General</c:formatCode>
                <c:ptCount val="1"/>
                <c:pt idx="0">
                  <c:v>#N/A</c:v>
                </c:pt>
              </c:numCache>
            </c:numRef>
          </c:yVal>
          <c:bubbleSize>
            <c:numRef>
              <c:f>iScatter3d!$T$27</c:f>
              <c:numCache>
                <c:formatCode>General</c:formatCode>
                <c:ptCount val="1"/>
                <c:pt idx="0">
                  <c:v>#N/A</c:v>
                </c:pt>
              </c:numCache>
            </c:numRef>
          </c:bubbleSize>
        </c:ser>
        <c:ser>
          <c:idx val="3"/>
          <c:order val="5"/>
          <c:tx>
            <c:strRef>
              <c:f>iScatter3d!$Q$19</c:f>
              <c:strCache>
                <c:ptCount val="1"/>
              </c:strCache>
            </c:strRef>
          </c:tx>
          <c:spPr>
            <a:solidFill>
              <a:srgbClr val="192F2F">
                <a:alpha val="80000"/>
              </a:srgbClr>
            </a:solidFill>
            <a:ln w="28575">
              <a:noFill/>
            </a:ln>
          </c:spPr>
          <c:dLbls>
            <c:dLbl>
              <c:idx val="0"/>
              <c:delete val="1"/>
            </c:dLbl>
            <c:spPr>
              <a:solidFill>
                <a:sysClr val="window" lastClr="FFFFFF">
                  <a:lumMod val="85000"/>
                </a:sysClr>
              </a:solidFill>
              <a:ln w="25400">
                <a:noFill/>
              </a:ln>
            </c:spPr>
            <c:txPr>
              <a:bodyPr wrap="square" lIns="38100" tIns="19050" rIns="38100" bIns="19050" anchor="ctr">
                <a:spAutoFit/>
              </a:bodyPr>
              <a:lstStyle/>
              <a:p>
                <a:pPr>
                  <a:defRPr sz="1000" b="0" i="0" u="none" strike="noStrike" baseline="0">
                    <a:solidFill>
                      <a:sysClr val="windowText" lastClr="000000"/>
                    </a:solidFill>
                    <a:latin typeface="Calibri"/>
                    <a:ea typeface="Calibri"/>
                    <a:cs typeface="Calibri"/>
                  </a:defRPr>
                </a:pPr>
                <a:endParaRPr lang="en-US"/>
              </a:p>
            </c:txPr>
            <c:showSerName val="1"/>
            <c:extLst>
              <c:ext xmlns:c15="http://schemas.microsoft.com/office/drawing/2012/chart" uri="{CE6537A1-D6FC-4f65-9D91-7224C49458BB}">
                <c15:showLeaderLines val="0"/>
              </c:ext>
            </c:extLst>
          </c:dLbls>
          <c:xVal>
            <c:numRef>
              <c:f>iScatter3d!$R$19</c:f>
              <c:numCache>
                <c:formatCode>General</c:formatCode>
                <c:ptCount val="1"/>
                <c:pt idx="0">
                  <c:v>#N/A</c:v>
                </c:pt>
              </c:numCache>
            </c:numRef>
          </c:xVal>
          <c:yVal>
            <c:numRef>
              <c:f>iScatter3d!$S$19</c:f>
              <c:numCache>
                <c:formatCode>General</c:formatCode>
                <c:ptCount val="1"/>
                <c:pt idx="0">
                  <c:v>#N/A</c:v>
                </c:pt>
              </c:numCache>
            </c:numRef>
          </c:yVal>
          <c:bubbleSize>
            <c:numRef>
              <c:f>iScatter3d!$T$19</c:f>
              <c:numCache>
                <c:formatCode>General</c:formatCode>
                <c:ptCount val="1"/>
                <c:pt idx="0">
                  <c:v>#N/A</c:v>
                </c:pt>
              </c:numCache>
            </c:numRef>
          </c:bubbleSize>
        </c:ser>
        <c:bubbleScale val="100"/>
        <c:sizeRepresents val="w"/>
        <c:axId val="153787392"/>
        <c:axId val="153805952"/>
      </c:bubbleChart>
      <c:valAx>
        <c:axId val="153787392"/>
        <c:scaling>
          <c:orientation val="minMax"/>
        </c:scaling>
        <c:axPos val="b"/>
        <c:majorGridlines>
          <c:spPr>
            <a:ln>
              <a:solidFill>
                <a:schemeClr val="bg1">
                  <a:lumMod val="85000"/>
                </a:schemeClr>
              </a:solidFill>
            </a:ln>
          </c:spPr>
        </c:majorGridlines>
        <c:title>
          <c:tx>
            <c:strRef>
              <c:f>iScatter!$B$9</c:f>
              <c:strCache>
                <c:ptCount val="1"/>
                <c:pt idx="0">
                  <c:v>CATEGORÍA</c:v>
                </c:pt>
              </c:strCache>
            </c:strRef>
          </c:tx>
          <c:spPr>
            <a:noFill/>
            <a:ln w="25400">
              <a:noFill/>
            </a:ln>
          </c:spPr>
          <c:txPr>
            <a:bodyPr/>
            <a:lstStyle/>
            <a:p>
              <a:pPr>
                <a:defRPr sz="1000" b="1" i="0" u="none" strike="noStrike" baseline="0">
                  <a:solidFill>
                    <a:srgbClr val="000000"/>
                  </a:solidFill>
                  <a:latin typeface="Calibri"/>
                  <a:ea typeface="Calibri"/>
                  <a:cs typeface="Calibri"/>
                </a:defRPr>
              </a:pPr>
              <a:endParaRPr lang="en-US"/>
            </a:p>
          </c:txPr>
        </c:title>
        <c:numFmt formatCode="General" sourceLinked="1"/>
        <c:majorTickMark val="none"/>
        <c:tickLblPos val="nextTo"/>
        <c:spPr>
          <a:ln>
            <a:noFill/>
          </a:ln>
        </c:spPr>
        <c:txPr>
          <a:bodyPr rot="0" vert="horz"/>
          <a:lstStyle/>
          <a:p>
            <a:pPr>
              <a:defRPr sz="1000" b="0" i="0" u="none" strike="noStrike" baseline="0">
                <a:solidFill>
                  <a:srgbClr val="969696"/>
                </a:solidFill>
                <a:latin typeface="Calibri"/>
                <a:ea typeface="Calibri"/>
                <a:cs typeface="Calibri"/>
              </a:defRPr>
            </a:pPr>
            <a:endParaRPr lang="en-US"/>
          </a:p>
        </c:txPr>
        <c:crossAx val="153805952"/>
        <c:crosses val="autoZero"/>
        <c:crossBetween val="midCat"/>
      </c:valAx>
      <c:valAx>
        <c:axId val="153805952"/>
        <c:scaling>
          <c:orientation val="minMax"/>
        </c:scaling>
        <c:axPos val="l"/>
        <c:majorGridlines>
          <c:spPr>
            <a:ln>
              <a:solidFill>
                <a:schemeClr val="bg1">
                  <a:lumMod val="85000"/>
                </a:schemeClr>
              </a:solidFill>
            </a:ln>
          </c:spPr>
        </c:majorGridlines>
        <c:title>
          <c:tx>
            <c:strRef>
              <c:f>iScatter!$B$10</c:f>
              <c:strCache>
                <c:ptCount val="1"/>
                <c:pt idx="0">
                  <c:v>CATEGORÍA</c:v>
                </c:pt>
              </c:strCache>
            </c:strRef>
          </c:tx>
          <c:layout>
            <c:manualLayout>
              <c:xMode val="edge"/>
              <c:yMode val="edge"/>
              <c:x val="5.7847009031332032E-2"/>
              <c:y val="0.2032606951106409"/>
            </c:manualLayout>
          </c:layout>
          <c:spPr>
            <a:noFill/>
            <a:ln w="25400">
              <a:noFill/>
            </a:ln>
          </c:spPr>
          <c:txPr>
            <a:bodyPr/>
            <a:lstStyle/>
            <a:p>
              <a:pPr>
                <a:defRPr sz="1000" b="1" i="0" u="none" strike="noStrike" baseline="0">
                  <a:solidFill>
                    <a:srgbClr val="000000"/>
                  </a:solidFill>
                  <a:latin typeface="Calibri"/>
                  <a:ea typeface="Calibri"/>
                  <a:cs typeface="Calibri"/>
                </a:defRPr>
              </a:pPr>
              <a:endParaRPr lang="en-US"/>
            </a:p>
          </c:txPr>
        </c:title>
        <c:numFmt formatCode="#,##0" sourceLinked="0"/>
        <c:majorTickMark val="none"/>
        <c:tickLblPos val="nextTo"/>
        <c:spPr>
          <a:ln>
            <a:noFill/>
          </a:ln>
        </c:spPr>
        <c:txPr>
          <a:bodyPr rot="0" vert="horz"/>
          <a:lstStyle/>
          <a:p>
            <a:pPr>
              <a:defRPr sz="1000" b="0" i="0" u="none" strike="noStrike" baseline="0">
                <a:solidFill>
                  <a:srgbClr val="969696"/>
                </a:solidFill>
                <a:latin typeface="Calibri"/>
                <a:ea typeface="Calibri"/>
                <a:cs typeface="Calibri"/>
              </a:defRPr>
            </a:pPr>
            <a:endParaRPr lang="en-US"/>
          </a:p>
        </c:txPr>
        <c:crossAx val="153787392"/>
        <c:crosses val="autoZero"/>
        <c:crossBetween val="midCat"/>
      </c:valAx>
      <c:spPr>
        <a:solidFill>
          <a:srgbClr val="EFEFD6"/>
        </a:solidFill>
        <a:ln w="25400">
          <a:noFill/>
        </a:ln>
      </c:spPr>
    </c:plotArea>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12801023844264794"/>
          <c:y val="3.9518991520708063E-2"/>
          <c:w val="0.80988655806784049"/>
          <c:h val="0.83333525598014824"/>
        </c:manualLayout>
      </c:layout>
      <c:scatterChart>
        <c:scatterStyle val="lineMarker"/>
        <c:ser>
          <c:idx val="0"/>
          <c:order val="0"/>
          <c:tx>
            <c:v>base</c:v>
          </c:tx>
          <c:spPr>
            <a:ln w="28575">
              <a:noFill/>
            </a:ln>
          </c:spPr>
          <c:marker>
            <c:symbol val="diamond"/>
            <c:size val="7"/>
            <c:spPr>
              <a:solidFill>
                <a:schemeClr val="bg1">
                  <a:lumMod val="50000"/>
                </a:schemeClr>
              </a:solidFill>
              <a:ln>
                <a:noFill/>
              </a:ln>
            </c:spPr>
          </c:marker>
          <c:trendline>
            <c:trendlineType val="linear"/>
          </c:trendline>
          <c:xVal>
            <c:numRef>
              <c:f>iScatter!$W$19:$W$30</c:f>
              <c:numCache>
                <c:formatCode>General</c:formatCode>
                <c:ptCount val="12"/>
                <c:pt idx="0">
                  <c:v>29.531599128521769</c:v>
                </c:pt>
                <c:pt idx="1">
                  <c:v>65.144325288871812</c:v>
                </c:pt>
                <c:pt idx="2">
                  <c:v>78.843427630084065</c:v>
                </c:pt>
                <c:pt idx="3">
                  <c:v>17.405048300370385</c:v>
                </c:pt>
                <c:pt idx="4">
                  <c:v>45.341522453773223</c:v>
                </c:pt>
                <c:pt idx="5">
                  <c:v>53.769759292166306</c:v>
                </c:pt>
                <c:pt idx="6">
                  <c:v>39.250748976231442</c:v>
                </c:pt>
                <c:pt idx="7">
                  <c:v>41.239073426573427</c:v>
                </c:pt>
                <c:pt idx="8">
                  <c:v>17.361111111111107</c:v>
                </c:pt>
                <c:pt idx="9">
                  <c:v>70.450228226824706</c:v>
                </c:pt>
                <c:pt idx="10">
                  <c:v>48.842469732040271</c:v>
                </c:pt>
                <c:pt idx="11">
                  <c:v>42.9813511372177</c:v>
                </c:pt>
              </c:numCache>
            </c:numRef>
          </c:xVal>
          <c:yVal>
            <c:numRef>
              <c:f>iScatter!$X$19:$X$30</c:f>
              <c:numCache>
                <c:formatCode>General</c:formatCode>
                <c:ptCount val="12"/>
                <c:pt idx="0">
                  <c:v>29.531599128521769</c:v>
                </c:pt>
                <c:pt idx="1">
                  <c:v>65.144325288871812</c:v>
                </c:pt>
                <c:pt idx="2">
                  <c:v>78.843427630084065</c:v>
                </c:pt>
                <c:pt idx="3">
                  <c:v>17.405048300370385</c:v>
                </c:pt>
                <c:pt idx="4">
                  <c:v>45.341522453773223</c:v>
                </c:pt>
                <c:pt idx="5">
                  <c:v>53.769759292166306</c:v>
                </c:pt>
                <c:pt idx="6">
                  <c:v>39.250748976231442</c:v>
                </c:pt>
                <c:pt idx="7">
                  <c:v>41.239073426573427</c:v>
                </c:pt>
                <c:pt idx="8">
                  <c:v>17.361111111111107</c:v>
                </c:pt>
                <c:pt idx="9">
                  <c:v>70.450228226824706</c:v>
                </c:pt>
                <c:pt idx="10">
                  <c:v>48.842469732040271</c:v>
                </c:pt>
                <c:pt idx="11">
                  <c:v>42.9813511372177</c:v>
                </c:pt>
              </c:numCache>
            </c:numRef>
          </c:yVal>
        </c:ser>
        <c:ser>
          <c:idx val="1"/>
          <c:order val="1"/>
          <c:tx>
            <c:v>Highlighted</c:v>
          </c:tx>
          <c:spPr>
            <a:ln w="28575">
              <a:noFill/>
            </a:ln>
          </c:spPr>
          <c:marker>
            <c:symbol val="diamond"/>
            <c:size val="8"/>
            <c:spPr>
              <a:solidFill>
                <a:srgbClr val="FF9900"/>
              </a:solidFill>
              <a:ln>
                <a:solidFill>
                  <a:srgbClr val="FF9900"/>
                </a:solidFill>
                <a:prstDash val="solid"/>
              </a:ln>
            </c:spPr>
          </c:marker>
          <c:dLbls>
            <c:dLbl>
              <c:idx val="0"/>
              <c:tx>
                <c:rich>
                  <a:bodyPr/>
                  <a:lstStyle/>
                  <a:p>
                    <a:pPr>
                      <a:defRPr sz="800"/>
                    </a:pPr>
                    <a:endParaRPr lang="en-GB"/>
                  </a:p>
                </c:rich>
              </c:tx>
              <c:spPr>
                <a:noFill/>
                <a:ln w="25400">
                  <a:noFill/>
                </a:ln>
              </c:spPr>
              <c:extLst>
                <c:ext xmlns:c15="http://schemas.microsoft.com/office/drawing/2012/chart" uri="{CE6537A1-D6FC-4f65-9D91-7224C49458BB}"/>
              </c:extLst>
            </c:dLbl>
            <c:dLbl>
              <c:idx val="1"/>
              <c:tx>
                <c:rich>
                  <a:bodyPr/>
                  <a:lstStyle/>
                  <a:p>
                    <a:pPr>
                      <a:defRPr sz="800"/>
                    </a:pPr>
                    <a:endParaRPr lang="en-GB"/>
                  </a:p>
                </c:rich>
              </c:tx>
              <c:spPr>
                <a:noFill/>
                <a:ln w="25400">
                  <a:noFill/>
                </a:ln>
              </c:spPr>
              <c:extLst>
                <c:ext xmlns:c15="http://schemas.microsoft.com/office/drawing/2012/chart" uri="{CE6537A1-D6FC-4f65-9D91-7224C49458BB}"/>
              </c:extLst>
            </c:dLbl>
            <c:dLbl>
              <c:idx val="2"/>
              <c:tx>
                <c:rich>
                  <a:bodyPr/>
                  <a:lstStyle/>
                  <a:p>
                    <a:pPr>
                      <a:defRPr sz="800"/>
                    </a:pPr>
                    <a:endParaRPr lang="en-GB"/>
                  </a:p>
                </c:rich>
              </c:tx>
              <c:spPr>
                <a:noFill/>
                <a:ln w="25400">
                  <a:noFill/>
                </a:ln>
              </c:spPr>
              <c:extLst>
                <c:ext xmlns:c15="http://schemas.microsoft.com/office/drawing/2012/chart" uri="{CE6537A1-D6FC-4f65-9D91-7224C49458BB}"/>
              </c:extLst>
            </c:dLbl>
            <c:dLbl>
              <c:idx val="3"/>
              <c:tx>
                <c:rich>
                  <a:bodyPr/>
                  <a:lstStyle/>
                  <a:p>
                    <a:pPr>
                      <a:defRPr sz="800"/>
                    </a:pPr>
                    <a:endParaRPr lang="en-GB"/>
                  </a:p>
                </c:rich>
              </c:tx>
              <c:spPr>
                <a:noFill/>
                <a:ln w="25400">
                  <a:noFill/>
                </a:ln>
              </c:spPr>
              <c:extLst>
                <c:ext xmlns:c15="http://schemas.microsoft.com/office/drawing/2012/chart" uri="{CE6537A1-D6FC-4f65-9D91-7224C49458BB}"/>
              </c:extLst>
            </c:dLbl>
            <c:dLbl>
              <c:idx val="4"/>
              <c:tx>
                <c:rich>
                  <a:bodyPr/>
                  <a:lstStyle/>
                  <a:p>
                    <a:pPr>
                      <a:defRPr sz="800"/>
                    </a:pPr>
                    <a:endParaRPr lang="en-GB"/>
                  </a:p>
                </c:rich>
              </c:tx>
              <c:spPr>
                <a:noFill/>
                <a:ln w="25400">
                  <a:noFill/>
                </a:ln>
              </c:spPr>
              <c:extLst>
                <c:ext xmlns:c15="http://schemas.microsoft.com/office/drawing/2012/chart" uri="{CE6537A1-D6FC-4f65-9D91-7224C49458BB}"/>
              </c:extLst>
            </c:dLbl>
            <c:dLbl>
              <c:idx val="5"/>
              <c:tx>
                <c:rich>
                  <a:bodyPr/>
                  <a:lstStyle/>
                  <a:p>
                    <a:pPr>
                      <a:defRPr sz="800"/>
                    </a:pPr>
                    <a:endParaRPr lang="en-GB"/>
                  </a:p>
                </c:rich>
              </c:tx>
              <c:spPr>
                <a:noFill/>
                <a:ln w="25400">
                  <a:noFill/>
                </a:ln>
              </c:spPr>
              <c:extLst>
                <c:ext xmlns:c15="http://schemas.microsoft.com/office/drawing/2012/chart" uri="{CE6537A1-D6FC-4f65-9D91-7224C49458BB}"/>
              </c:extLst>
            </c:dLbl>
            <c:dLbl>
              <c:idx val="6"/>
              <c:tx>
                <c:rich>
                  <a:bodyPr/>
                  <a:lstStyle/>
                  <a:p>
                    <a:pPr>
                      <a:defRPr sz="800"/>
                    </a:pPr>
                    <a:endParaRPr lang="en-GB"/>
                  </a:p>
                </c:rich>
              </c:tx>
              <c:spPr>
                <a:noFill/>
                <a:ln w="25400">
                  <a:noFill/>
                </a:ln>
              </c:spPr>
              <c:extLst>
                <c:ext xmlns:c15="http://schemas.microsoft.com/office/drawing/2012/chart" uri="{CE6537A1-D6FC-4f65-9D91-7224C49458BB}"/>
              </c:extLst>
            </c:dLbl>
            <c:dLbl>
              <c:idx val="7"/>
              <c:tx>
                <c:rich>
                  <a:bodyPr/>
                  <a:lstStyle/>
                  <a:p>
                    <a:pPr>
                      <a:defRPr sz="800"/>
                    </a:pPr>
                    <a:endParaRPr lang="en-GB"/>
                  </a:p>
                </c:rich>
              </c:tx>
              <c:spPr>
                <a:noFill/>
                <a:ln w="25400">
                  <a:noFill/>
                </a:ln>
              </c:spPr>
              <c:extLst>
                <c:ext xmlns:c15="http://schemas.microsoft.com/office/drawing/2012/chart" uri="{CE6537A1-D6FC-4f65-9D91-7224C49458BB}"/>
              </c:extLst>
            </c:dLbl>
            <c:delete val="1"/>
            <c:spPr>
              <a:noFill/>
              <a:ln>
                <a:noFill/>
              </a:ln>
              <a:effectLst/>
            </c:spPr>
            <c:extLst>
              <c:ext xmlns:c15="http://schemas.microsoft.com/office/drawing/2012/chart" uri="{CE6537A1-D6FC-4f65-9D91-7224C49458BB}">
                <c15:showLeaderLines val="0"/>
              </c:ext>
            </c:extLst>
          </c:dLbls>
          <c:xVal>
            <c:numRef>
              <c:f>iScatter!$Z$19:$Z$30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iScatter!$AA$19:$AA$30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ser>
        <c:ser>
          <c:idx val="2"/>
          <c:order val="2"/>
          <c:tx>
            <c:v>Labels</c:v>
          </c:tx>
          <c:spPr>
            <a:ln w="28575">
              <a:noFill/>
            </a:ln>
          </c:spPr>
          <c:marker>
            <c:symbol val="none"/>
          </c:marker>
          <c:dLbls>
            <c:dLbl>
              <c:idx val="0"/>
              <c:tx>
                <c:strRef>
                  <c:f>iScatter!$B$19</c:f>
                  <c:strCache>
                    <c:ptCount val="1"/>
                    <c:pt idx="0">
                      <c:v>Asunción</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{0B05BDA4-0E42-4CBB-85AF-823F404B05F0}</c15:txfldGUID>
                      <c15:f>iScatter!$B$19</c15:f>
                      <c15:dlblFieldTableCache>
                        <c:ptCount val="1"/>
                        <c:pt idx="0">
                          <c:v>Algeria</c:v>
                        </c:pt>
                      </c15:dlblFieldTableCache>
                    </c15:dlblFTEntry>
                  </c15:dlblFieldTable>
                  <c15:showDataLabelsRange val="0"/>
                </c:ext>
              </c:extLst>
            </c:dLbl>
            <c:dLbl>
              <c:idx val="1"/>
              <c:tx>
                <c:strRef>
                  <c:f>iScatter!$B$20</c:f>
                  <c:strCache>
                    <c:ptCount val="1"/>
                    <c:pt idx="0">
                      <c:v>Bogotá</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{34FDE213-6290-43A5-836D-6FE971E9B3DD}</c15:txfldGUID>
                      <c15:f>iScatter!$B$20</c15:f>
                      <c15:dlblFieldTableCache>
                        <c:ptCount val="1"/>
                        <c:pt idx="0">
                          <c:v>Argentina</c:v>
                        </c:pt>
                      </c15:dlblFieldTableCache>
                    </c15:dlblFTEntry>
                  </c15:dlblFieldTable>
                  <c15:showDataLabelsRange val="0"/>
                </c:ext>
              </c:extLst>
            </c:dLbl>
            <c:dLbl>
              <c:idx val="2"/>
              <c:tx>
                <c:strRef>
                  <c:f>iScatter!$B$21</c:f>
                  <c:strCache>
                    <c:ptCount val="1"/>
                    <c:pt idx="0">
                      <c:v>Buenos Aires</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{96A7825E-261D-4518-BBE1-7320772C87BB}</c15:txfldGUID>
                      <c15:f>iScatter!$B$21</c15:f>
                      <c15:dlblFieldTableCache>
                        <c:ptCount val="1"/>
                        <c:pt idx="0">
                          <c:v>Australia</c:v>
                        </c:pt>
                      </c15:dlblFieldTableCache>
                    </c15:dlblFTEntry>
                  </c15:dlblFieldTable>
                  <c15:showDataLabelsRange val="0"/>
                </c:ext>
              </c:extLst>
            </c:dLbl>
            <c:dLbl>
              <c:idx val="3"/>
              <c:tx>
                <c:strRef>
                  <c:f>iScatter!$B$22</c:f>
                  <c:strCache>
                    <c:ptCount val="1"/>
                    <c:pt idx="0">
                      <c:v>Ciudad de Belice</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{D76103A4-D5FB-446C-A03D-54352BE0E49C}</c15:txfldGUID>
                      <c15:f>iScatter!$B$22</c15:f>
                      <c15:dlblFieldTableCache>
                        <c:ptCount val="1"/>
                        <c:pt idx="0">
                          <c:v>Austria</c:v>
                        </c:pt>
                      </c15:dlblFieldTableCache>
                    </c15:dlblFTEntry>
                  </c15:dlblFieldTable>
                  <c15:showDataLabelsRange val="0"/>
                </c:ext>
              </c:extLst>
            </c:dLbl>
            <c:dLbl>
              <c:idx val="4"/>
              <c:tx>
                <c:strRef>
                  <c:f>iScatter!$B$23</c:f>
                  <c:strCache>
                    <c:ptCount val="1"/>
                    <c:pt idx="0">
                      <c:v>Ciudad de México</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{D9DAEDA7-7E5F-4C33-A23C-444FD0074DBA}</c15:txfldGUID>
                      <c15:f>iScatter!$B$23</c15:f>
                      <c15:dlblFieldTableCache>
                        <c:ptCount val="1"/>
                        <c:pt idx="0">
                          <c:v>Belgium</c:v>
                        </c:pt>
                      </c15:dlblFieldTableCache>
                    </c15:dlblFTEntry>
                  </c15:dlblFieldTable>
                  <c15:showDataLabelsRange val="0"/>
                </c:ext>
              </c:extLst>
            </c:dLbl>
            <c:dLbl>
              <c:idx val="5"/>
              <c:tx>
                <c:strRef>
                  <c:f>iScatter!$B$24</c:f>
                  <c:strCache>
                    <c:ptCount val="1"/>
                    <c:pt idx="0">
                      <c:v>Lima</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{0A770D70-879A-4D5A-80AD-AD44D616EF2D}</c15:txfldGUID>
                      <c15:f>iScatter!$B$24</c15:f>
                      <c15:dlblFieldTableCache>
                        <c:ptCount val="1"/>
                        <c:pt idx="0">
                          <c:v>Brazil</c:v>
                        </c:pt>
                      </c15:dlblFieldTableCache>
                    </c15:dlblFTEntry>
                  </c15:dlblFieldTable>
                  <c15:showDataLabelsRange val="0"/>
                </c:ext>
              </c:extLst>
            </c:dLbl>
            <c:dLbl>
              <c:idx val="6"/>
              <c:tx>
                <c:strRef>
                  <c:f>iScatter!$B$25</c:f>
                  <c:strCache>
                    <c:ptCount val="1"/>
                    <c:pt idx="0">
                      <c:v>Montevideo</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{FDEF356C-32C8-441D-81EA-A33C55E9B8E7}</c15:txfldGUID>
                      <c15:f>iScatter!$B$25</c15:f>
                      <c15:dlblFieldTableCache>
                        <c:ptCount val="1"/>
                        <c:pt idx="0">
                          <c:v>Canada</c:v>
                        </c:pt>
                      </c15:dlblFieldTableCache>
                    </c15:dlblFTEntry>
                  </c15:dlblFieldTable>
                  <c15:showDataLabelsRange val="0"/>
                </c:ext>
              </c:extLst>
            </c:dLbl>
            <c:dLbl>
              <c:idx val="7"/>
              <c:tx>
                <c:strRef>
                  <c:f>iScatter!$B$26</c:f>
                  <c:strCache>
                    <c:ptCount val="1"/>
                    <c:pt idx="0">
                      <c:v>Quito</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{65D5EED4-0C76-43EC-A61B-2517F9B8ACAE}</c15:txfldGUID>
                      <c15:f>iScatter!$B$26</c15:f>
                      <c15:dlblFieldTableCache>
                        <c:ptCount val="1"/>
                        <c:pt idx="0">
                          <c:v>Chile</c:v>
                        </c:pt>
                      </c15:dlblFieldTableCache>
                    </c15:dlblFTEntry>
                  </c15:dlblFieldTable>
                  <c15:showDataLabelsRange val="0"/>
                </c:ext>
              </c:extLst>
            </c:dLbl>
            <c:dLbl>
              <c:idx val="8"/>
              <c:tx>
                <c:strRef>
                  <c:f>iScatter!$B$27</c:f>
                  <c:strCache>
                    <c:ptCount val="1"/>
                    <c:pt idx="0">
                      <c:v>San José</c:v>
                    </c:pt>
                  </c:strCache>
                </c:strRef>
              </c:tx>
              <c:showSerName val="1"/>
              <c:extLst>
                <c:ext xmlns:c15="http://schemas.microsoft.com/office/drawing/2012/chart" uri="{CE6537A1-D6FC-4f65-9D91-7224C49458BB}">
                  <c15:dlblFieldTable>
                    <c15:dlblFTEntry>
                      <c15:txfldGUID>{C1761FB4-ADE5-4438-8C35-D770FB65D429}</c15:txfldGUID>
                      <c15:f>iScatter!$B$27</c15:f>
                      <c15:dlblFieldTableCache>
                        <c:ptCount val="1"/>
                        <c:pt idx="0">
                          <c:v>China</c:v>
                        </c:pt>
                      </c15:dlblFieldTableCache>
                    </c15:dlblFTEntry>
                  </c15:dlblFieldTable>
                  <c15:showDataLabelsRange val="0"/>
                </c:ext>
              </c:extLst>
            </c:dLbl>
            <c:dLbl>
              <c:idx val="9"/>
              <c:tx>
                <c:strRef>
                  <c:f>iScatter!$B$28</c:f>
                  <c:strCache>
                    <c:ptCount val="1"/>
                    <c:pt idx="0">
                      <c:v>San Pablo</c:v>
                    </c:pt>
                  </c:strCache>
                </c:strRef>
              </c:tx>
              <c:showSerName val="1"/>
              <c:extLst>
                <c:ext xmlns:c15="http://schemas.microsoft.com/office/drawing/2012/chart" uri="{CE6537A1-D6FC-4f65-9D91-7224C49458BB}">
                  <c15:dlblFieldTable>
                    <c15:dlblFTEntry>
                      <c15:txfldGUID>{6116B2DC-56DA-4B9B-8C8A-4D62ABFB35D8}</c15:txfldGUID>
                      <c15:f>iScatter!$B$28</c15:f>
                      <c15:dlblFieldTableCache>
                        <c:ptCount val="1"/>
                        <c:pt idx="0">
                          <c:v>Colombia</c:v>
                        </c:pt>
                      </c15:dlblFieldTableCache>
                    </c15:dlblFTEntry>
                  </c15:dlblFieldTable>
                  <c15:showDataLabelsRange val="0"/>
                </c:ext>
              </c:extLst>
            </c:dLbl>
            <c:dLbl>
              <c:idx val="10"/>
              <c:tx>
                <c:strRef>
                  <c:f>iScatter!$B$29</c:f>
                  <c:strCache>
                    <c:ptCount val="1"/>
                    <c:pt idx="0">
                      <c:v>Santa Cruz</c:v>
                    </c:pt>
                  </c:strCache>
                </c:strRef>
              </c:tx>
              <c:showSerName val="1"/>
              <c:extLst>
                <c:ext xmlns:c15="http://schemas.microsoft.com/office/drawing/2012/chart" uri="{CE6537A1-D6FC-4f65-9D91-7224C49458BB}">
                  <c15:dlblFieldTable>
                    <c15:dlblFTEntry>
                      <c15:txfldGUID>{BD67773C-CD3C-4F05-8B5E-376302870ABA}</c15:txfldGUID>
                      <c15:f>iScatter!$B$29</c15:f>
                      <c15:dlblFieldTableCache>
                        <c:ptCount val="1"/>
                        <c:pt idx="0">
                          <c:v>Costa Rica</c:v>
                        </c:pt>
                      </c15:dlblFieldTableCache>
                    </c15:dlblFTEntry>
                  </c15:dlblFieldTable>
                  <c15:showDataLabelsRange val="0"/>
                </c:ext>
              </c:extLst>
            </c:dLbl>
            <c:dLbl>
              <c:idx val="11"/>
              <c:tx>
                <c:strRef>
                  <c:f>iScatter!$B$30</c:f>
                  <c:strCache>
                    <c:ptCount val="1"/>
                    <c:pt idx="0">
                      <c:v>Santiago de Chile</c:v>
                    </c:pt>
                  </c:strCache>
                </c:strRef>
              </c:tx>
              <c:showSerName val="1"/>
              <c:extLst>
                <c:ext xmlns:c15="http://schemas.microsoft.com/office/drawing/2012/chart" uri="{CE6537A1-D6FC-4f65-9D91-7224C49458BB}">
                  <c15:dlblFieldTable>
                    <c15:dlblFTEntry>
                      <c15:txfldGUID>{DA9BD986-86AD-4CD8-9C06-523CD3802740}</c15:txfldGUID>
                      <c15:f>iScatter!$B$30</c15:f>
                      <c15:dlblFieldTableCache>
                        <c:ptCount val="1"/>
                        <c:pt idx="0">
                          <c:v>Croatia</c:v>
                        </c:pt>
                      </c15:dlblFieldTableCache>
                    </c15:dlblFTEntry>
                  </c15:dlblFieldTable>
                  <c15:showDataLabelsRange val="0"/>
                </c:ext>
              </c:extLst>
            </c:dLbl>
            <c:dLbl>
              <c:idx val="12"/>
              <c:tx>
                <c:strRef>
                  <c:f>iScatter!#REF!</c:f>
                  <c:strCache>
                    <c:ptCount val="1"/>
                    <c:pt idx="0">
                      <c:v>#REF!</c:v>
                    </c:pt>
                  </c:strCache>
                </c:strRef>
              </c:tx>
              <c:showSerName val="1"/>
              <c:extLst>
                <c:ext xmlns:c15="http://schemas.microsoft.com/office/drawing/2012/chart" uri="{CE6537A1-D6FC-4f65-9D91-7224C49458BB}">
                  <c15:dlblFieldTable>
                    <c15:dlblFTEntry>
                      <c15:txfldGUID>{562C8A92-1B09-42CC-9A0B-51C8FED1C978}</c15:txfldGUID>
                      <c15:f>iScatter!$B$31</c15:f>
                      <c15:dlblFieldTableCache>
                        <c:ptCount val="1"/>
                        <c:pt idx="0">
                          <c:v>Czech Republic</c:v>
                        </c:pt>
                      </c15:dlblFieldTableCache>
                    </c15:dlblFTEntry>
                  </c15:dlblFieldTable>
                  <c15:showDataLabelsRange val="0"/>
                </c:ext>
              </c:extLst>
            </c:dLbl>
            <c:dLbl>
              <c:idx val="13"/>
              <c:tx>
                <c:strRef>
                  <c:f>iScatter!#REF!</c:f>
                  <c:strCache>
                    <c:ptCount val="1"/>
                    <c:pt idx="0">
                      <c:v>#REF!</c:v>
                    </c:pt>
                  </c:strCache>
                </c:strRef>
              </c:tx>
              <c:showSerName val="1"/>
              <c:extLst>
                <c:ext xmlns:c15="http://schemas.microsoft.com/office/drawing/2012/chart" uri="{CE6537A1-D6FC-4f65-9D91-7224C49458BB}">
                  <c15:dlblFieldTable>
                    <c15:dlblFTEntry>
                      <c15:txfldGUID>{7B4FF84F-980A-4488-B283-72F00F501204}</c15:txfldGUID>
                      <c15:f>iScatter!$B$32</c15:f>
                      <c15:dlblFieldTableCache>
                        <c:ptCount val="1"/>
                        <c:pt idx="0">
                          <c:v>Denmark</c:v>
                        </c:pt>
                      </c15:dlblFieldTableCache>
                    </c15:dlblFTEntry>
                  </c15:dlblFieldTable>
                  <c15:showDataLabelsRange val="0"/>
                </c:ext>
              </c:extLst>
            </c:dLbl>
            <c:dLbl>
              <c:idx val="14"/>
              <c:tx>
                <c:strRef>
                  <c:f>iScatter!#REF!</c:f>
                  <c:strCache>
                    <c:ptCount val="1"/>
                    <c:pt idx="0">
                      <c:v>#REF!</c:v>
                    </c:pt>
                  </c:strCache>
                </c:strRef>
              </c:tx>
              <c:showSerName val="1"/>
              <c:extLst>
                <c:ext xmlns:c15="http://schemas.microsoft.com/office/drawing/2012/chart" uri="{CE6537A1-D6FC-4f65-9D91-7224C49458BB}">
                  <c15:dlblFieldTable>
                    <c15:dlblFTEntry>
                      <c15:txfldGUID>{20F9AF27-36F2-4DE0-9862-8FBFE23EE60C}</c15:txfldGUID>
                      <c15:f>iScatter!$B$33</c15:f>
                      <c15:dlblFieldTableCache>
                        <c:ptCount val="1"/>
                        <c:pt idx="0">
                          <c:v>Egypt</c:v>
                        </c:pt>
                      </c15:dlblFieldTableCache>
                    </c15:dlblFTEntry>
                  </c15:dlblFieldTable>
                  <c15:showDataLabelsRange val="0"/>
                </c:ext>
              </c:extLst>
            </c:dLbl>
            <c:dLbl>
              <c:idx val="15"/>
              <c:tx>
                <c:strRef>
                  <c:f>iScatter!#REF!</c:f>
                  <c:strCache>
                    <c:ptCount val="1"/>
                    <c:pt idx="0">
                      <c:v>#REF!</c:v>
                    </c:pt>
                  </c:strCache>
                </c:strRef>
              </c:tx>
              <c:showSerName val="1"/>
              <c:extLst>
                <c:ext xmlns:c15="http://schemas.microsoft.com/office/drawing/2012/chart" uri="{CE6537A1-D6FC-4f65-9D91-7224C49458BB}">
                  <c15:dlblFieldTable>
                    <c15:dlblFTEntry>
                      <c15:txfldGUID>{0E8BF82B-7837-4960-8991-A69B84A7AB68}</c15:txfldGUID>
                      <c15:f>iScatter!$B$34</c15:f>
                      <c15:dlblFieldTableCache>
                        <c:ptCount val="1"/>
                        <c:pt idx="0">
                          <c:v>Finland</c:v>
                        </c:pt>
                      </c15:dlblFieldTableCache>
                    </c15:dlblFTEntry>
                  </c15:dlblFieldTable>
                  <c15:showDataLabelsRange val="0"/>
                </c:ext>
              </c:extLst>
            </c:dLbl>
            <c:dLbl>
              <c:idx val="16"/>
              <c:tx>
                <c:strRef>
                  <c:f>iScatter!#REF!</c:f>
                  <c:strCache>
                    <c:ptCount val="1"/>
                    <c:pt idx="0">
                      <c:v>#REF!</c:v>
                    </c:pt>
                  </c:strCache>
                </c:strRef>
              </c:tx>
              <c:showSerName val="1"/>
              <c:extLst>
                <c:ext xmlns:c15="http://schemas.microsoft.com/office/drawing/2012/chart" uri="{CE6537A1-D6FC-4f65-9D91-7224C49458BB}">
                  <c15:dlblFieldTable>
                    <c15:dlblFTEntry>
                      <c15:txfldGUID>{E13FF348-3834-4A1E-BB39-9253498726EC}</c15:txfldGUID>
                      <c15:f>iScatter!$B$35</c15:f>
                      <c15:dlblFieldTableCache>
                        <c:ptCount val="1"/>
                        <c:pt idx="0">
                          <c:v>France</c:v>
                        </c:pt>
                      </c15:dlblFieldTableCache>
                    </c15:dlblFTEntry>
                  </c15:dlblFieldTable>
                  <c15:showDataLabelsRange val="0"/>
                </c:ext>
              </c:extLst>
            </c:dLbl>
            <c:dLbl>
              <c:idx val="17"/>
              <c:tx>
                <c:strRef>
                  <c:f>iScatter!#REF!</c:f>
                  <c:strCache>
                    <c:ptCount val="1"/>
                    <c:pt idx="0">
                      <c:v>#REF!</c:v>
                    </c:pt>
                  </c:strCache>
                </c:strRef>
              </c:tx>
              <c:showSerName val="1"/>
              <c:extLst>
                <c:ext xmlns:c15="http://schemas.microsoft.com/office/drawing/2012/chart" uri="{CE6537A1-D6FC-4f65-9D91-7224C49458BB}">
                  <c15:dlblFieldTable>
                    <c15:dlblFTEntry>
                      <c15:txfldGUID>{8ACAF1CA-D8C1-4B8A-940E-1F550F4F9EED}</c15:txfldGUID>
                      <c15:f>iScatter!$B$36</c15:f>
                      <c15:dlblFieldTableCache>
                        <c:ptCount val="1"/>
                        <c:pt idx="0">
                          <c:v>Germany</c:v>
                        </c:pt>
                      </c15:dlblFieldTableCache>
                    </c15:dlblFTEntry>
                  </c15:dlblFieldTable>
                  <c15:showDataLabelsRange val="0"/>
                </c:ext>
              </c:extLst>
            </c:dLbl>
            <c:dLbl>
              <c:idx val="18"/>
              <c:tx>
                <c:strRef>
                  <c:f>iScatter!#REF!</c:f>
                  <c:strCache>
                    <c:ptCount val="1"/>
                    <c:pt idx="0">
                      <c:v>#REF!</c:v>
                    </c:pt>
                  </c:strCache>
                </c:strRef>
              </c:tx>
              <c:showSerName val="1"/>
              <c:extLst>
                <c:ext xmlns:c15="http://schemas.microsoft.com/office/drawing/2012/chart" uri="{CE6537A1-D6FC-4f65-9D91-7224C49458BB}">
                  <c15:dlblFieldTable>
                    <c15:dlblFTEntry>
                      <c15:txfldGUID>{20CD5E6F-8413-4861-822F-4F5E47B673A7}</c15:txfldGUID>
                      <c15:f>iScatter!$B$37</c15:f>
                      <c15:dlblFieldTableCache>
                        <c:ptCount val="1"/>
                        <c:pt idx="0">
                          <c:v>Greece</c:v>
                        </c:pt>
                      </c15:dlblFieldTableCache>
                    </c15:dlblFTEntry>
                  </c15:dlblFieldTable>
                  <c15:showDataLabelsRange val="0"/>
                </c:ext>
              </c:extLst>
            </c:dLbl>
            <c:dLbl>
              <c:idx val="19"/>
              <c:tx>
                <c:strRef>
                  <c:f>iScatter!#REF!</c:f>
                  <c:strCache>
                    <c:ptCount val="1"/>
                    <c:pt idx="0">
                      <c:v>#REF!</c:v>
                    </c:pt>
                  </c:strCache>
                </c:strRef>
              </c:tx>
              <c:showSerName val="1"/>
              <c:extLst>
                <c:ext xmlns:c15="http://schemas.microsoft.com/office/drawing/2012/chart" uri="{CE6537A1-D6FC-4f65-9D91-7224C49458BB}">
                  <c15:dlblFieldTable>
                    <c15:dlblFTEntry>
                      <c15:txfldGUID>{0BFC23DC-F0D7-4B3F-8122-5A1D3A4867BA}</c15:txfldGUID>
                      <c15:f>iScatter!$B$38</c15:f>
                      <c15:dlblFieldTableCache>
                        <c:ptCount val="1"/>
                        <c:pt idx="0">
                          <c:v>Hong Kong</c:v>
                        </c:pt>
                      </c15:dlblFieldTableCache>
                    </c15:dlblFTEntry>
                  </c15:dlblFieldTable>
                  <c15:showDataLabelsRange val="0"/>
                </c:ext>
              </c:extLst>
            </c:dLbl>
            <c:dLbl>
              <c:idx val="20"/>
              <c:tx>
                <c:strRef>
                  <c:f>iScatter!#REF!</c:f>
                  <c:strCache>
                    <c:ptCount val="1"/>
                    <c:pt idx="0">
                      <c:v>#REF!</c:v>
                    </c:pt>
                  </c:strCache>
                </c:strRef>
              </c:tx>
              <c:showSerName val="1"/>
              <c:extLst>
                <c:ext xmlns:c15="http://schemas.microsoft.com/office/drawing/2012/chart" uri="{CE6537A1-D6FC-4f65-9D91-7224C49458BB}">
                  <c15:dlblFieldTable>
                    <c15:dlblFTEntry>
                      <c15:txfldGUID>{2DA62E0A-E405-4037-8196-E6F8FEE52DD9}</c15:txfldGUID>
                      <c15:f>iScatter!$B$39</c15:f>
                      <c15:dlblFieldTableCache>
                        <c:ptCount val="1"/>
                        <c:pt idx="0">
                          <c:v>Hungary</c:v>
                        </c:pt>
                      </c15:dlblFieldTableCache>
                    </c15:dlblFTEntry>
                  </c15:dlblFieldTable>
                  <c15:showDataLabelsRange val="0"/>
                </c:ext>
              </c:extLst>
            </c:dLbl>
            <c:dLbl>
              <c:idx val="21"/>
              <c:tx>
                <c:strRef>
                  <c:f>iScatter!#REF!</c:f>
                  <c:strCache>
                    <c:ptCount val="1"/>
                    <c:pt idx="0">
                      <c:v>#REF!</c:v>
                    </c:pt>
                  </c:strCache>
                </c:strRef>
              </c:tx>
              <c:showSerName val="1"/>
              <c:extLst>
                <c:ext xmlns:c15="http://schemas.microsoft.com/office/drawing/2012/chart" uri="{CE6537A1-D6FC-4f65-9D91-7224C49458BB}">
                  <c15:dlblFieldTable>
                    <c15:dlblFTEntry>
                      <c15:txfldGUID>{AE6CE0AE-A5A5-488A-94B3-A40FD4F0FD39}</c15:txfldGUID>
                      <c15:f>iScatter!$B$40</c15:f>
                      <c15:dlblFieldTableCache>
                        <c:ptCount val="1"/>
                        <c:pt idx="0">
                          <c:v>India</c:v>
                        </c:pt>
                      </c15:dlblFieldTableCache>
                    </c15:dlblFTEntry>
                  </c15:dlblFieldTable>
                  <c15:showDataLabelsRange val="0"/>
                </c:ext>
              </c:extLst>
            </c:dLbl>
            <c:dLbl>
              <c:idx val="22"/>
              <c:tx>
                <c:strRef>
                  <c:f>iScatter!#REF!</c:f>
                  <c:strCache>
                    <c:ptCount val="1"/>
                    <c:pt idx="0">
                      <c:v>#REF!</c:v>
                    </c:pt>
                  </c:strCache>
                </c:strRef>
              </c:tx>
              <c:showSerName val="1"/>
              <c:extLst>
                <c:ext xmlns:c15="http://schemas.microsoft.com/office/drawing/2012/chart" uri="{CE6537A1-D6FC-4f65-9D91-7224C49458BB}">
                  <c15:dlblFieldTable>
                    <c15:dlblFTEntry>
                      <c15:txfldGUID>{122F9296-1290-480C-998A-B11CFA1115ED}</c15:txfldGUID>
                      <c15:f>iScatter!$B$41</c15:f>
                      <c15:dlblFieldTableCache>
                        <c:ptCount val="1"/>
                        <c:pt idx="0">
                          <c:v>Indonesia</c:v>
                        </c:pt>
                      </c15:dlblFieldTableCache>
                    </c15:dlblFTEntry>
                  </c15:dlblFieldTable>
                  <c15:showDataLabelsRange val="0"/>
                </c:ext>
              </c:extLst>
            </c:dLbl>
            <c:dLbl>
              <c:idx val="23"/>
              <c:tx>
                <c:strRef>
                  <c:f>iScatter!#REF!</c:f>
                  <c:strCache>
                    <c:ptCount val="1"/>
                    <c:pt idx="0">
                      <c:v>#REF!</c:v>
                    </c:pt>
                  </c:strCache>
                </c:strRef>
              </c:tx>
              <c:showSerName val="1"/>
              <c:extLst>
                <c:ext xmlns:c15="http://schemas.microsoft.com/office/drawing/2012/chart" uri="{CE6537A1-D6FC-4f65-9D91-7224C49458BB}">
                  <c15:dlblFieldTable>
                    <c15:dlblFTEntry>
                      <c15:txfldGUID>{C3370E02-BD81-4647-A065-EDBA24EECF63}</c15:txfldGUID>
                      <c15:f>iScatter!$B$42</c15:f>
                      <c15:dlblFieldTableCache>
                        <c:ptCount val="1"/>
                        <c:pt idx="0">
                          <c:v>Ireland</c:v>
                        </c:pt>
                      </c15:dlblFieldTableCache>
                    </c15:dlblFTEntry>
                  </c15:dlblFieldTable>
                  <c15:showDataLabelsRange val="0"/>
                </c:ext>
              </c:extLst>
            </c:dLbl>
            <c:dLbl>
              <c:idx val="24"/>
              <c:tx>
                <c:strRef>
                  <c:f>iScatter!#REF!</c:f>
                  <c:strCache>
                    <c:ptCount val="1"/>
                    <c:pt idx="0">
                      <c:v>#REF!</c:v>
                    </c:pt>
                  </c:strCache>
                </c:strRef>
              </c:tx>
              <c:showSerName val="1"/>
              <c:extLst>
                <c:ext xmlns:c15="http://schemas.microsoft.com/office/drawing/2012/chart" uri="{CE6537A1-D6FC-4f65-9D91-7224C49458BB}">
                  <c15:dlblFieldTable>
                    <c15:dlblFTEntry>
                      <c15:txfldGUID>{745107D9-C689-46C0-A83B-39C66011A223}</c15:txfldGUID>
                      <c15:f>iScatter!$B$43</c15:f>
                      <c15:dlblFieldTableCache>
                        <c:ptCount val="1"/>
                        <c:pt idx="0">
                          <c:v>Israel</c:v>
                        </c:pt>
                      </c15:dlblFieldTableCache>
                    </c15:dlblFTEntry>
                  </c15:dlblFieldTable>
                  <c15:showDataLabelsRange val="0"/>
                </c:ext>
              </c:extLst>
            </c:dLbl>
            <c:dLbl>
              <c:idx val="25"/>
              <c:tx>
                <c:strRef>
                  <c:f>iScatter!#REF!</c:f>
                  <c:strCache>
                    <c:ptCount val="1"/>
                    <c:pt idx="0">
                      <c:v>#REF!</c:v>
                    </c:pt>
                  </c:strCache>
                </c:strRef>
              </c:tx>
              <c:showSerName val="1"/>
              <c:extLst>
                <c:ext xmlns:c15="http://schemas.microsoft.com/office/drawing/2012/chart" uri="{CE6537A1-D6FC-4f65-9D91-7224C49458BB}">
                  <c15:dlblFieldTable>
                    <c15:dlblFTEntry>
                      <c15:txfldGUID>{E7EAE0FA-E8C1-4A75-A31B-C59D9135C15C}</c15:txfldGUID>
                      <c15:f>iScatter!$B$44</c15:f>
                      <c15:dlblFieldTableCache>
                        <c:ptCount val="1"/>
                        <c:pt idx="0">
                          <c:v>Italy</c:v>
                        </c:pt>
                      </c15:dlblFieldTableCache>
                    </c15:dlblFTEntry>
                  </c15:dlblFieldTable>
                  <c15:showDataLabelsRange val="0"/>
                </c:ext>
              </c:extLst>
            </c:dLbl>
            <c:dLbl>
              <c:idx val="26"/>
              <c:tx>
                <c:strRef>
                  <c:f>iScatter!#REF!</c:f>
                  <c:strCache>
                    <c:ptCount val="1"/>
                    <c:pt idx="0">
                      <c:v>#REF!</c:v>
                    </c:pt>
                  </c:strCache>
                </c:strRef>
              </c:tx>
              <c:showSerName val="1"/>
              <c:extLst>
                <c:ext xmlns:c15="http://schemas.microsoft.com/office/drawing/2012/chart" uri="{CE6537A1-D6FC-4f65-9D91-7224C49458BB}">
                  <c15:dlblFieldTable>
                    <c15:dlblFTEntry>
                      <c15:txfldGUID>{EFC6BCFD-7CF6-45CA-9CA6-34D51DAC2DFC}</c15:txfldGUID>
                      <c15:f>iScatter!$B$45</c15:f>
                      <c15:dlblFieldTableCache>
                        <c:ptCount val="1"/>
                        <c:pt idx="0">
                          <c:v>Japan</c:v>
                        </c:pt>
                      </c15:dlblFieldTableCache>
                    </c15:dlblFTEntry>
                  </c15:dlblFieldTable>
                  <c15:showDataLabelsRange val="0"/>
                </c:ext>
              </c:extLst>
            </c:dLbl>
            <c:dLbl>
              <c:idx val="27"/>
              <c:tx>
                <c:strRef>
                  <c:f>iScatter!#REF!</c:f>
                  <c:strCache>
                    <c:ptCount val="1"/>
                    <c:pt idx="0">
                      <c:v>#REF!</c:v>
                    </c:pt>
                  </c:strCache>
                </c:strRef>
              </c:tx>
              <c:showSerName val="1"/>
              <c:extLst>
                <c:ext xmlns:c15="http://schemas.microsoft.com/office/drawing/2012/chart" uri="{CE6537A1-D6FC-4f65-9D91-7224C49458BB}">
                  <c15:dlblFieldTable>
                    <c15:dlblFTEntry>
                      <c15:txfldGUID>{852FF62F-D597-4A0A-B87B-D0067315D1BF}</c15:txfldGUID>
                      <c15:f>iScatter!$B$46</c15:f>
                      <c15:dlblFieldTableCache>
                        <c:ptCount val="1"/>
                        <c:pt idx="0">
                          <c:v>Malaysia</c:v>
                        </c:pt>
                      </c15:dlblFieldTableCache>
                    </c15:dlblFTEntry>
                  </c15:dlblFieldTable>
                  <c15:showDataLabelsRange val="0"/>
                </c:ext>
              </c:extLst>
            </c:dLbl>
            <c:dLbl>
              <c:idx val="28"/>
              <c:tx>
                <c:strRef>
                  <c:f>iScatter!#REF!</c:f>
                  <c:strCache>
                    <c:ptCount val="1"/>
                    <c:pt idx="0">
                      <c:v>#REF!</c:v>
                    </c:pt>
                  </c:strCache>
                </c:strRef>
              </c:tx>
              <c:showSerName val="1"/>
              <c:extLst>
                <c:ext xmlns:c15="http://schemas.microsoft.com/office/drawing/2012/chart" uri="{CE6537A1-D6FC-4f65-9D91-7224C49458BB}">
                  <c15:dlblFieldTable>
                    <c15:dlblFTEntry>
                      <c15:txfldGUID>{57941531-FA13-49AD-9B39-A84967FC491A}</c15:txfldGUID>
                      <c15:f>iScatter!$B$47</c15:f>
                      <c15:dlblFieldTableCache>
                        <c:ptCount val="1"/>
                        <c:pt idx="0">
                          <c:v>Mexico</c:v>
                        </c:pt>
                      </c15:dlblFieldTableCache>
                    </c15:dlblFTEntry>
                  </c15:dlblFieldTable>
                  <c15:showDataLabelsRange val="0"/>
                </c:ext>
              </c:extLst>
            </c:dLbl>
            <c:dLbl>
              <c:idx val="29"/>
              <c:tx>
                <c:strRef>
                  <c:f>iScatter!#REF!</c:f>
                  <c:strCache>
                    <c:ptCount val="1"/>
                    <c:pt idx="0">
                      <c:v>#REF!</c:v>
                    </c:pt>
                  </c:strCache>
                </c:strRef>
              </c:tx>
              <c:showSerName val="1"/>
              <c:extLst>
                <c:ext xmlns:c15="http://schemas.microsoft.com/office/drawing/2012/chart" uri="{CE6537A1-D6FC-4f65-9D91-7224C49458BB}">
                  <c15:dlblFieldTable>
                    <c15:dlblFTEntry>
                      <c15:txfldGUID>{377334CB-3740-47FE-9D2D-DFD91B4FF650}</c15:txfldGUID>
                      <c15:f>iScatter!$B$48</c15:f>
                      <c15:dlblFieldTableCache>
                        <c:ptCount val="1"/>
                        <c:pt idx="0">
                          <c:v>Netherlands</c:v>
                        </c:pt>
                      </c15:dlblFieldTableCache>
                    </c15:dlblFTEntry>
                  </c15:dlblFieldTable>
                  <c15:showDataLabelsRange val="0"/>
                </c:ext>
              </c:extLst>
            </c:dLbl>
            <c:dLbl>
              <c:idx val="30"/>
              <c:tx>
                <c:strRef>
                  <c:f>iScatter!#REF!</c:f>
                  <c:strCache>
                    <c:ptCount val="1"/>
                    <c:pt idx="0">
                      <c:v>#REF!</c:v>
                    </c:pt>
                  </c:strCache>
                </c:strRef>
              </c:tx>
              <c:showSerName val="1"/>
              <c:extLst>
                <c:ext xmlns:c15="http://schemas.microsoft.com/office/drawing/2012/chart" uri="{CE6537A1-D6FC-4f65-9D91-7224C49458BB}">
                  <c15:dlblFieldTable>
                    <c15:dlblFTEntry>
                      <c15:txfldGUID>{55C256F2-55AD-4924-BC93-5CE6076D8DB6}</c15:txfldGUID>
                      <c15:f>iScatter!$B$49</c15:f>
                      <c15:dlblFieldTableCache>
                        <c:ptCount val="1"/>
                        <c:pt idx="0">
                          <c:v>New Zealand</c:v>
                        </c:pt>
                      </c15:dlblFieldTableCache>
                    </c15:dlblFTEntry>
                  </c15:dlblFieldTable>
                  <c15:showDataLabelsRange val="0"/>
                </c:ext>
              </c:extLst>
            </c:dLbl>
            <c:dLbl>
              <c:idx val="31"/>
              <c:tx>
                <c:strRef>
                  <c:f>iScatter!#REF!</c:f>
                  <c:strCache>
                    <c:ptCount val="1"/>
                    <c:pt idx="0">
                      <c:v>#REF!</c:v>
                    </c:pt>
                  </c:strCache>
                </c:strRef>
              </c:tx>
              <c:showSerName val="1"/>
              <c:extLst>
                <c:ext xmlns:c15="http://schemas.microsoft.com/office/drawing/2012/chart" uri="{CE6537A1-D6FC-4f65-9D91-7224C49458BB}">
                  <c15:dlblFieldTable>
                    <c15:dlblFTEntry>
                      <c15:txfldGUID>{A35B525F-1C97-4E4E-9247-C7BCA3CB68A5}</c15:txfldGUID>
                      <c15:f>iScatter!$B$50</c15:f>
                      <c15:dlblFieldTableCache>
                        <c:ptCount val="1"/>
                        <c:pt idx="0">
                          <c:v>Nigeria</c:v>
                        </c:pt>
                      </c15:dlblFieldTableCache>
                    </c15:dlblFTEntry>
                  </c15:dlblFieldTable>
                  <c15:showDataLabelsRange val="0"/>
                </c:ext>
              </c:extLst>
            </c:dLbl>
            <c:dLbl>
              <c:idx val="32"/>
              <c:tx>
                <c:strRef>
                  <c:f>iScatter!#REF!</c:f>
                  <c:strCache>
                    <c:ptCount val="1"/>
                    <c:pt idx="0">
                      <c:v>#REF!</c:v>
                    </c:pt>
                  </c:strCache>
                </c:strRef>
              </c:tx>
              <c:showSerName val="1"/>
              <c:extLst>
                <c:ext xmlns:c15="http://schemas.microsoft.com/office/drawing/2012/chart" uri="{CE6537A1-D6FC-4f65-9D91-7224C49458BB}">
                  <c15:dlblFieldTable>
                    <c15:dlblFTEntry>
                      <c15:txfldGUID>{952B69C8-9240-4FC2-8D78-FED87B002566}</c15:txfldGUID>
                      <c15:f>iScatter!$B$51</c15:f>
                      <c15:dlblFieldTableCache>
                        <c:ptCount val="1"/>
                        <c:pt idx="0">
                          <c:v>Norway</c:v>
                        </c:pt>
                      </c15:dlblFieldTableCache>
                    </c15:dlblFTEntry>
                  </c15:dlblFieldTable>
                  <c15:showDataLabelsRange val="0"/>
                </c:ext>
              </c:extLst>
            </c:dLbl>
            <c:dLbl>
              <c:idx val="33"/>
              <c:tx>
                <c:strRef>
                  <c:f>iScatter!#REF!</c:f>
                  <c:strCache>
                    <c:ptCount val="1"/>
                    <c:pt idx="0">
                      <c:v>#REF!</c:v>
                    </c:pt>
                  </c:strCache>
                </c:strRef>
              </c:tx>
              <c:showSerName val="1"/>
              <c:extLst>
                <c:ext xmlns:c15="http://schemas.microsoft.com/office/drawing/2012/chart" uri="{CE6537A1-D6FC-4f65-9D91-7224C49458BB}">
                  <c15:dlblFieldTable>
                    <c15:dlblFTEntry>
                      <c15:txfldGUID>{2B038E1D-73E9-42BE-AC93-E540587721DF}</c15:txfldGUID>
                      <c15:f>iScatter!$B$52</c15:f>
                      <c15:dlblFieldTableCache>
                        <c:ptCount val="1"/>
                        <c:pt idx="0">
                          <c:v>Pakistan</c:v>
                        </c:pt>
                      </c15:dlblFieldTableCache>
                    </c15:dlblFTEntry>
                  </c15:dlblFieldTable>
                  <c15:showDataLabelsRange val="0"/>
                </c:ext>
              </c:extLst>
            </c:dLbl>
            <c:dLbl>
              <c:idx val="34"/>
              <c:tx>
                <c:strRef>
                  <c:f>iScatter!#REF!</c:f>
                  <c:strCache>
                    <c:ptCount val="1"/>
                    <c:pt idx="0">
                      <c:v>#REF!</c:v>
                    </c:pt>
                  </c:strCache>
                </c:strRef>
              </c:tx>
              <c:showSerName val="1"/>
              <c:extLst>
                <c:ext xmlns:c15="http://schemas.microsoft.com/office/drawing/2012/chart" uri="{CE6537A1-D6FC-4f65-9D91-7224C49458BB}">
                  <c15:dlblFieldTable>
                    <c15:dlblFTEntry>
                      <c15:txfldGUID>{8F753C94-E37E-40CE-800A-5B05B0886590}</c15:txfldGUID>
                      <c15:f>iScatter!$B$53</c15:f>
                      <c15:dlblFieldTableCache>
                        <c:ptCount val="1"/>
                        <c:pt idx="0">
                          <c:v>Peru</c:v>
                        </c:pt>
                      </c15:dlblFieldTableCache>
                    </c15:dlblFTEntry>
                  </c15:dlblFieldTable>
                  <c15:showDataLabelsRange val="0"/>
                </c:ext>
              </c:extLst>
            </c:dLbl>
            <c:dLbl>
              <c:idx val="35"/>
              <c:tx>
                <c:strRef>
                  <c:f>iScatter!#REF!</c:f>
                  <c:strCache>
                    <c:ptCount val="1"/>
                    <c:pt idx="0">
                      <c:v>#REF!</c:v>
                    </c:pt>
                  </c:strCache>
                </c:strRef>
              </c:tx>
              <c:showSerName val="1"/>
              <c:extLst>
                <c:ext xmlns:c15="http://schemas.microsoft.com/office/drawing/2012/chart" uri="{CE6537A1-D6FC-4f65-9D91-7224C49458BB}">
                  <c15:dlblFieldTable>
                    <c15:dlblFTEntry>
                      <c15:txfldGUID>{C8FDDF33-2913-463D-9BA7-898BC0CF77F9}</c15:txfldGUID>
                      <c15:f>iScatter!$B$54</c15:f>
                      <c15:dlblFieldTableCache>
                        <c:ptCount val="1"/>
                        <c:pt idx="0">
                          <c:v>Philippines</c:v>
                        </c:pt>
                      </c15:dlblFieldTableCache>
                    </c15:dlblFTEntry>
                  </c15:dlblFieldTable>
                  <c15:showDataLabelsRange val="0"/>
                </c:ext>
              </c:extLst>
            </c:dLbl>
            <c:dLbl>
              <c:idx val="36"/>
              <c:tx>
                <c:strRef>
                  <c:f>iScatter!#REF!</c:f>
                  <c:strCache>
                    <c:ptCount val="1"/>
                    <c:pt idx="0">
                      <c:v>#REF!</c:v>
                    </c:pt>
                  </c:strCache>
                </c:strRef>
              </c:tx>
              <c:showSerName val="1"/>
              <c:extLst>
                <c:ext xmlns:c15="http://schemas.microsoft.com/office/drawing/2012/chart" uri="{CE6537A1-D6FC-4f65-9D91-7224C49458BB}">
                  <c15:dlblFieldTable>
                    <c15:dlblFTEntry>
                      <c15:txfldGUID>{E3D336B9-146C-4201-BFCE-15ADAB84B4B4}</c15:txfldGUID>
                      <c15:f>iScatter!$B$55</c15:f>
                      <c15:dlblFieldTableCache>
                        <c:ptCount val="1"/>
                        <c:pt idx="0">
                          <c:v>Poland</c:v>
                        </c:pt>
                      </c15:dlblFieldTableCache>
                    </c15:dlblFTEntry>
                  </c15:dlblFieldTable>
                  <c15:showDataLabelsRange val="0"/>
                </c:ext>
              </c:extLst>
            </c:dLbl>
            <c:dLbl>
              <c:idx val="37"/>
              <c:tx>
                <c:strRef>
                  <c:f>iScatter!#REF!</c:f>
                  <c:strCache>
                    <c:ptCount val="1"/>
                    <c:pt idx="0">
                      <c:v>#REF!</c:v>
                    </c:pt>
                  </c:strCache>
                </c:strRef>
              </c:tx>
              <c:showSerName val="1"/>
              <c:extLst>
                <c:ext xmlns:c15="http://schemas.microsoft.com/office/drawing/2012/chart" uri="{CE6537A1-D6FC-4f65-9D91-7224C49458BB}">
                  <c15:dlblFieldTable>
                    <c15:dlblFTEntry>
                      <c15:txfldGUID>{454D1B8F-7627-47BD-8C77-7FCE395A5493}</c15:txfldGUID>
                      <c15:f>iScatter!$B$56</c15:f>
                      <c15:dlblFieldTableCache>
                        <c:ptCount val="1"/>
                        <c:pt idx="0">
                          <c:v>Qatar</c:v>
                        </c:pt>
                      </c15:dlblFieldTableCache>
                    </c15:dlblFTEntry>
                  </c15:dlblFieldTable>
                  <c15:showDataLabelsRange val="0"/>
                </c:ext>
              </c:extLst>
            </c:dLbl>
            <c:dLbl>
              <c:idx val="38"/>
              <c:tx>
                <c:strRef>
                  <c:f>iScatter!#REF!</c:f>
                  <c:strCache>
                    <c:ptCount val="1"/>
                    <c:pt idx="0">
                      <c:v>#REF!</c:v>
                    </c:pt>
                  </c:strCache>
                </c:strRef>
              </c:tx>
              <c:showSerName val="1"/>
              <c:extLst>
                <c:ext xmlns:c15="http://schemas.microsoft.com/office/drawing/2012/chart" uri="{CE6537A1-D6FC-4f65-9D91-7224C49458BB}">
                  <c15:dlblFieldTable>
                    <c15:dlblFTEntry>
                      <c15:txfldGUID>{62B973E9-8788-4F8C-88C7-DF23BA8A3749}</c15:txfldGUID>
                      <c15:f>iScatter!$B$57</c15:f>
                      <c15:dlblFieldTableCache>
                        <c:ptCount val="1"/>
                        <c:pt idx="0">
                          <c:v>Romania</c:v>
                        </c:pt>
                      </c15:dlblFieldTableCache>
                    </c15:dlblFTEntry>
                  </c15:dlblFieldTable>
                  <c15:showDataLabelsRange val="0"/>
                </c:ext>
              </c:extLst>
            </c:dLbl>
            <c:dLbl>
              <c:idx val="39"/>
              <c:tx>
                <c:strRef>
                  <c:f>iScatter!#REF!</c:f>
                  <c:strCache>
                    <c:ptCount val="1"/>
                    <c:pt idx="0">
                      <c:v>#REF!</c:v>
                    </c:pt>
                  </c:strCache>
                </c:strRef>
              </c:tx>
              <c:showSerName val="1"/>
              <c:extLst>
                <c:ext xmlns:c15="http://schemas.microsoft.com/office/drawing/2012/chart" uri="{CE6537A1-D6FC-4f65-9D91-7224C49458BB}">
                  <c15:dlblFieldTable>
                    <c15:dlblFTEntry>
                      <c15:txfldGUID>{E250396D-C977-49EE-B775-669344BF6491}</c15:txfldGUID>
                      <c15:f>iScatter!$B$58</c15:f>
                      <c15:dlblFieldTableCache>
                        <c:ptCount val="1"/>
                        <c:pt idx="0">
                          <c:v>Russia</c:v>
                        </c:pt>
                      </c15:dlblFieldTableCache>
                    </c15:dlblFTEntry>
                  </c15:dlblFieldTable>
                  <c15:showDataLabelsRange val="0"/>
                </c:ext>
              </c:extLst>
            </c:dLbl>
            <c:dLbl>
              <c:idx val="40"/>
              <c:tx>
                <c:strRef>
                  <c:f>iScatter!#REF!</c:f>
                  <c:strCache>
                    <c:ptCount val="1"/>
                    <c:pt idx="0">
                      <c:v>#REF!</c:v>
                    </c:pt>
                  </c:strCache>
                </c:strRef>
              </c:tx>
              <c:showSerName val="1"/>
              <c:extLst>
                <c:ext xmlns:c15="http://schemas.microsoft.com/office/drawing/2012/chart" uri="{CE6537A1-D6FC-4f65-9D91-7224C49458BB}">
                  <c15:dlblFieldTable>
                    <c15:dlblFTEntry>
                      <c15:txfldGUID>{083C5B29-E41E-4EF1-8BA2-D3DB3759689D}</c15:txfldGUID>
                      <c15:f>iScatter!$B$59</c15:f>
                      <c15:dlblFieldTableCache>
                        <c:ptCount val="1"/>
                        <c:pt idx="0">
                          <c:v>Saudi Arabia</c:v>
                        </c:pt>
                      </c15:dlblFieldTableCache>
                    </c15:dlblFTEntry>
                  </c15:dlblFieldTable>
                  <c15:showDataLabelsRange val="0"/>
                </c:ext>
              </c:extLst>
            </c:dLbl>
            <c:dLbl>
              <c:idx val="41"/>
              <c:tx>
                <c:strRef>
                  <c:f>iScatter!#REF!</c:f>
                  <c:strCache>
                    <c:ptCount val="1"/>
                    <c:pt idx="0">
                      <c:v>#REF!</c:v>
                    </c:pt>
                  </c:strCache>
                </c:strRef>
              </c:tx>
              <c:showSerName val="1"/>
              <c:extLst>
                <c:ext xmlns:c15="http://schemas.microsoft.com/office/drawing/2012/chart" uri="{CE6537A1-D6FC-4f65-9D91-7224C49458BB}">
                  <c15:dlblFieldTable>
                    <c15:dlblFTEntry>
                      <c15:txfldGUID>{EC8EA087-0350-4386-937B-2C20F373A917}</c15:txfldGUID>
                      <c15:f>iScatter!$B$60</c15:f>
                      <c15:dlblFieldTableCache>
                        <c:ptCount val="1"/>
                        <c:pt idx="0">
                          <c:v>Singapore</c:v>
                        </c:pt>
                      </c15:dlblFieldTableCache>
                    </c15:dlblFTEntry>
                  </c15:dlblFieldTable>
                  <c15:showDataLabelsRange val="0"/>
                </c:ext>
              </c:extLst>
            </c:dLbl>
            <c:dLbl>
              <c:idx val="42"/>
              <c:tx>
                <c:strRef>
                  <c:f>iScatter!#REF!</c:f>
                  <c:strCache>
                    <c:ptCount val="1"/>
                    <c:pt idx="0">
                      <c:v>#REF!</c:v>
                    </c:pt>
                  </c:strCache>
                </c:strRef>
              </c:tx>
              <c:showSerName val="1"/>
              <c:extLst>
                <c:ext xmlns:c15="http://schemas.microsoft.com/office/drawing/2012/chart" uri="{CE6537A1-D6FC-4f65-9D91-7224C49458BB}">
                  <c15:dlblFieldTable>
                    <c15:dlblFTEntry>
                      <c15:txfldGUID>{F9034F9A-258C-4242-A087-A31CF6170934}</c15:txfldGUID>
                      <c15:f>iScatter!$B$61</c15:f>
                      <c15:dlblFieldTableCache>
                        <c:ptCount val="1"/>
                        <c:pt idx="0">
                          <c:v>Slovakia</c:v>
                        </c:pt>
                      </c15:dlblFieldTableCache>
                    </c15:dlblFTEntry>
                  </c15:dlblFieldTable>
                  <c15:showDataLabelsRange val="0"/>
                </c:ext>
              </c:extLst>
            </c:dLbl>
            <c:dLbl>
              <c:idx val="43"/>
              <c:tx>
                <c:strRef>
                  <c:f>iScatter!#REF!</c:f>
                  <c:strCache>
                    <c:ptCount val="1"/>
                    <c:pt idx="0">
                      <c:v>#REF!</c:v>
                    </c:pt>
                  </c:strCache>
                </c:strRef>
              </c:tx>
              <c:showSerName val="1"/>
              <c:extLst>
                <c:ext xmlns:c15="http://schemas.microsoft.com/office/drawing/2012/chart" uri="{CE6537A1-D6FC-4f65-9D91-7224C49458BB}">
                  <c15:dlblFieldTable>
                    <c15:dlblFTEntry>
                      <c15:txfldGUID>{5F425491-244D-440B-83DB-BC625160FD46}</c15:txfldGUID>
                      <c15:f>iScatter!$B$62</c15:f>
                      <c15:dlblFieldTableCache>
                        <c:ptCount val="1"/>
                        <c:pt idx="0">
                          <c:v>South Africa</c:v>
                        </c:pt>
                      </c15:dlblFieldTableCache>
                    </c15:dlblFTEntry>
                  </c15:dlblFieldTable>
                  <c15:showDataLabelsRange val="0"/>
                </c:ext>
              </c:extLst>
            </c:dLbl>
            <c:dLbl>
              <c:idx val="44"/>
              <c:tx>
                <c:strRef>
                  <c:f>iScatter!#REF!</c:f>
                  <c:strCache>
                    <c:ptCount val="1"/>
                    <c:pt idx="0">
                      <c:v>#REF!</c:v>
                    </c:pt>
                  </c:strCache>
                </c:strRef>
              </c:tx>
              <c:showSerName val="1"/>
              <c:extLst>
                <c:ext xmlns:c15="http://schemas.microsoft.com/office/drawing/2012/chart" uri="{CE6537A1-D6FC-4f65-9D91-7224C49458BB}">
                  <c15:dlblFieldTable>
                    <c15:dlblFTEntry>
                      <c15:txfldGUID>{F8E5F6CF-32DC-4FE6-82DB-37233A4EC2FB}</c15:txfldGUID>
                      <c15:f>iScatter!$B$63</c15:f>
                      <c15:dlblFieldTableCache>
                        <c:ptCount val="1"/>
                        <c:pt idx="0">
                          <c:v>South Korea</c:v>
                        </c:pt>
                      </c15:dlblFieldTableCache>
                    </c15:dlblFTEntry>
                  </c15:dlblFieldTable>
                  <c15:showDataLabelsRange val="0"/>
                </c:ext>
              </c:extLst>
            </c:dLbl>
            <c:dLbl>
              <c:idx val="45"/>
              <c:tx>
                <c:strRef>
                  <c:f>iScatter!#REF!</c:f>
                  <c:strCache>
                    <c:ptCount val="1"/>
                    <c:pt idx="0">
                      <c:v>#REF!</c:v>
                    </c:pt>
                  </c:strCache>
                </c:strRef>
              </c:tx>
              <c:showSerName val="1"/>
              <c:extLst>
                <c:ext xmlns:c15="http://schemas.microsoft.com/office/drawing/2012/chart" uri="{CE6537A1-D6FC-4f65-9D91-7224C49458BB}">
                  <c15:dlblFieldTable>
                    <c15:dlblFTEntry>
                      <c15:txfldGUID>{CABE5E9A-925A-4426-8FCF-1E9CBC1E404C}</c15:txfldGUID>
                      <c15:f>iScatter!$B$64</c15:f>
                      <c15:dlblFieldTableCache>
                        <c:ptCount val="1"/>
                        <c:pt idx="0">
                          <c:v>Spain</c:v>
                        </c:pt>
                      </c15:dlblFieldTableCache>
                    </c15:dlblFTEntry>
                  </c15:dlblFieldTable>
                  <c15:showDataLabelsRange val="0"/>
                </c:ext>
              </c:extLst>
            </c:dLbl>
            <c:dLbl>
              <c:idx val="46"/>
              <c:tx>
                <c:strRef>
                  <c:f>iScatter!#REF!</c:f>
                  <c:strCache>
                    <c:ptCount val="1"/>
                    <c:pt idx="0">
                      <c:v>#REF!</c:v>
                    </c:pt>
                  </c:strCache>
                </c:strRef>
              </c:tx>
              <c:showSerName val="1"/>
              <c:extLst>
                <c:ext xmlns:c15="http://schemas.microsoft.com/office/drawing/2012/chart" uri="{CE6537A1-D6FC-4f65-9D91-7224C49458BB}">
                  <c15:dlblFieldTable>
                    <c15:dlblFTEntry>
                      <c15:txfldGUID>{65D1C92F-2207-4619-A218-EF022A497C81}</c15:txfldGUID>
                      <c15:f>iScatter!$B$65</c15:f>
                      <c15:dlblFieldTableCache>
                        <c:ptCount val="1"/>
                        <c:pt idx="0">
                          <c:v>Sweden</c:v>
                        </c:pt>
                      </c15:dlblFieldTableCache>
                    </c15:dlblFTEntry>
                  </c15:dlblFieldTable>
                  <c15:showDataLabelsRange val="0"/>
                </c:ext>
              </c:extLst>
            </c:dLbl>
            <c:dLbl>
              <c:idx val="47"/>
              <c:tx>
                <c:strRef>
                  <c:f>iScatter!#REF!</c:f>
                  <c:strCache>
                    <c:ptCount val="1"/>
                    <c:pt idx="0">
                      <c:v>#REF!</c:v>
                    </c:pt>
                  </c:strCache>
                </c:strRef>
              </c:tx>
              <c:showSerName val="1"/>
              <c:extLst>
                <c:ext xmlns:c15="http://schemas.microsoft.com/office/drawing/2012/chart" uri="{CE6537A1-D6FC-4f65-9D91-7224C49458BB}">
                  <c15:dlblFieldTable>
                    <c15:dlblFTEntry>
                      <c15:txfldGUID>{F8065466-C956-469A-8C12-ED08CD8CD5EC}</c15:txfldGUID>
                      <c15:f>iScatter!$B$66</c15:f>
                      <c15:dlblFieldTableCache>
                        <c:ptCount val="1"/>
                        <c:pt idx="0">
                          <c:v>Switzerland</c:v>
                        </c:pt>
                      </c15:dlblFieldTableCache>
                    </c15:dlblFTEntry>
                  </c15:dlblFieldTable>
                  <c15:showDataLabelsRange val="0"/>
                </c:ext>
              </c:extLst>
            </c:dLbl>
            <c:dLbl>
              <c:idx val="48"/>
              <c:tx>
                <c:strRef>
                  <c:f>iScatter!#REF!</c:f>
                  <c:strCache>
                    <c:ptCount val="1"/>
                    <c:pt idx="0">
                      <c:v>#REF!</c:v>
                    </c:pt>
                  </c:strCache>
                </c:strRef>
              </c:tx>
              <c:showSerName val="1"/>
              <c:extLst>
                <c:ext xmlns:c15="http://schemas.microsoft.com/office/drawing/2012/chart" uri="{CE6537A1-D6FC-4f65-9D91-7224C49458BB}">
                  <c15:dlblFieldTable>
                    <c15:dlblFTEntry>
                      <c15:txfldGUID>{4AE35EB4-8A6D-4320-9BFF-39F84FCB4DEE}</c15:txfldGUID>
                      <c15:f>iScatter!$B$67</c15:f>
                      <c15:dlblFieldTableCache>
                        <c:ptCount val="1"/>
                        <c:pt idx="0">
                          <c:v>Taiwan</c:v>
                        </c:pt>
                      </c15:dlblFieldTableCache>
                    </c15:dlblFTEntry>
                  </c15:dlblFieldTable>
                  <c15:showDataLabelsRange val="0"/>
                </c:ext>
              </c:extLst>
            </c:dLbl>
            <c:dLbl>
              <c:idx val="49"/>
              <c:tx>
                <c:strRef>
                  <c:f>iScatter!#REF!</c:f>
                  <c:strCache>
                    <c:ptCount val="1"/>
                    <c:pt idx="0">
                      <c:v>#REF!</c:v>
                    </c:pt>
                  </c:strCache>
                </c:strRef>
              </c:tx>
              <c:showSerName val="1"/>
              <c:extLst>
                <c:ext xmlns:c15="http://schemas.microsoft.com/office/drawing/2012/chart" uri="{CE6537A1-D6FC-4f65-9D91-7224C49458BB}">
                  <c15:dlblFieldTable>
                    <c15:dlblFTEntry>
                      <c15:txfldGUID>{FEB467AE-AD43-497D-9862-2E4E0F1BEAA0}</c15:txfldGUID>
                      <c15:f>iScatter!$B$68</c15:f>
                      <c15:dlblFieldTableCache>
                        <c:ptCount val="1"/>
                        <c:pt idx="0">
                          <c:v>Thailand</c:v>
                        </c:pt>
                      </c15:dlblFieldTableCache>
                    </c15:dlblFTEntry>
                  </c15:dlblFieldTable>
                  <c15:showDataLabelsRange val="0"/>
                </c:ext>
              </c:extLst>
            </c:dLbl>
            <c:dLbl>
              <c:idx val="50"/>
              <c:tx>
                <c:strRef>
                  <c:f>iScatter!#REF!</c:f>
                  <c:strCache>
                    <c:ptCount val="1"/>
                    <c:pt idx="0">
                      <c:v>#REF!</c:v>
                    </c:pt>
                  </c:strCache>
                </c:strRef>
              </c:tx>
              <c:showSerName val="1"/>
              <c:extLst>
                <c:ext xmlns:c15="http://schemas.microsoft.com/office/drawing/2012/chart" uri="{CE6537A1-D6FC-4f65-9D91-7224C49458BB}">
                  <c15:dlblFieldTable>
                    <c15:dlblFTEntry>
                      <c15:txfldGUID>{2C981728-199D-4781-807B-2B4D8193FA31}</c15:txfldGUID>
                      <c15:f>iScatter!$B$69</c15:f>
                      <c15:dlblFieldTableCache>
                        <c:ptCount val="1"/>
                        <c:pt idx="0">
                          <c:v>Tunisia</c:v>
                        </c:pt>
                      </c15:dlblFieldTableCache>
                    </c15:dlblFTEntry>
                  </c15:dlblFieldTable>
                  <c15:showDataLabelsRange val="0"/>
                </c:ext>
              </c:extLst>
            </c:dLbl>
            <c:dLbl>
              <c:idx val="51"/>
              <c:tx>
                <c:strRef>
                  <c:f>iScatter!#REF!</c:f>
                  <c:strCache>
                    <c:ptCount val="1"/>
                    <c:pt idx="0">
                      <c:v>#REF!</c:v>
                    </c:pt>
                  </c:strCache>
                </c:strRef>
              </c:tx>
              <c:showSerName val="1"/>
              <c:extLst>
                <c:ext xmlns:c15="http://schemas.microsoft.com/office/drawing/2012/chart" uri="{CE6537A1-D6FC-4f65-9D91-7224C49458BB}">
                  <c15:dlblFieldTable>
                    <c15:dlblFTEntry>
                      <c15:txfldGUID>{9D361273-5BAB-4B4B-A9CD-B7A27C76740A}</c15:txfldGUID>
                      <c15:f>iScatter!$B$70</c15:f>
                      <c15:dlblFieldTableCache>
                        <c:ptCount val="1"/>
                        <c:pt idx="0">
                          <c:v>Turkey</c:v>
                        </c:pt>
                      </c15:dlblFieldTableCache>
                    </c15:dlblFTEntry>
                  </c15:dlblFieldTable>
                  <c15:showDataLabelsRange val="0"/>
                </c:ext>
              </c:extLst>
            </c:dLbl>
            <c:dLbl>
              <c:idx val="52"/>
              <c:tx>
                <c:strRef>
                  <c:f>iScatter!#REF!</c:f>
                  <c:strCache>
                    <c:ptCount val="1"/>
                    <c:pt idx="0">
                      <c:v>#REF!</c:v>
                    </c:pt>
                  </c:strCache>
                </c:strRef>
              </c:tx>
              <c:showSerName val="1"/>
              <c:extLst>
                <c:ext xmlns:c15="http://schemas.microsoft.com/office/drawing/2012/chart" uri="{CE6537A1-D6FC-4f65-9D91-7224C49458BB}">
                  <c15:dlblFieldTable>
                    <c15:dlblFTEntry>
                      <c15:txfldGUID>{9C35E0EE-5BCE-492B-BCA4-31C717560887}</c15:txfldGUID>
                      <c15:f>iScatter!$B$71</c15:f>
                      <c15:dlblFieldTableCache>
                        <c:ptCount val="1"/>
                        <c:pt idx="0">
                          <c:v>United Arab Emirates</c:v>
                        </c:pt>
                      </c15:dlblFieldTableCache>
                    </c15:dlblFTEntry>
                  </c15:dlblFieldTable>
                  <c15:showDataLabelsRange val="0"/>
                </c:ext>
              </c:extLst>
            </c:dLbl>
            <c:dLbl>
              <c:idx val="53"/>
              <c:layout>
                <c:manualLayout>
                  <c:x val="0"/>
                  <c:y val="0"/>
                </c:manualLayout>
              </c:layout>
              <c:tx>
                <c:strRef>
                  <c:f>iScatter!#REF!</c:f>
                  <c:strCache>
                    <c:ptCount val="1"/>
                    <c:pt idx="0">
                      <c:v>#REF!</c:v>
                    </c:pt>
                  </c:strCache>
                </c:strRef>
              </c:tx>
              <c:showSerName val="1"/>
              <c:extLst>
                <c:ext xmlns:c15="http://schemas.microsoft.com/office/drawing/2012/chart" uri="{CE6537A1-D6FC-4f65-9D91-7224C49458BB}">
                  <c15:dlblFieldTable>
                    <c15:dlblFTEntry>
                      <c15:txfldGUID>{282A4B4B-A5DD-4D96-9804-52496B6DCF9E}</c15:txfldGUID>
                      <c15:f>iScatter!$B$72</c15:f>
                      <c15:dlblFieldTableCache>
                        <c:ptCount val="1"/>
                        <c:pt idx="0">
                          <c:v>United Kingdom</c:v>
                        </c:pt>
                      </c15:dlblFieldTableCache>
                    </c15:dlblFTEntry>
                  </c15:dlblFieldTable>
                  <c15:showDataLabelsRange val="0"/>
                </c:ext>
              </c:extLst>
            </c:dLbl>
            <c:dLbl>
              <c:idx val="54"/>
              <c:tx>
                <c:strRef>
                  <c:f>iScatter!#REF!</c:f>
                  <c:strCache>
                    <c:ptCount val="1"/>
                    <c:pt idx="0">
                      <c:v>#REF!</c:v>
                    </c:pt>
                  </c:strCache>
                </c:strRef>
              </c:tx>
              <c:showSerName val="1"/>
              <c:extLst>
                <c:ext xmlns:c15="http://schemas.microsoft.com/office/drawing/2012/chart" uri="{CE6537A1-D6FC-4f65-9D91-7224C49458BB}">
                  <c15:dlblFieldTable>
                    <c15:dlblFTEntry>
                      <c15:txfldGUID>{DDD36ACF-D0CC-43D6-9C50-0F1D960AFE4E}</c15:txfldGUID>
                      <c15:f>iScatter!$B$73</c15:f>
                      <c15:dlblFieldTableCache>
                        <c:ptCount val="1"/>
                        <c:pt idx="0">
                          <c:v>United States</c:v>
                        </c:pt>
                      </c15:dlblFieldTableCache>
                    </c15:dlblFTEntry>
                  </c15:dlblFieldTable>
                  <c15:showDataLabelsRange val="0"/>
                </c:ext>
              </c:extLst>
            </c:dLbl>
            <c:dLbl>
              <c:idx val="55"/>
              <c:tx>
                <c:strRef>
                  <c:f>iScatter!#REF!</c:f>
                  <c:strCache>
                    <c:ptCount val="1"/>
                    <c:pt idx="0">
                      <c:v>#REF!</c:v>
                    </c:pt>
                  </c:strCache>
                </c:strRef>
              </c:tx>
              <c:showSerName val="1"/>
              <c:extLst>
                <c:ext xmlns:c15="http://schemas.microsoft.com/office/drawing/2012/chart" uri="{CE6537A1-D6FC-4f65-9D91-7224C49458BB}">
                  <c15:dlblFieldTable>
                    <c15:dlblFTEntry>
                      <c15:txfldGUID>{948A94EF-90FE-4E2D-AA5F-A47316A902B6}</c15:txfldGUID>
                      <c15:f>iScatter!$B$74</c15:f>
                      <c15:dlblFieldTableCache>
                        <c:ptCount val="1"/>
                        <c:pt idx="0">
                          <c:v>Vietnam</c:v>
                        </c:pt>
                      </c15:dlblFieldTableCache>
                    </c15:dlblFTEntry>
                  </c15:dlblFieldTable>
                  <c15:showDataLabelsRange val="0"/>
                </c:ext>
              </c:extLst>
            </c:dLbl>
            <c:spPr>
              <a:noFill/>
              <a:ln>
                <a:noFill/>
              </a:ln>
              <a:effectLst/>
            </c:spPr>
            <c:txPr>
              <a:bodyPr/>
              <a:lstStyle/>
              <a:p>
                <a:pPr>
                  <a:defRPr sz="900"/>
                </a:pPr>
                <a:endParaRPr lang="en-US"/>
              </a:p>
            </c:txPr>
            <c:showSerName val="1"/>
            <c:extLst>
              <c:ext xmlns:c15="http://schemas.microsoft.com/office/drawing/2012/chart" uri="{CE6537A1-D6FC-4f65-9D91-7224C49458BB}">
                <c15:showLeaderLines val="0"/>
              </c:ext>
            </c:extLst>
          </c:dLbls>
          <c:xVal>
            <c:numRef>
              <c:f>iScatter!$T$19:$T$30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iScatter!$U$19:$U$30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ser>
        <c:ser>
          <c:idx val="4"/>
          <c:order val="3"/>
          <c:tx>
            <c:strRef>
              <c:f>iScatter!$O$23</c:f>
              <c:strCache>
                <c:ptCount val="1"/>
                <c:pt idx="0">
                  <c:v>#N/A</c:v>
                </c:pt>
              </c:strCache>
            </c:strRef>
          </c:tx>
          <c:spPr>
            <a:ln w="28575">
              <a:noFill/>
            </a:ln>
          </c:spPr>
          <c:marker>
            <c:symbol val="circle"/>
            <c:size val="7"/>
            <c:spPr>
              <a:solidFill>
                <a:srgbClr val="31659C"/>
              </a:solidFill>
              <a:ln w="9525">
                <a:noFill/>
              </a:ln>
            </c:spPr>
          </c:marker>
          <c:dLbls>
            <c:dLbl>
              <c:idx val="0"/>
              <c:spPr>
                <a:noFill/>
                <a:ln w="25400">
                  <a:noFill/>
                </a:ln>
              </c:spPr>
              <c:txPr>
                <a:bodyPr/>
                <a:lstStyle/>
                <a:p>
                  <a:pPr>
                    <a:defRPr sz="900" b="0" i="0" u="none" strike="noStrike" baseline="0">
                      <a:solidFill>
                        <a:srgbClr val="31659C"/>
                      </a:solidFill>
                      <a:latin typeface="Calibri"/>
                      <a:ea typeface="Calibri"/>
                      <a:cs typeface="Calibri"/>
                    </a:defRPr>
                  </a:pPr>
                  <a:endParaRPr lang="en-US"/>
                </a:p>
              </c:txPr>
              <c:dLblPos val="r"/>
              <c:showSerName val="1"/>
              <c:extLst>
                <c:ext xmlns:c15="http://schemas.microsoft.com/office/drawing/2012/chart" uri="{CE6537A1-D6FC-4f65-9D91-7224C49458BB}"/>
              </c:extLst>
            </c:dLbl>
            <c:spPr>
              <a:noFill/>
              <a:ln w="25400">
                <a:noFill/>
              </a:ln>
            </c:spPr>
            <c:txPr>
              <a:bodyPr wrap="square" lIns="38100" tIns="19050" rIns="38100" bIns="19050" anchor="ctr">
                <a:spAutoFit/>
              </a:bodyPr>
              <a:lstStyle/>
              <a:p>
                <a:pPr>
                  <a:defRPr sz="900" b="0" i="0" u="none" strike="noStrike" baseline="0">
                    <a:solidFill>
                      <a:srgbClr val="31659C"/>
                    </a:solidFill>
                    <a:latin typeface="Calibri"/>
                    <a:ea typeface="Calibri"/>
                    <a:cs typeface="Calibri"/>
                  </a:defRPr>
                </a:pPr>
                <a:endParaRPr lang="en-US"/>
              </a:p>
            </c:txPr>
            <c:dLblPos val="r"/>
            <c:showVal val="1"/>
            <c:extLst>
              <c:ext xmlns:c15="http://schemas.microsoft.com/office/drawing/2012/chart" uri="{CE6537A1-D6FC-4f65-9D91-7224C49458BB}">
                <c15:showLeaderLines val="0"/>
              </c:ext>
            </c:extLst>
          </c:dLbls>
          <c:xVal>
            <c:numRef>
              <c:f>iScatter!$P$23</c:f>
              <c:numCache>
                <c:formatCode>General</c:formatCode>
                <c:ptCount val="1"/>
                <c:pt idx="0">
                  <c:v>#N/A</c:v>
                </c:pt>
              </c:numCache>
            </c:numRef>
          </c:xVal>
          <c:yVal>
            <c:numRef>
              <c:f>iScatter!$Q$23</c:f>
              <c:numCache>
                <c:formatCode>General</c:formatCode>
                <c:ptCount val="1"/>
                <c:pt idx="0">
                  <c:v>#N/A</c:v>
                </c:pt>
              </c:numCache>
            </c:numRef>
          </c:yVal>
        </c:ser>
        <c:ser>
          <c:idx val="5"/>
          <c:order val="4"/>
          <c:tx>
            <c:strRef>
              <c:f>iScatter!$O$27</c:f>
              <c:strCache>
                <c:ptCount val="1"/>
                <c:pt idx="0">
                  <c:v>#N/A</c:v>
                </c:pt>
              </c:strCache>
            </c:strRef>
          </c:tx>
          <c:spPr>
            <a:ln w="28575">
              <a:noFill/>
            </a:ln>
          </c:spPr>
          <c:marker>
            <c:symbol val="circle"/>
            <c:size val="7"/>
            <c:spPr>
              <a:solidFill>
                <a:srgbClr val="31659C"/>
              </a:solidFill>
              <a:ln w="9525">
                <a:noFill/>
              </a:ln>
            </c:spPr>
          </c:marker>
          <c:dLbls>
            <c:spPr>
              <a:noFill/>
              <a:ln w="25400">
                <a:noFill/>
              </a:ln>
            </c:spPr>
            <c:txPr>
              <a:bodyPr wrap="square" lIns="38100" tIns="19050" rIns="38100" bIns="19050" anchor="ctr">
                <a:spAutoFit/>
              </a:bodyPr>
              <a:lstStyle/>
              <a:p>
                <a:pPr>
                  <a:defRPr sz="900" b="0" i="0" u="none" strike="noStrike" baseline="0">
                    <a:solidFill>
                      <a:srgbClr val="31659C"/>
                    </a:solidFill>
                    <a:latin typeface="Calibri"/>
                    <a:ea typeface="Calibri"/>
                    <a:cs typeface="Calibri"/>
                  </a:defRPr>
                </a:pPr>
                <a:endParaRPr lang="en-US"/>
              </a:p>
            </c:txPr>
            <c:dLblPos val="r"/>
            <c:showSerName val="1"/>
            <c:extLst>
              <c:ext xmlns:c15="http://schemas.microsoft.com/office/drawing/2012/chart" uri="{CE6537A1-D6FC-4f65-9D91-7224C49458BB}">
                <c15:showLeaderLines val="0"/>
              </c:ext>
            </c:extLst>
          </c:dLbls>
          <c:xVal>
            <c:numRef>
              <c:f>iScatter!$P$27</c:f>
              <c:numCache>
                <c:formatCode>General</c:formatCode>
                <c:ptCount val="1"/>
                <c:pt idx="0">
                  <c:v>#N/A</c:v>
                </c:pt>
              </c:numCache>
            </c:numRef>
          </c:xVal>
          <c:yVal>
            <c:numRef>
              <c:f>iScatter!$Q$27</c:f>
              <c:numCache>
                <c:formatCode>General</c:formatCode>
                <c:ptCount val="1"/>
                <c:pt idx="0">
                  <c:v>#N/A</c:v>
                </c:pt>
              </c:numCache>
            </c:numRef>
          </c:yVal>
        </c:ser>
        <c:ser>
          <c:idx val="3"/>
          <c:order val="5"/>
          <c:tx>
            <c:strRef>
              <c:f>iScatter!$O$19</c:f>
              <c:strCache>
                <c:ptCount val="1"/>
                <c:pt idx="0">
                  <c:v>&lt;none&gt;</c:v>
                </c:pt>
              </c:strCache>
            </c:strRef>
          </c:tx>
          <c:spPr>
            <a:ln w="28575">
              <a:noFill/>
            </a:ln>
          </c:spPr>
          <c:marker>
            <c:symbol val="circle"/>
            <c:size val="6"/>
            <c:spPr>
              <a:solidFill>
                <a:srgbClr val="FF0000"/>
              </a:solidFill>
              <a:ln>
                <a:noFill/>
              </a:ln>
            </c:spPr>
          </c:marker>
          <c:dLbls>
            <c:spPr>
              <a:noFill/>
              <a:ln w="25400">
                <a:noFill/>
              </a:ln>
            </c:spPr>
            <c:txPr>
              <a:bodyPr wrap="square" lIns="38100" tIns="19050" rIns="38100" bIns="19050" anchor="ctr">
                <a:spAutoFit/>
              </a:bodyPr>
              <a:lstStyle/>
              <a:p>
                <a:pPr>
                  <a:defRPr sz="1000" b="0" i="0" u="none" strike="noStrike" baseline="0">
                    <a:solidFill>
                      <a:srgbClr val="FF0000"/>
                    </a:solidFill>
                    <a:latin typeface="Calibri"/>
                    <a:ea typeface="Calibri"/>
                    <a:cs typeface="Calibri"/>
                  </a:defRPr>
                </a:pPr>
                <a:endParaRPr lang="en-US"/>
              </a:p>
            </c:txPr>
            <c:showSerName val="1"/>
            <c:extLst>
              <c:ext xmlns:c15="http://schemas.microsoft.com/office/drawing/2012/chart" uri="{CE6537A1-D6FC-4f65-9D91-7224C49458BB}">
                <c15:showLeaderLines val="0"/>
              </c:ext>
            </c:extLst>
          </c:dLbls>
          <c:xVal>
            <c:numRef>
              <c:f>iScatter!$P$19</c:f>
              <c:numCache>
                <c:formatCode>General</c:formatCode>
                <c:ptCount val="1"/>
                <c:pt idx="0">
                  <c:v>#N/A</c:v>
                </c:pt>
              </c:numCache>
            </c:numRef>
          </c:xVal>
          <c:yVal>
            <c:numRef>
              <c:f>iScatter!$Q$19</c:f>
              <c:numCache>
                <c:formatCode>General</c:formatCode>
                <c:ptCount val="1"/>
                <c:pt idx="0">
                  <c:v>#N/A</c:v>
                </c:pt>
              </c:numCache>
            </c:numRef>
          </c:yVal>
        </c:ser>
        <c:axId val="154827776"/>
        <c:axId val="154936448"/>
      </c:scatterChart>
      <c:valAx>
        <c:axId val="154827776"/>
        <c:scaling>
          <c:orientation val="minMax"/>
        </c:scaling>
        <c:axPos val="b"/>
        <c:majorGridlines>
          <c:spPr>
            <a:ln>
              <a:solidFill>
                <a:schemeClr val="bg1">
                  <a:lumMod val="85000"/>
                </a:schemeClr>
              </a:solidFill>
            </a:ln>
          </c:spPr>
        </c:majorGridlines>
        <c:title>
          <c:tx>
            <c:strRef>
              <c:f>iScatter!$B$9</c:f>
              <c:strCache>
                <c:ptCount val="1"/>
                <c:pt idx="0">
                  <c:v>CATEGORÍA</c:v>
                </c:pt>
              </c:strCache>
            </c:strRef>
          </c:tx>
          <c:spPr>
            <a:noFill/>
            <a:ln w="25400">
              <a:noFill/>
            </a:ln>
          </c:spPr>
          <c:txPr>
            <a:bodyPr/>
            <a:lstStyle/>
            <a:p>
              <a:pPr>
                <a:defRPr sz="1000" b="1" i="0" u="none" strike="noStrike" baseline="0">
                  <a:solidFill>
                    <a:srgbClr val="000000"/>
                  </a:solidFill>
                  <a:latin typeface="Calibri"/>
                  <a:ea typeface="Calibri"/>
                  <a:cs typeface="Calibri"/>
                </a:defRPr>
              </a:pPr>
              <a:endParaRPr lang="en-US"/>
            </a:p>
          </c:txPr>
        </c:title>
        <c:numFmt formatCode="General" sourceLinked="1"/>
        <c:majorTickMark val="none"/>
        <c:tickLblPos val="nextTo"/>
        <c:spPr>
          <a:ln>
            <a:noFill/>
          </a:ln>
        </c:spPr>
        <c:txPr>
          <a:bodyPr rot="0" vert="horz"/>
          <a:lstStyle/>
          <a:p>
            <a:pPr>
              <a:defRPr sz="1000" b="0" i="0" u="none" strike="noStrike" baseline="0">
                <a:solidFill>
                  <a:srgbClr val="969696"/>
                </a:solidFill>
                <a:latin typeface="Calibri"/>
                <a:ea typeface="Calibri"/>
                <a:cs typeface="Calibri"/>
              </a:defRPr>
            </a:pPr>
            <a:endParaRPr lang="en-US"/>
          </a:p>
        </c:txPr>
        <c:crossAx val="154936448"/>
        <c:crosses val="autoZero"/>
        <c:crossBetween val="midCat"/>
      </c:valAx>
      <c:valAx>
        <c:axId val="154936448"/>
        <c:scaling>
          <c:orientation val="minMax"/>
        </c:scaling>
        <c:axPos val="l"/>
        <c:majorGridlines>
          <c:spPr>
            <a:ln>
              <a:solidFill>
                <a:schemeClr val="bg1">
                  <a:lumMod val="85000"/>
                </a:schemeClr>
              </a:solidFill>
            </a:ln>
          </c:spPr>
        </c:majorGridlines>
        <c:title>
          <c:tx>
            <c:strRef>
              <c:f>iScatter!$B$10</c:f>
              <c:strCache>
                <c:ptCount val="1"/>
                <c:pt idx="0">
                  <c:v>CATEGORÍA</c:v>
                </c:pt>
              </c:strCache>
            </c:strRef>
          </c:tx>
          <c:layout>
            <c:manualLayout>
              <c:xMode val="edge"/>
              <c:yMode val="edge"/>
              <c:x val="5.7847009031332032E-2"/>
              <c:y val="0.2032606951106409"/>
            </c:manualLayout>
          </c:layout>
          <c:spPr>
            <a:noFill/>
            <a:ln w="25400">
              <a:noFill/>
            </a:ln>
          </c:spPr>
          <c:txPr>
            <a:bodyPr/>
            <a:lstStyle/>
            <a:p>
              <a:pPr>
                <a:defRPr sz="1000" b="1" i="0" u="none" strike="noStrike" baseline="0">
                  <a:solidFill>
                    <a:srgbClr val="000000"/>
                  </a:solidFill>
                  <a:latin typeface="Calibri"/>
                  <a:ea typeface="Calibri"/>
                  <a:cs typeface="Calibri"/>
                </a:defRPr>
              </a:pPr>
              <a:endParaRPr lang="en-US"/>
            </a:p>
          </c:txPr>
        </c:title>
        <c:numFmt formatCode="#,##0" sourceLinked="0"/>
        <c:majorTickMark val="none"/>
        <c:tickLblPos val="nextTo"/>
        <c:spPr>
          <a:ln>
            <a:noFill/>
          </a:ln>
        </c:spPr>
        <c:txPr>
          <a:bodyPr rot="0" vert="horz"/>
          <a:lstStyle/>
          <a:p>
            <a:pPr>
              <a:defRPr sz="1000" b="0" i="0" u="none" strike="noStrike" baseline="0">
                <a:solidFill>
                  <a:srgbClr val="969696"/>
                </a:solidFill>
                <a:latin typeface="Calibri"/>
                <a:ea typeface="Calibri"/>
                <a:cs typeface="Calibri"/>
              </a:defRPr>
            </a:pPr>
            <a:endParaRPr lang="en-US"/>
          </a:p>
        </c:txPr>
        <c:crossAx val="154827776"/>
        <c:crosses val="autoZero"/>
        <c:crossBetween val="midCat"/>
      </c:valAx>
      <c:spPr>
        <a:solidFill>
          <a:srgbClr val="EFEFD6"/>
        </a:solidFill>
        <a:ln w="25400">
          <a:noFill/>
        </a:ln>
      </c:spPr>
    </c:plotArea>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31703786244495474"/>
          <c:y val="0.17837199563537703"/>
          <c:w val="0.39736559584027842"/>
          <c:h val="0.73743453259235769"/>
        </c:manualLayout>
      </c:layout>
      <c:radarChart>
        <c:radarStyle val="marker"/>
        <c:ser>
          <c:idx val="0"/>
          <c:order val="0"/>
          <c:tx>
            <c:strRef>
              <c:f>iCountryP!$AC$6</c:f>
              <c:strCache>
                <c:ptCount val="1"/>
                <c:pt idx="0">
                  <c:v>Asunción</c:v>
                </c:pt>
              </c:strCache>
            </c:strRef>
          </c:tx>
          <c:marker>
            <c:symbol val="none"/>
          </c:marker>
          <c:cat>
            <c:strRef>
              <c:f>iCountryP!$E$8:$E$11</c:f>
              <c:strCache>
                <c:ptCount val="4"/>
                <c:pt idx="0">
                  <c:v>CATEGORÍA</c:v>
                </c:pt>
                <c:pt idx="1">
                  <c:v>1) NORMATIVA</c:v>
                </c:pt>
                <c:pt idx="2">
                  <c:v>2) ORGANIZATIVA</c:v>
                </c:pt>
                <c:pt idx="3">
                  <c:v>3) MERCADO</c:v>
                </c:pt>
              </c:strCache>
            </c:strRef>
          </c:cat>
          <c:val>
            <c:numRef>
              <c:f>iCountryP!$AC$8:$AC$11</c:f>
              <c:numCache>
                <c:formatCode>General</c:formatCode>
                <c:ptCount val="4"/>
                <c:pt idx="0">
                  <c:v>29.531599128521769</c:v>
                </c:pt>
                <c:pt idx="1">
                  <c:v>32.8125</c:v>
                </c:pt>
                <c:pt idx="2">
                  <c:v>28.333333333333332</c:v>
                </c:pt>
                <c:pt idx="3">
                  <c:v>27.448964052231986</c:v>
                </c:pt>
              </c:numCache>
            </c:numRef>
          </c:val>
        </c:ser>
        <c:ser>
          <c:idx val="1"/>
          <c:order val="1"/>
          <c:tx>
            <c:strRef>
              <c:f>iCountryP!$AD$6</c:f>
              <c:strCache>
                <c:ptCount val="1"/>
                <c:pt idx="0">
                  <c:v>Average</c:v>
                </c:pt>
              </c:strCache>
            </c:strRef>
          </c:tx>
          <c:spPr>
            <a:ln w="22225">
              <a:prstDash val="solid"/>
            </a:ln>
          </c:spPr>
          <c:marker>
            <c:symbol val="none"/>
          </c:marker>
          <c:cat>
            <c:strRef>
              <c:f>iCountryP!$E$8:$E$11</c:f>
              <c:strCache>
                <c:ptCount val="4"/>
                <c:pt idx="0">
                  <c:v>CATEGORÍA</c:v>
                </c:pt>
                <c:pt idx="1">
                  <c:v>1) NORMATIVA</c:v>
                </c:pt>
                <c:pt idx="2">
                  <c:v>2) ORGANIZATIVA</c:v>
                </c:pt>
                <c:pt idx="3">
                  <c:v>3) MERCADO</c:v>
                </c:pt>
              </c:strCache>
            </c:strRef>
          </c:cat>
          <c:val>
            <c:numRef>
              <c:f>iCountryP!$AD$8:$AD$11</c:f>
              <c:numCache>
                <c:formatCode>General</c:formatCode>
                <c:ptCount val="4"/>
                <c:pt idx="0">
                  <c:v>45.846722058648851</c:v>
                </c:pt>
                <c:pt idx="1">
                  <c:v>45.442708333333336</c:v>
                </c:pt>
                <c:pt idx="2">
                  <c:v>42.175925925925931</c:v>
                </c:pt>
                <c:pt idx="3">
                  <c:v>49.921531916687307</c:v>
                </c:pt>
              </c:numCache>
            </c:numRef>
          </c:val>
        </c:ser>
        <c:ser>
          <c:idx val="2"/>
          <c:order val="2"/>
          <c:tx>
            <c:strRef>
              <c:f>iCountryP!$AE$6</c:f>
              <c:strCache>
                <c:ptCount val="1"/>
                <c:pt idx="0">
                  <c:v>Highest</c:v>
                </c:pt>
              </c:strCache>
            </c:strRef>
          </c:tx>
          <c:spPr>
            <a:ln w="25400">
              <a:prstDash val="sysDash"/>
            </a:ln>
          </c:spPr>
          <c:marker>
            <c:symbol val="none"/>
          </c:marker>
          <c:cat>
            <c:strRef>
              <c:f>iCountryP!$E$8:$E$11</c:f>
              <c:strCache>
                <c:ptCount val="4"/>
                <c:pt idx="0">
                  <c:v>CATEGORÍA</c:v>
                </c:pt>
                <c:pt idx="1">
                  <c:v>1) NORMATIVA</c:v>
                </c:pt>
                <c:pt idx="2">
                  <c:v>2) ORGANIZATIVA</c:v>
                </c:pt>
                <c:pt idx="3">
                  <c:v>3) MERCADO</c:v>
                </c:pt>
              </c:strCache>
            </c:strRef>
          </c:cat>
          <c:val>
            <c:numRef>
              <c:f>iCountryP!$AE$8:$AE$11</c:f>
              <c:numCache>
                <c:formatCode>General</c:formatCode>
                <c:ptCount val="4"/>
                <c:pt idx="0">
                  <c:v>78.843427630084065</c:v>
                </c:pt>
                <c:pt idx="1">
                  <c:v>70.3125</c:v>
                </c:pt>
                <c:pt idx="2">
                  <c:v>79.444444444444429</c:v>
                </c:pt>
                <c:pt idx="3">
                  <c:v>91.981671779141109</c:v>
                </c:pt>
              </c:numCache>
            </c:numRef>
          </c:val>
        </c:ser>
        <c:ser>
          <c:idx val="3"/>
          <c:order val="3"/>
          <c:tx>
            <c:strRef>
              <c:f>iCountryP!$AF$6</c:f>
              <c:strCache>
                <c:ptCount val="1"/>
                <c:pt idx="0">
                  <c:v>Lowest</c:v>
                </c:pt>
              </c:strCache>
            </c:strRef>
          </c:tx>
          <c:spPr>
            <a:ln w="25400">
              <a:prstDash val="sysDash"/>
            </a:ln>
          </c:spPr>
          <c:marker>
            <c:symbol val="none"/>
          </c:marker>
          <c:cat>
            <c:strRef>
              <c:f>iCountryP!$E$8:$E$11</c:f>
              <c:strCache>
                <c:ptCount val="4"/>
                <c:pt idx="0">
                  <c:v>CATEGORÍA</c:v>
                </c:pt>
                <c:pt idx="1">
                  <c:v>1) NORMATIVA</c:v>
                </c:pt>
                <c:pt idx="2">
                  <c:v>2) ORGANIZATIVA</c:v>
                </c:pt>
                <c:pt idx="3">
                  <c:v>3) MERCADO</c:v>
                </c:pt>
              </c:strCache>
            </c:strRef>
          </c:cat>
          <c:val>
            <c:numRef>
              <c:f>iCountryP!$AF$8:$AF$11</c:f>
              <c:numCache>
                <c:formatCode>General</c:formatCode>
                <c:ptCount val="4"/>
                <c:pt idx="0">
                  <c:v>17.361111111111107</c:v>
                </c:pt>
                <c:pt idx="1">
                  <c:v>15.625</c:v>
                </c:pt>
                <c:pt idx="2">
                  <c:v>0</c:v>
                </c:pt>
                <c:pt idx="3">
                  <c:v>26.041666666666664</c:v>
                </c:pt>
              </c:numCache>
            </c:numRef>
          </c:val>
        </c:ser>
        <c:axId val="155077248"/>
        <c:axId val="155091328"/>
      </c:radarChart>
      <c:catAx>
        <c:axId val="155077248"/>
        <c:scaling>
          <c:orientation val="minMax"/>
        </c:scaling>
        <c:axPos val="b"/>
        <c:majorGridlines>
          <c:spPr>
            <a:ln>
              <a:solidFill>
                <a:schemeClr val="bg1">
                  <a:lumMod val="65000"/>
                </a:schemeClr>
              </a:solidFill>
            </a:ln>
          </c:spPr>
        </c:majorGridlines>
        <c:numFmt formatCode="General" sourceLinked="1"/>
        <c:tickLblPos val="nextTo"/>
        <c:txPr>
          <a:bodyPr rot="0" vert="horz"/>
          <a:lstStyle/>
          <a:p>
            <a:pPr>
              <a:defRPr/>
            </a:pPr>
            <a:endParaRPr lang="en-US"/>
          </a:p>
        </c:txPr>
        <c:crossAx val="155091328"/>
        <c:crosses val="autoZero"/>
        <c:lblAlgn val="ctr"/>
        <c:lblOffset val="100"/>
      </c:catAx>
      <c:valAx>
        <c:axId val="155091328"/>
        <c:scaling>
          <c:orientation val="minMax"/>
          <c:max val="100"/>
          <c:min val="0"/>
        </c:scaling>
        <c:axPos val="l"/>
        <c:majorGridlines>
          <c:spPr>
            <a:ln>
              <a:solidFill>
                <a:sysClr val="window" lastClr="FFFFFF">
                  <a:lumMod val="65000"/>
                  <a:alpha val="50000"/>
                </a:sysClr>
              </a:solidFill>
            </a:ln>
          </c:spPr>
        </c:majorGridlines>
        <c:numFmt formatCode="0" sourceLinked="0"/>
        <c:majorTickMark val="cross"/>
        <c:tickLblPos val="nextTo"/>
        <c:spPr>
          <a:ln w="3175">
            <a:solidFill>
              <a:sysClr val="window" lastClr="FFFFFF">
                <a:lumMod val="65000"/>
                <a:alpha val="50000"/>
              </a:sysClr>
            </a:solidFill>
          </a:ln>
        </c:spPr>
        <c:txPr>
          <a:bodyPr rot="0" vert="horz"/>
          <a:lstStyle/>
          <a:p>
            <a:pPr>
              <a:defRPr/>
            </a:pPr>
            <a:endParaRPr lang="en-US"/>
          </a:p>
        </c:txPr>
        <c:crossAx val="155077248"/>
        <c:crosses val="autoZero"/>
        <c:crossBetween val="between"/>
        <c:majorUnit val="50"/>
      </c:valAx>
    </c:plotArea>
    <c:legend>
      <c:legendPos val="r"/>
      <c:layout>
        <c:manualLayout>
          <c:xMode val="edge"/>
          <c:yMode val="edge"/>
          <c:x val="0.78338301501373508"/>
          <c:y val="4.9212109384023102E-2"/>
          <c:w val="0.15339422292877619"/>
          <c:h val="0.28349927333464797"/>
        </c:manualLayout>
      </c:layout>
    </c:legend>
    <c:plotVisOnly val="1"/>
    <c:dispBlanksAs val="gap"/>
  </c:chart>
  <c:spPr>
    <a:ln>
      <a:solidFill>
        <a:schemeClr val="bg1">
          <a:lumMod val="75000"/>
        </a:schemeClr>
      </a:solidFill>
    </a:ln>
  </c:spPr>
  <c:txPr>
    <a:bodyPr/>
    <a:lstStyle/>
    <a:p>
      <a:pPr>
        <a:defRPr sz="11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Drop" dropLines="27" dropStyle="combo" dx="16" fmlaLink="uxb_works!$B$57" fmlaRange="uxb_works!$B$51:$B$55" noThreeD="1" sel="3" val="0"/>
</file>

<file path=xl/ctrlProps/ctrlProp2.xml><?xml version="1.0" encoding="utf-8"?>
<formControlPr xmlns="http://schemas.microsoft.com/office/spreadsheetml/2009/9/main" objectType="Scroll" dx="16" fmlaLink="$C$13" horiz="1" max="360" page="10" val="120"/>
</file>

<file path=xl/ctrlProps/ctrlProp3.xml><?xml version="1.0" encoding="utf-8"?>
<formControlPr xmlns="http://schemas.microsoft.com/office/spreadsheetml/2009/9/main" objectType="Scroll" dx="16" fmlaLink="$D$13" horiz="1" max="360" page="10" val="180"/>
</file>

<file path=xl/ctrlProps/ctrlProp4.xml><?xml version="1.0" encoding="utf-8"?>
<formControlPr xmlns="http://schemas.microsoft.com/office/spreadsheetml/2009/9/main" objectType="Scroll" dx="16" fmlaLink="$E$13" horiz="1" max="360" page="10" val="70"/>
</file>

<file path=xl/ctrlProps/ctrlProp5.xml><?xml version="1.0" encoding="utf-8"?>
<formControlPr xmlns="http://schemas.microsoft.com/office/spreadsheetml/2009/9/main" objectType="Scroll" dx="16" fmlaLink="$C$14" horiz="1" max="100" page="10" val="0"/>
</file>

<file path=xl/ctrlProps/ctrlProp6.xml><?xml version="1.0" encoding="utf-8"?>
<formControlPr xmlns="http://schemas.microsoft.com/office/spreadsheetml/2009/9/main" objectType="Scroll" dx="16" fmlaLink="$D$14" horiz="1" max="100" page="10" val="0"/>
</file>

<file path=xl/ctrlProps/ctrlProp7.xml><?xml version="1.0" encoding="utf-8"?>
<formControlPr xmlns="http://schemas.microsoft.com/office/spreadsheetml/2009/9/main" objectType="Scroll" dx="16" fmlaLink="$E$14" horiz="1" max="100" page="10" val="0"/>
</file>

<file path=xl/ctrlProps/ctrlProp8.xml><?xml version="1.0" encoding="utf-8"?>
<formControlPr xmlns="http://schemas.microsoft.com/office/spreadsheetml/2009/9/main" objectType="Scroll" dx="16" fmlaLink="$C$26" horiz="1" max="100" page="10" val="0"/>
</file>

<file path=xl/ctrlProps/ctrlProp9.xml><?xml version="1.0" encoding="utf-8"?>
<formControlPr xmlns="http://schemas.microsoft.com/office/spreadsheetml/2009/9/main" objectType="Scroll" dx="16" fmlaLink="$D$26" horiz="1" max="100" page="10" val="50"/>
</file>

<file path=xl/ctrlProps/ctrlProp10.xml><?xml version="1.0" encoding="utf-8"?>
<formControlPr xmlns="http://schemas.microsoft.com/office/spreadsheetml/2009/9/main" objectType="Scroll" dx="16" fmlaLink="$E$26" horiz="1" max="100" page="10" val="50"/>
</file>

<file path=xl/ctrlProps/ctrlProp11.xml><?xml version="1.0" encoding="utf-8"?>
<formControlPr xmlns="http://schemas.microsoft.com/office/spreadsheetml/2009/9/main" objectType="CheckBox" fmlaLink="$D$23" lockText="1" noThreeD="1"/>
</file>

<file path=xl/ctrlProps/ctrlProp12.xml><?xml version="1.0" encoding="utf-8"?>
<formControlPr xmlns="http://schemas.microsoft.com/office/spreadsheetml/2009/9/main" objectType="CheckBox" checked="Checked" fmlaLink="$D$19"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27" dropStyle="combo" dx="16" fmlaLink="uxb_works!$B$92" fmlaRange="luIndicators" noThreeD="1" sel="3" val="0"/>
</file>

<file path=xl/ctrlProps/ctrlProp15.xml><?xml version="1.0" encoding="utf-8"?>
<formControlPr xmlns="http://schemas.microsoft.com/office/spreadsheetml/2009/9/main" objectType="Drop" dropLines="27" dropStyle="combo" dx="16" fmlaLink="uxb_works!$B$6" fmlaRange="tblTerritories!$C$2:$C$14" noThreeD="1" val="0"/>
</file>

<file path=xl/ctrlProps/ctrlProp16.xml><?xml version="1.0" encoding="utf-8"?>
<formControlPr xmlns="http://schemas.microsoft.com/office/spreadsheetml/2009/9/main" objectType="Drop" dropLines="14" dropStyle="combo" dx="16" fmlaLink="uxb_works!$B$4" fmlaRange="iWeights!$A$3:$A$11" noThreeD="1" val="0"/>
</file>

<file path=xl/ctrlProps/ctrlProp17.xml><?xml version="1.0" encoding="utf-8"?>
<formControlPr xmlns="http://schemas.microsoft.com/office/spreadsheetml/2009/9/main" objectType="Drop" dropLines="25" dropStyle="combo" dx="16" fmlaLink="uxb_works!$B$8" fmlaRange="tblTerritories!$AL$3:$AL$7" noThreeD="1" val="0"/>
</file>

<file path=xl/ctrlProps/ctrlProp18.xml><?xml version="1.0" encoding="utf-8"?>
<formControlPr xmlns="http://schemas.microsoft.com/office/spreadsheetml/2009/9/main" objectType="Drop" dropLines="25" dropStyle="combo" dx="16" fmlaLink="uxb_works!$B$12" fmlaRange="tblTerritories!$AK$3:$AK$7" noThreeD="1" val="0"/>
</file>

<file path=xl/ctrlProps/ctrlProp19.xml><?xml version="1.0" encoding="utf-8"?>
<formControlPr xmlns="http://schemas.microsoft.com/office/spreadsheetml/2009/9/main" objectType="Drop" dropLines="27" dropStyle="combo" dx="16" fmlaLink="uxb_works!$B$93" fmlaRange="luIndicators" noThreeD="1" val="0"/>
</file>

<file path=xl/ctrlProps/ctrlProp20.xml><?xml version="1.0" encoding="utf-8"?>
<formControlPr xmlns="http://schemas.microsoft.com/office/spreadsheetml/2009/9/main" objectType="Drop" dropLines="27" dropStyle="combo" dx="16" fmlaLink="uxb_works!$B$94" fmlaRange="luIndicators" noThreeD="1" sel="2" val="0"/>
</file>

<file path=xl/ctrlProps/ctrlProp21.xml><?xml version="1.0" encoding="utf-8"?>
<formControlPr xmlns="http://schemas.microsoft.com/office/spreadsheetml/2009/9/main" objectType="CheckBox" checked="Checked" fmlaLink="uxb_works!B96" lockText="1" noThreeD="1"/>
</file>

<file path=xl/ctrlProps/ctrlProp22.xml><?xml version="1.0" encoding="utf-8"?>
<formControlPr xmlns="http://schemas.microsoft.com/office/spreadsheetml/2009/9/main" objectType="Scroll" dx="16" fmlaLink="iplot!$C$13" horiz="1" max="360" page="10" val="120"/>
</file>

<file path=xl/ctrlProps/ctrlProp23.xml><?xml version="1.0" encoding="utf-8"?>
<formControlPr xmlns="http://schemas.microsoft.com/office/spreadsheetml/2009/9/main" objectType="Scroll" dx="16" fmlaLink="iplot!$D$13" horiz="1" max="360" page="10" val="180"/>
</file>

<file path=xl/ctrlProps/ctrlProp24.xml><?xml version="1.0" encoding="utf-8"?>
<formControlPr xmlns="http://schemas.microsoft.com/office/spreadsheetml/2009/9/main" objectType="Scroll" dx="16" fmlaLink="iplot!$E$13" horiz="1" max="360" page="10" val="70"/>
</file>

<file path=xl/ctrlProps/ctrlProp25.xml><?xml version="1.0" encoding="utf-8"?>
<formControlPr xmlns="http://schemas.microsoft.com/office/spreadsheetml/2009/9/main" objectType="Scroll" dx="16" fmlaLink="iplot!$C$14" horiz="1" max="100" page="10" val="0"/>
</file>

<file path=xl/ctrlProps/ctrlProp26.xml><?xml version="1.0" encoding="utf-8"?>
<formControlPr xmlns="http://schemas.microsoft.com/office/spreadsheetml/2009/9/main" objectType="Scroll" dx="16" fmlaLink="iplot!$D$14" horiz="1" max="100" page="10" val="0"/>
</file>

<file path=xl/ctrlProps/ctrlProp27.xml><?xml version="1.0" encoding="utf-8"?>
<formControlPr xmlns="http://schemas.microsoft.com/office/spreadsheetml/2009/9/main" objectType="Scroll" dx="16" fmlaLink="iplot!$E$14" horiz="1" max="100" page="10" val="0"/>
</file>

<file path=xl/ctrlProps/ctrlProp28.xml><?xml version="1.0" encoding="utf-8"?>
<formControlPr xmlns="http://schemas.microsoft.com/office/spreadsheetml/2009/9/main" objectType="Scroll" dx="16" fmlaLink="iplot!$C$26" horiz="1" max="100" page="10" val="0"/>
</file>

<file path=xl/ctrlProps/ctrlProp29.xml><?xml version="1.0" encoding="utf-8"?>
<formControlPr xmlns="http://schemas.microsoft.com/office/spreadsheetml/2009/9/main" objectType="Scroll" dx="16" fmlaLink="iplot!$D$26" horiz="1" max="100" page="10" val="50"/>
</file>

<file path=xl/ctrlProps/ctrlProp30.xml><?xml version="1.0" encoding="utf-8"?>
<formControlPr xmlns="http://schemas.microsoft.com/office/spreadsheetml/2009/9/main" objectType="Scroll" dx="16" fmlaLink="iplot!$E$26" horiz="1" max="100" page="10" val="50"/>
</file>

<file path=xl/ctrlProps/ctrlProp31.xml><?xml version="1.0" encoding="utf-8"?>
<formControlPr xmlns="http://schemas.microsoft.com/office/spreadsheetml/2009/9/main" objectType="CheckBox" checked="Checked" fmlaLink="iplot!$D$19"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Drop" dropLines="27" dropStyle="combo" dx="16" fmlaLink="uxb_works!$B$21" fmlaRange="luIndicators" noThreeD="1" sel="32" val="0"/>
</file>

<file path=xl/ctrlProps/ctrlProp34.xml><?xml version="1.0" encoding="utf-8"?>
<formControlPr xmlns="http://schemas.microsoft.com/office/spreadsheetml/2009/9/main" objectType="Drop" dropLines="27" dropStyle="combo" dx="16" fmlaLink="uxb_works!$B$6" fmlaRange="tblTerritories!$C$2:$C$14" noThreeD="1" val="0"/>
</file>

<file path=xl/ctrlProps/ctrlProp35.xml><?xml version="1.0" encoding="utf-8"?>
<formControlPr xmlns="http://schemas.microsoft.com/office/spreadsheetml/2009/9/main" objectType="Drop" dropLines="14" dropStyle="combo" dx="16" fmlaLink="uxb_works!$B$4" fmlaRange="iWeights!$A$3:$A$11" noThreeD="1" val="0"/>
</file>

<file path=xl/ctrlProps/ctrlProp36.xml><?xml version="1.0" encoding="utf-8"?>
<formControlPr xmlns="http://schemas.microsoft.com/office/spreadsheetml/2009/9/main" objectType="Drop" dropLines="25" dropStyle="combo" dx="16" fmlaLink="uxb_works!$B$8" fmlaRange="tblTerritories!$AL$3:$AL$7" noThreeD="1" val="0"/>
</file>

<file path=xl/ctrlProps/ctrlProp37.xml><?xml version="1.0" encoding="utf-8"?>
<formControlPr xmlns="http://schemas.microsoft.com/office/spreadsheetml/2009/9/main" objectType="Drop" dropLines="25" dropStyle="combo" dx="16" fmlaLink="uxb_works!$B$12" fmlaRange="tblTerritories!$AK$3:$AK$7" noThreeD="1" val="0"/>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Lines="25" dropStyle="combo" dx="16" fmlaLink="uxb_works!$B$6" fmlaRange="tblTerritories!$I$2:$I$14" noThreeD="1" val="0"/>
</file>

<file path=xl/ctrlProps/ctrlProp40.xml><?xml version="1.0" encoding="utf-8"?>
<formControlPr xmlns="http://schemas.microsoft.com/office/spreadsheetml/2009/9/main" objectType="Drop" dropLines="25" dropStyle="combo" dx="16" fmlaLink="uxb_works!$B$8" fmlaRange="tblTerritories!$AL$3:$AL$7" noThreeD="1" val="0"/>
</file>

<file path=xl/ctrlProps/ctrlProp41.xml><?xml version="1.0" encoding="utf-8"?>
<formControlPr xmlns="http://schemas.microsoft.com/office/spreadsheetml/2009/9/main" objectType="Drop" dropLines="10" dropStyle="combo" dx="16" fmlaLink="uxb_works!$B$4" fmlaRange="iWeights!$A$3:$A$11" noThreeD="1" val="0"/>
</file>

<file path=xl/ctrlProps/ctrlProp42.xml><?xml version="1.0" encoding="utf-8"?>
<formControlPr xmlns="http://schemas.microsoft.com/office/spreadsheetml/2009/9/main" objectType="Drop" dropLines="25" dropStyle="combo" dx="16" fmlaLink="uxb_works!$B$12" fmlaRange="tblTerritories!$AK$3:$AK$7" noThreeD="1" val="0"/>
</file>

<file path=xl/ctrlProps/ctrlProp51.xml><?xml version="1.0" encoding="utf-8"?>
<formControlPr xmlns="http://schemas.microsoft.com/office/spreadsheetml/2009/9/main" objectType="Drop" dropLines="27" dropStyle="combo" dx="16" fmlaLink="uxb_works!$B$32" fmlaRange="luIndicatorsFull" noThreeD="1" val="0"/>
</file>

<file path=xl/ctrlProps/ctrlProp52.xml><?xml version="1.0" encoding="utf-8"?>
<formControlPr xmlns="http://schemas.microsoft.com/office/spreadsheetml/2009/9/main" objectType="Drop" dropLines="25" dropStyle="combo" dx="16" fmlaLink="uxb_works!$B$6" fmlaRange="tblTerritories!$I$2:$I$14" noThreeD="1" val="0"/>
</file>

<file path=xl/ctrlProps/ctrlProp53.xml><?xml version="1.0" encoding="utf-8"?>
<formControlPr xmlns="http://schemas.microsoft.com/office/spreadsheetml/2009/9/main" objectType="Drop" dropLines="25" dropStyle="combo" dx="16" fmlaLink="uxb_works!$B$8" fmlaRange="tblTerritories!$AL$3:$AL$7" noThreeD="1" val="0"/>
</file>

<file path=xl/ctrlProps/ctrlProp54.xml><?xml version="1.0" encoding="utf-8"?>
<formControlPr xmlns="http://schemas.microsoft.com/office/spreadsheetml/2009/9/main" objectType="Drop" dropLines="25" dropStyle="combo" dx="16" fmlaLink="uxb_works!$B$10" fmlaRange="tblTerritories!$AM$3:$AM$7" noThreeD="1" val="0"/>
</file>

<file path=xl/ctrlProps/ctrlProp55.xml><?xml version="1.0" encoding="utf-8"?>
<formControlPr xmlns="http://schemas.microsoft.com/office/spreadsheetml/2009/9/main" objectType="Drop" dropLines="27" dropStyle="combo" dx="16" fmlaLink="uxb_works!$B$33" fmlaRange="luIndicatorsFull" noThreeD="1" val="0"/>
</file>

<file path=xl/ctrlProps/ctrlProp56.xml><?xml version="1.0" encoding="utf-8"?>
<formControlPr xmlns="http://schemas.microsoft.com/office/spreadsheetml/2009/9/main" objectType="Drop" dropLines="10" dropStyle="combo" dx="16" fmlaLink="uxb_works!$B$4" fmlaRange="iWeights!$A$3:$A$11" noThreeD="1" val="0"/>
</file>

<file path=xl/ctrlProps/ctrlProp57.xml><?xml version="1.0" encoding="utf-8"?>
<formControlPr xmlns="http://schemas.microsoft.com/office/spreadsheetml/2009/9/main" objectType="CheckBox" checked="Checked" fmlaLink="uxb_works!B35" lockText="1" noThreeD="1"/>
</file>

<file path=xl/ctrlProps/ctrlProp58.xml><?xml version="1.0" encoding="utf-8"?>
<formControlPr xmlns="http://schemas.microsoft.com/office/spreadsheetml/2009/9/main" objectType="CheckBox" checked="Checked" fmlaLink="uxb_works!B36" lockText="1" noThreeD="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CheckBox" fmlaLink="uxb_works!$B$29" lockText="1" noThreeD="1"/>
</file>

<file path=xl/ctrlProps/ctrlProp61.xml><?xml version="1.0" encoding="utf-8"?>
<formControlPr xmlns="http://schemas.microsoft.com/office/spreadsheetml/2009/9/main" objectType="Drop" dropLines="25" dropStyle="combo" dx="16" fmlaLink="uxb_works!$B$24" fmlaRange="luCities" noThreeD="1" val="0"/>
</file>

<file path=xl/ctrlProps/ctrlProp62.xml><?xml version="1.0" encoding="utf-8"?>
<formControlPr xmlns="http://schemas.microsoft.com/office/spreadsheetml/2009/9/main" objectType="Drop" dropLines="14" dropStyle="combo" dx="16" fmlaLink="uxb_works!$B$4" fmlaRange="iWeights!$A$3:$A$11" noThreeD="1" val="0"/>
</file>

<file path=xl/ctrlProps/ctrlProp63.xml><?xml version="1.0" encoding="utf-8"?>
<formControlPr xmlns="http://schemas.microsoft.com/office/spreadsheetml/2009/9/main" objectType="Drop" dropLines="10" dropStyle="combo" dx="26" fmlaLink="uxb_works!$B$39" fmlaRange="tblIndiSets!$C$59:$C$62" noThreeD="1" sel="2" val="0"/>
</file>

<file path=xl/ctrlProps/ctrlProp64.xml><?xml version="1.0" encoding="utf-8"?>
<formControlPr xmlns="http://schemas.microsoft.com/office/spreadsheetml/2009/9/main" objectType="Drop" dropLines="30" dropStyle="combo" dx="16" fmlaLink="uxb_works!$B$25" fmlaRange="luCities" noThreeD="1" sel="4" val="0"/>
</file>

<file path=xl/ctrlProps/ctrlProp65.xml><?xml version="1.0" encoding="utf-8"?>
<formControlPr xmlns="http://schemas.microsoft.com/office/spreadsheetml/2009/9/main" objectType="Drop" dropLines="25" dropStyle="combo" dx="16" fmlaLink="uxb_works!$B$9" fmlaRange="tblTerritories!$BH$3:$BH$7" noThreeD="1" val="0"/>
</file>

<file path=xl/ctrlProps/ctrlProp66.xml><?xml version="1.0" encoding="utf-8"?>
<formControlPr xmlns="http://schemas.microsoft.com/office/spreadsheetml/2009/9/main" objectType="Drop" dropLines="25" dropStyle="combo" dx="16" fmlaLink="uxb_works!$B$24" fmlaRange="luCities" noThreeD="1" val="0"/>
</file>

<file path=xl/ctrlProps/ctrlProp67.xml><?xml version="1.0" encoding="utf-8"?>
<formControlPr xmlns="http://schemas.microsoft.com/office/spreadsheetml/2009/9/main" objectType="Drop" dropLines="10" dropStyle="combo" dx="16" fmlaLink="uxb_works!$B$4" fmlaRange="iWeights!$A$3:$A$11" noThreeD="1" val="0"/>
</file>

<file path=xl/ctrlProps/ctrlProp68.xml><?xml version="1.0" encoding="utf-8"?>
<formControlPr xmlns="http://schemas.microsoft.com/office/spreadsheetml/2009/9/main" objectType="Drop" dropLines="30" dropStyle="combo" dx="16" fmlaLink="uxb_works!$B$27" fmlaRange="tblTerritories!$C$2:$C$14" noThreeD="1" val="0"/>
</file>

<file path=xl/ctrlProps/ctrlProp69.xml><?xml version="1.0" encoding="utf-8"?>
<formControlPr xmlns="http://schemas.microsoft.com/office/spreadsheetml/2009/9/main" objectType="Drop" dropLines="25" dropStyle="combo" dx="16" fmlaLink="uxb_works!$B$26" fmlaRange="tblTerritories!$C$2:$C$14" noThreeD="1" sel="6" val="0"/>
</file>

<file path=xl/ctrlProps/ctrlProp70.xml><?xml version="1.0" encoding="utf-8"?>
<formControlPr xmlns="http://schemas.microsoft.com/office/spreadsheetml/2009/9/main" objectType="Drop" dropLines="10" dropStyle="combo" dx="16" fmlaLink="uxb_works!$B$4" fmlaRange="iWeights!$A$3:$A$11" noThreeD="1" val="0"/>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Drop" dropLines="14" dropStyle="combo" dx="16" fmlaLink="uxb_works!$B$4" fmlaRange="iWeights!$A$3:$A$11" noThreeD="1" val="0"/>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5.png"/><Relationship Id="rId2" Type="http://schemas.openxmlformats.org/officeDocument/2006/relationships/hyperlink" Target="https://support.office.com/es-es/article/Habilitar-o-deshabilitar-macros-en-documentos-de-Office-7b4fdd2e-174f-47e2-9611-9efe4f860b12" TargetMode="External"/><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hyperlink" Target="http://office.microsoft.com/en-us/excel-help/enable-or-disable-macros-in-office-documents-HA010031071.aspx"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5" Type="http://schemas.microsoft.com/office/2007/relationships/hdphoto" Target="../media/hdphoto1.wdp"/><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8" Type="http://schemas.openxmlformats.org/officeDocument/2006/relationships/chart" Target="../charts/chart1.xml"/><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4.png"/><Relationship Id="rId7" Type="http://schemas.microsoft.com/office/2007/relationships/hdphoto" Target="../media/hdphoto1.wdp"/><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chart" Target="../charts/chart3.xml"/><Relationship Id="rId7" Type="http://schemas.openxmlformats.org/officeDocument/2006/relationships/image" Target="../media/image8.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7.png"/><Relationship Id="rId5" Type="http://schemas.openxmlformats.org/officeDocument/2006/relationships/image" Target="../media/image5.png"/><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chart" Target="../charts/chart4.xml"/><Relationship Id="rId6" Type="http://schemas.microsoft.com/office/2007/relationships/hdphoto" Target="../media/hdphoto1.wdp"/><Relationship Id="rId5" Type="http://schemas.openxmlformats.org/officeDocument/2006/relationships/image" Target="../media/image8.png"/><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image" Target="../media/image10.png"/><Relationship Id="rId7" Type="http://schemas.microsoft.com/office/2007/relationships/hdphoto" Target="../media/hdphoto1.wdp"/><Relationship Id="rId2" Type="http://schemas.openxmlformats.org/officeDocument/2006/relationships/image" Target="../media/image9.png"/><Relationship Id="rId1" Type="http://schemas.openxmlformats.org/officeDocument/2006/relationships/image" Target="../media/image12.png"/><Relationship Id="rId6" Type="http://schemas.openxmlformats.org/officeDocument/2006/relationships/image" Target="../media/image8.png"/><Relationship Id="rId5" Type="http://schemas.openxmlformats.org/officeDocument/2006/relationships/chart" Target="../charts/chart6.xml"/><Relationship Id="rId4" Type="http://schemas.openxmlformats.org/officeDocument/2006/relationships/image" Target="../media/image7.png"/></Relationships>
</file>

<file path=xl/drawings/_rels/drawing1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10.png"/><Relationship Id="rId7" Type="http://schemas.openxmlformats.org/officeDocument/2006/relationships/image" Target="../media/image4.png"/><Relationship Id="rId2" Type="http://schemas.openxmlformats.org/officeDocument/2006/relationships/image" Target="../media/image9.png"/><Relationship Id="rId1" Type="http://schemas.openxmlformats.org/officeDocument/2006/relationships/image" Target="../media/image12.png"/><Relationship Id="rId6" Type="http://schemas.microsoft.com/office/2007/relationships/hdphoto" Target="../media/hdphoto1.wdp"/><Relationship Id="rId5" Type="http://schemas.openxmlformats.org/officeDocument/2006/relationships/image" Target="../media/image8.png"/><Relationship Id="rId4" Type="http://schemas.openxmlformats.org/officeDocument/2006/relationships/image" Target="../media/image7.png"/><Relationship Id="rId9" Type="http://schemas.openxmlformats.org/officeDocument/2006/relationships/chart" Target="../charts/chart7.xml"/></Relationships>
</file>

<file path=xl/drawings/_rels/drawing16.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8.png"/><Relationship Id="rId7" Type="http://schemas.openxmlformats.org/officeDocument/2006/relationships/image" Target="../media/image4.png"/><Relationship Id="rId2" Type="http://schemas.openxmlformats.org/officeDocument/2006/relationships/image" Target="../media/image13.png"/><Relationship Id="rId1" Type="http://schemas.openxmlformats.org/officeDocument/2006/relationships/chart" Target="../charts/chart8.xml"/><Relationship Id="rId6" Type="http://schemas.openxmlformats.org/officeDocument/2006/relationships/image" Target="../media/image10.png"/><Relationship Id="rId5" Type="http://schemas.openxmlformats.org/officeDocument/2006/relationships/image" Target="../media/image9.png"/><Relationship Id="rId4" Type="http://schemas.microsoft.com/office/2007/relationships/hdphoto" Target="NULL"/></Relationships>
</file>

<file path=xl/drawings/_rels/drawing17.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5" Type="http://schemas.microsoft.com/office/2007/relationships/hdphoto" Target="../media/hdphoto1.wdp"/><Relationship Id="rId4" Type="http://schemas.openxmlformats.org/officeDocument/2006/relationships/image" Target="../media/image8.png"/></Relationships>
</file>

<file path=xl/drawings/_rels/drawing2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5" Type="http://schemas.microsoft.com/office/2007/relationships/hdphoto" Target="../media/hdphoto1.wdp"/><Relationship Id="rId4" Type="http://schemas.openxmlformats.org/officeDocument/2006/relationships/image" Target="../media/image8.png"/></Relationships>
</file>

<file path=xl/drawings/_rels/drawing2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5" Type="http://schemas.microsoft.com/office/2007/relationships/hdphoto" Target="../media/hdphoto1.wdp"/><Relationship Id="rId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xdr:col>
      <xdr:colOff>316271</xdr:colOff>
      <xdr:row>4</xdr:row>
      <xdr:rowOff>76596</xdr:rowOff>
    </xdr:from>
    <xdr:to>
      <xdr:col>20</xdr:col>
      <xdr:colOff>604775</xdr:colOff>
      <xdr:row>10</xdr:row>
      <xdr:rowOff>519416</xdr:rowOff>
    </xdr:to>
    <xdr:sp macro="" textlink="">
      <xdr:nvSpPr>
        <xdr:cNvPr id="5" name="TextBox 4"/>
        <xdr:cNvSpPr txBox="1"/>
      </xdr:nvSpPr>
      <xdr:spPr>
        <a:xfrm>
          <a:off x="447240" y="1660127"/>
          <a:ext cx="12682910" cy="18953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rtlCol="0" anchor="t">
          <a:noAutofit/>
        </a:body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3200" b="1">
              <a:solidFill>
                <a:srgbClr val="192F2F"/>
              </a:solidFill>
              <a:latin typeface="+mn-lt"/>
              <a:ea typeface="+mn-ea"/>
              <a:cs typeface="+mn-cs"/>
            </a:rPr>
            <a:t>Resultados del Modelo de Reciclaje Inclusivo</a:t>
          </a:r>
          <a:endParaRPr lang="en-US" sz="3200" b="1" i="0">
            <a:solidFill>
              <a:srgbClr val="192F2F"/>
            </a:solidFill>
            <a:latin typeface="+mn-lt"/>
            <a:ea typeface="Karla" pitchFamily="2" charset="0"/>
            <a:cs typeface="+mn-cs"/>
          </a:endParaRPr>
        </a:p>
        <a:p>
          <a:pPr marL="0" marR="0" lvl="0" indent="0" algn="r" defTabSz="914400" eaLnBrk="1" fontAlgn="auto" latinLnBrk="0" hangingPunct="1">
            <a:lnSpc>
              <a:spcPct val="100000"/>
            </a:lnSpc>
            <a:spcBef>
              <a:spcPts val="0"/>
            </a:spcBef>
            <a:spcAft>
              <a:spcPts val="0"/>
            </a:spcAft>
            <a:buClrTx/>
            <a:buSzTx/>
            <a:buFontTx/>
            <a:buNone/>
            <a:tabLst/>
            <a:defRPr/>
          </a:pPr>
          <a:r>
            <a:rPr lang="en-US" sz="1800" b="0" i="0" baseline="0">
              <a:solidFill>
                <a:schemeClr val="tx2">
                  <a:lumMod val="50000"/>
                </a:schemeClr>
              </a:solidFill>
              <a:latin typeface="+mn-lt"/>
              <a:ea typeface="Karla" pitchFamily="2" charset="0"/>
              <a:cs typeface="Times New Roman" pitchFamily="18" charset="0"/>
            </a:rPr>
            <a:t>Diciembre 2016</a:t>
          </a:r>
          <a:endParaRPr lang="en-US" sz="1800" b="0" i="0">
            <a:solidFill>
              <a:schemeClr val="tx2">
                <a:lumMod val="50000"/>
              </a:schemeClr>
            </a:solidFill>
            <a:latin typeface="+mn-lt"/>
            <a:ea typeface="Karla" pitchFamily="2" charset="0"/>
            <a:cs typeface="Times New Roman" pitchFamily="18" charset="0"/>
          </a:endParaRPr>
        </a:p>
      </xdr:txBody>
    </xdr:sp>
    <xdr:clientData/>
  </xdr:twoCellAnchor>
  <xdr:twoCellAnchor>
    <xdr:from>
      <xdr:col>1</xdr:col>
      <xdr:colOff>563730</xdr:colOff>
      <xdr:row>5</xdr:row>
      <xdr:rowOff>91848</xdr:rowOff>
    </xdr:from>
    <xdr:to>
      <xdr:col>5</xdr:col>
      <xdr:colOff>66779</xdr:colOff>
      <xdr:row>7</xdr:row>
      <xdr:rowOff>244403</xdr:rowOff>
    </xdr:to>
    <xdr:pic>
      <xdr:nvPicPr>
        <xdr:cNvPr id="25" name="Picture 1"/>
        <xdr:cNvPicPr>
          <a:picLocks noChangeAspect="1"/>
        </xdr:cNvPicPr>
      </xdr:nvPicPr>
      <xdr:blipFill>
        <a:blip xmlns:r="http://schemas.openxmlformats.org/officeDocument/2006/relationships" r:embed="rId1" cstate="print"/>
        <a:srcRect/>
        <a:stretch>
          <a:fillRect/>
        </a:stretch>
      </xdr:blipFill>
      <xdr:spPr bwMode="auto">
        <a:xfrm>
          <a:off x="694699" y="1842067"/>
          <a:ext cx="2015268" cy="485930"/>
        </a:xfrm>
        <a:prstGeom prst="rect">
          <a:avLst/>
        </a:prstGeom>
        <a:noFill/>
        <a:ln w="9525">
          <a:noFill/>
          <a:miter lim="800000"/>
          <a:headEnd/>
          <a:tailEnd/>
        </a:ln>
      </xdr:spPr>
    </xdr:pic>
    <xdr:clientData/>
  </xdr:twoCellAnchor>
  <xdr:twoCellAnchor>
    <xdr:from>
      <xdr:col>1</xdr:col>
      <xdr:colOff>555254</xdr:colOff>
      <xdr:row>10</xdr:row>
      <xdr:rowOff>857251</xdr:rowOff>
    </xdr:from>
    <xdr:to>
      <xdr:col>11</xdr:col>
      <xdr:colOff>83051</xdr:colOff>
      <xdr:row>26</xdr:row>
      <xdr:rowOff>60281</xdr:rowOff>
    </xdr:to>
    <xdr:sp macro="" textlink="">
      <xdr:nvSpPr>
        <xdr:cNvPr id="2" name="Rectangle 1"/>
        <xdr:cNvSpPr/>
      </xdr:nvSpPr>
      <xdr:spPr>
        <a:xfrm>
          <a:off x="686223" y="3893345"/>
          <a:ext cx="6028609" cy="1191374"/>
        </a:xfrm>
        <a:prstGeom prst="rect">
          <a:avLst/>
        </a:prstGeom>
        <a:solidFill>
          <a:srgbClr val="004770">
            <a:alpha val="9804"/>
          </a:srgbClr>
        </a:solidFill>
        <a:ln>
          <a:solidFill>
            <a:srgbClr val="0F8EC7"/>
          </a:solidFill>
        </a:ln>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latin typeface="+mn-lt"/>
            <a:ea typeface="Karla" pitchFamily="2" charset="0"/>
          </a:endParaRPr>
        </a:p>
      </xdr:txBody>
    </xdr:sp>
    <xdr:clientData/>
  </xdr:twoCellAnchor>
  <xdr:twoCellAnchor>
    <xdr:from>
      <xdr:col>1</xdr:col>
      <xdr:colOff>559005</xdr:colOff>
      <xdr:row>31</xdr:row>
      <xdr:rowOff>47076</xdr:rowOff>
    </xdr:from>
    <xdr:to>
      <xdr:col>20</xdr:col>
      <xdr:colOff>452270</xdr:colOff>
      <xdr:row>35</xdr:row>
      <xdr:rowOff>66763</xdr:rowOff>
    </xdr:to>
    <xdr:sp macro="" textlink="">
      <xdr:nvSpPr>
        <xdr:cNvPr id="3" name="TextBox 6"/>
        <xdr:cNvSpPr txBox="1">
          <a:spLocks noChangeArrowheads="1"/>
        </xdr:cNvSpPr>
      </xdr:nvSpPr>
      <xdr:spPr bwMode="auto">
        <a:xfrm>
          <a:off x="689974" y="5916857"/>
          <a:ext cx="12287671" cy="722156"/>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n-US" sz="1100">
              <a:solidFill>
                <a:schemeClr val="bg1">
                  <a:lumMod val="50000"/>
                </a:schemeClr>
              </a:solidFill>
              <a:latin typeface="+mn-lt"/>
              <a:ea typeface="+mn-ea"/>
              <a:cs typeface="+mn-cs"/>
            </a:rPr>
            <a:t>Fecha de publicación</a:t>
          </a:r>
          <a:r>
            <a:rPr lang="en-GB" sz="1100" b="0" i="0" u="none" strike="noStrike" baseline="0">
              <a:solidFill>
                <a:srgbClr val="808080"/>
              </a:solidFill>
              <a:latin typeface="+mn-lt"/>
              <a:ea typeface="Karla" pitchFamily="2" charset="0"/>
            </a:rPr>
            <a:t>:  </a:t>
          </a:r>
          <a:r>
            <a:rPr lang="es-ES" sz="1100" b="0" i="0" u="none" strike="noStrike" baseline="0">
              <a:solidFill>
                <a:sysClr val="windowText" lastClr="000000"/>
              </a:solidFill>
              <a:latin typeface="+mn-lt"/>
              <a:ea typeface="+mn-ea"/>
            </a:rPr>
            <a:t>D</a:t>
          </a:r>
          <a:r>
            <a:rPr lang="es-ES" sz="1100"/>
            <a:t>iciembre </a:t>
          </a:r>
          <a:r>
            <a:rPr lang="en-GB" sz="1100" b="0" i="0" u="none" strike="noStrike" baseline="0">
              <a:solidFill>
                <a:srgbClr val="000000"/>
              </a:solidFill>
              <a:latin typeface="+mn-lt"/>
              <a:ea typeface="Karla" pitchFamily="2" charset="0"/>
            </a:rPr>
            <a:t>2016</a:t>
          </a:r>
        </a:p>
        <a:p>
          <a:pPr algn="l" rtl="0">
            <a:defRPr sz="1000"/>
          </a:pPr>
          <a:r>
            <a:rPr lang="en-US" sz="1100">
              <a:solidFill>
                <a:schemeClr val="bg1">
                  <a:lumMod val="50000"/>
                </a:schemeClr>
              </a:solidFill>
              <a:latin typeface="+mn-lt"/>
              <a:ea typeface="+mn-ea"/>
              <a:cs typeface="+mn-cs"/>
            </a:rPr>
            <a:t>Gerente de Proyecto</a:t>
          </a:r>
          <a:r>
            <a:rPr lang="en-GB" sz="1100" b="0" i="0" baseline="0">
              <a:solidFill>
                <a:schemeClr val="bg1">
                  <a:lumMod val="50000"/>
                </a:schemeClr>
              </a:solidFill>
              <a:effectLst/>
              <a:latin typeface="+mn-lt"/>
              <a:ea typeface="Karla" pitchFamily="2" charset="0"/>
              <a:cs typeface="+mn-cs"/>
            </a:rPr>
            <a:t>:</a:t>
          </a:r>
          <a:r>
            <a:rPr lang="en-US" sz="1100">
              <a:solidFill>
                <a:schemeClr val="bg1">
                  <a:lumMod val="50000"/>
                </a:schemeClr>
              </a:solidFill>
              <a:latin typeface="+mn-lt"/>
              <a:ea typeface="+mn-ea"/>
              <a:cs typeface="+mn-cs"/>
            </a:rPr>
            <a:t> </a:t>
          </a:r>
          <a:r>
            <a:rPr lang="en-US" sz="1000">
              <a:latin typeface="+mn-lt"/>
              <a:ea typeface="+mn-ea"/>
              <a:cs typeface="+mn-cs"/>
            </a:rPr>
            <a:t>Romina Bandura [mailto:rominabandura@eiu.com] </a:t>
          </a:r>
          <a:endParaRPr lang="en-GB" sz="1100" b="0" i="0" baseline="0">
            <a:effectLst/>
            <a:latin typeface="+mn-lt"/>
            <a:ea typeface="Karla" pitchFamily="2" charset="0"/>
            <a:cs typeface="+mn-cs"/>
          </a:endParaRPr>
        </a:p>
      </xdr:txBody>
    </xdr:sp>
    <xdr:clientData/>
  </xdr:twoCellAnchor>
  <xdr:twoCellAnchor>
    <xdr:from>
      <xdr:col>1</xdr:col>
      <xdr:colOff>537883</xdr:colOff>
      <xdr:row>28</xdr:row>
      <xdr:rowOff>139930</xdr:rowOff>
    </xdr:from>
    <xdr:to>
      <xdr:col>20</xdr:col>
      <xdr:colOff>659548</xdr:colOff>
      <xdr:row>31</xdr:row>
      <xdr:rowOff>64763</xdr:rowOff>
    </xdr:to>
    <xdr:sp macro="" textlink="">
      <xdr:nvSpPr>
        <xdr:cNvPr id="6" name="TextBox 5">
          <a:hlinkClick xmlns:r="http://schemas.openxmlformats.org/officeDocument/2006/relationships" r:id="rId2"/>
        </xdr:cNvPr>
        <xdr:cNvSpPr txBox="1"/>
      </xdr:nvSpPr>
      <xdr:spPr>
        <a:xfrm>
          <a:off x="668852" y="5509649"/>
          <a:ext cx="12516071" cy="424895"/>
        </a:xfrm>
        <a:prstGeom prst="rect">
          <a:avLst/>
        </a:prstGeom>
        <a:solidFill>
          <a:schemeClr val="lt1"/>
        </a:solid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rtl="0">
            <a:defRPr sz="1000"/>
          </a:pPr>
          <a:r>
            <a:rPr lang="en-GB" sz="1000" b="0" i="0" u="sng" strike="noStrike" baseline="0">
              <a:solidFill>
                <a:srgbClr val="0070C0"/>
              </a:solidFill>
              <a:latin typeface="+mn-lt"/>
              <a:ea typeface="Karla" pitchFamily="2" charset="0"/>
            </a:rPr>
            <a:t>https://support.office.com/es-es/article/Habilitar-o-deshabilitar-macros-en-documentos-de-Office-7b4fdd2e-174f-47e2-9611-9efe4f860b1HN&amp;ui=es-ES&amp;rs=es-HN&amp;ad=HN</a:t>
          </a:r>
        </a:p>
      </xdr:txBody>
    </xdr:sp>
    <xdr:clientData/>
  </xdr:twoCellAnchor>
  <xdr:twoCellAnchor>
    <xdr:from>
      <xdr:col>11</xdr:col>
      <xdr:colOff>435275</xdr:colOff>
      <xdr:row>10</xdr:row>
      <xdr:rowOff>853068</xdr:rowOff>
    </xdr:from>
    <xdr:to>
      <xdr:col>20</xdr:col>
      <xdr:colOff>597902</xdr:colOff>
      <xdr:row>26</xdr:row>
      <xdr:rowOff>64743</xdr:rowOff>
    </xdr:to>
    <xdr:sp macro="" textlink="">
      <xdr:nvSpPr>
        <xdr:cNvPr id="8" name="Rectangle 7"/>
        <xdr:cNvSpPr/>
      </xdr:nvSpPr>
      <xdr:spPr>
        <a:xfrm>
          <a:off x="7067056" y="3889162"/>
          <a:ext cx="6056221" cy="1200019"/>
        </a:xfrm>
        <a:prstGeom prst="rect">
          <a:avLst/>
        </a:prstGeom>
        <a:solidFill>
          <a:srgbClr val="004770">
            <a:alpha val="9804"/>
          </a:srgbClr>
        </a:solidFill>
        <a:ln>
          <a:solidFill>
            <a:srgbClr val="0F8EC7"/>
          </a:solidFill>
        </a:ln>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latin typeface="+mn-lt"/>
            <a:ea typeface="Karla" pitchFamily="2" charset="0"/>
          </a:endParaRPr>
        </a:p>
      </xdr:txBody>
    </xdr:sp>
    <xdr:clientData/>
  </xdr:twoCellAnchor>
  <xdr:twoCellAnchor>
    <xdr:from>
      <xdr:col>11</xdr:col>
      <xdr:colOff>597911</xdr:colOff>
      <xdr:row>21</xdr:row>
      <xdr:rowOff>66421</xdr:rowOff>
    </xdr:from>
    <xdr:to>
      <xdr:col>12</xdr:col>
      <xdr:colOff>522316</xdr:colOff>
      <xdr:row>25</xdr:row>
      <xdr:rowOff>44340</xdr:rowOff>
    </xdr:to>
    <xdr:pic macro="[0]!Fullscreen">
      <xdr:nvPicPr>
        <xdr:cNvPr id="9" name="fullscreen" descr="xl_fullscreen.png"/>
        <xdr:cNvPicPr>
          <a:picLocks noChangeAspect="1"/>
        </xdr:cNvPicPr>
      </xdr:nvPicPr>
      <xdr:blipFill>
        <a:blip xmlns:r="http://schemas.openxmlformats.org/officeDocument/2006/relationships" r:embed="rId3" cstate="print"/>
        <a:stretch>
          <a:fillRect/>
        </a:stretch>
      </xdr:blipFill>
      <xdr:spPr>
        <a:xfrm>
          <a:off x="7229692" y="4031202"/>
          <a:ext cx="531624" cy="835169"/>
        </a:xfrm>
        <a:prstGeom prst="rect">
          <a:avLst/>
        </a:prstGeom>
      </xdr:spPr>
    </xdr:pic>
    <xdr:clientData/>
  </xdr:twoCellAnchor>
  <xdr:twoCellAnchor>
    <xdr:from>
      <xdr:col>1</xdr:col>
      <xdr:colOff>535515</xdr:colOff>
      <xdr:row>27</xdr:row>
      <xdr:rowOff>50741</xdr:rowOff>
    </xdr:from>
    <xdr:to>
      <xdr:col>20</xdr:col>
      <xdr:colOff>657180</xdr:colOff>
      <xdr:row>28</xdr:row>
      <xdr:rowOff>155446</xdr:rowOff>
    </xdr:to>
    <xdr:sp macro="" textlink="lang!C92">
      <xdr:nvSpPr>
        <xdr:cNvPr id="47" name="TextBox 46">
          <a:hlinkClick xmlns:r="http://schemas.openxmlformats.org/officeDocument/2006/relationships" r:id="rId4"/>
        </xdr:cNvPr>
        <xdr:cNvSpPr txBox="1"/>
      </xdr:nvSpPr>
      <xdr:spPr>
        <a:xfrm>
          <a:off x="666484" y="5253772"/>
          <a:ext cx="12516071" cy="271393"/>
        </a:xfrm>
        <a:prstGeom prst="rect">
          <a:avLst/>
        </a:prstGeom>
        <a:solidFill>
          <a:schemeClr val="lt1"/>
        </a:solid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rtl="0">
            <a:defRPr sz="1000"/>
          </a:pPr>
          <a:fld id="{E5A02EB9-785C-4F1C-89BF-1B518A9EF6AB}" type="TxLink">
            <a:rPr lang="en-US" sz="1400" b="0" i="0" u="none" strike="noStrike" baseline="0">
              <a:solidFill>
                <a:srgbClr val="000000"/>
              </a:solidFill>
              <a:latin typeface="Calibri"/>
              <a:ea typeface="Karla" pitchFamily="2" charset="0"/>
              <a:cs typeface="Calibri"/>
            </a:rPr>
            <a:pPr algn="ctr" rtl="0">
              <a:defRPr sz="1000"/>
            </a:pPr>
            <a:t>Active Macros para plena funcionalidad</a:t>
          </a:fld>
          <a:endParaRPr lang="en-GB" sz="1000" b="0" i="0" u="sng" strike="noStrike" baseline="0">
            <a:solidFill>
              <a:srgbClr val="0070C0"/>
            </a:solidFill>
            <a:latin typeface="+mn-lt"/>
            <a:ea typeface="Karla" pitchFamily="2" charset="0"/>
          </a:endParaRPr>
        </a:p>
      </xdr:txBody>
    </xdr:sp>
    <xdr:clientData/>
  </xdr:twoCellAnchor>
  <xdr:twoCellAnchor>
    <xdr:from>
      <xdr:col>12</xdr:col>
      <xdr:colOff>440597</xdr:colOff>
      <xdr:row>34</xdr:row>
      <xdr:rowOff>90344</xdr:rowOff>
    </xdr:from>
    <xdr:to>
      <xdr:col>21</xdr:col>
      <xdr:colOff>95252</xdr:colOff>
      <xdr:row>34</xdr:row>
      <xdr:rowOff>90344</xdr:rowOff>
    </xdr:to>
    <xdr:cxnSp macro="">
      <xdr:nvCxnSpPr>
        <xdr:cNvPr id="40" name="Straight Connector 39"/>
        <xdr:cNvCxnSpPr/>
      </xdr:nvCxnSpPr>
      <xdr:spPr>
        <a:xfrm>
          <a:off x="7679597" y="6495907"/>
          <a:ext cx="5655405"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402574</xdr:colOff>
      <xdr:row>34</xdr:row>
      <xdr:rowOff>99872</xdr:rowOff>
    </xdr:from>
    <xdr:to>
      <xdr:col>10</xdr:col>
      <xdr:colOff>188198</xdr:colOff>
      <xdr:row>34</xdr:row>
      <xdr:rowOff>99872</xdr:rowOff>
    </xdr:to>
    <xdr:cxnSp macro="">
      <xdr:nvCxnSpPr>
        <xdr:cNvPr id="46" name="Straight Connector 45"/>
        <xdr:cNvCxnSpPr/>
      </xdr:nvCxnSpPr>
      <xdr:spPr>
        <a:xfrm>
          <a:off x="533543" y="6505435"/>
          <a:ext cx="5655405"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6</xdr:col>
      <xdr:colOff>619101</xdr:colOff>
      <xdr:row>36</xdr:row>
      <xdr:rowOff>59536</xdr:rowOff>
    </xdr:from>
    <xdr:to>
      <xdr:col>16</xdr:col>
      <xdr:colOff>178757</xdr:colOff>
      <xdr:row>49</xdr:row>
      <xdr:rowOff>18092</xdr:rowOff>
    </xdr:to>
    <xdr:pic>
      <xdr:nvPicPr>
        <xdr:cNvPr id="36" name="Picture 35" descr="IRRlogoESP-sponsors 2016.png"/>
        <xdr:cNvPicPr>
          <a:picLocks noChangeAspect="1"/>
        </xdr:cNvPicPr>
      </xdr:nvPicPr>
      <xdr:blipFill>
        <a:blip xmlns:r="http://schemas.openxmlformats.org/officeDocument/2006/relationships" r:embed="rId5" cstate="print"/>
        <a:stretch>
          <a:fillRect/>
        </a:stretch>
      </xdr:blipFill>
      <xdr:spPr>
        <a:xfrm>
          <a:off x="3869507" y="6798474"/>
          <a:ext cx="6120000" cy="2363619"/>
        </a:xfrm>
        <a:prstGeom prst="rect">
          <a:avLst/>
        </a:prstGeom>
      </xdr:spPr>
    </xdr:pic>
    <xdr:clientData/>
  </xdr:twoCellAnchor>
  <xdr:twoCellAnchor>
    <xdr:from>
      <xdr:col>13</xdr:col>
      <xdr:colOff>125155</xdr:colOff>
      <xdr:row>7</xdr:row>
      <xdr:rowOff>952499</xdr:rowOff>
    </xdr:from>
    <xdr:to>
      <xdr:col>20</xdr:col>
      <xdr:colOff>607218</xdr:colOff>
      <xdr:row>10</xdr:row>
      <xdr:rowOff>694799</xdr:rowOff>
    </xdr:to>
    <xdr:sp macro="" textlink="">
      <xdr:nvSpPr>
        <xdr:cNvPr id="41" name="TextBox 40"/>
        <xdr:cNvSpPr txBox="1"/>
      </xdr:nvSpPr>
      <xdr:spPr>
        <a:xfrm>
          <a:off x="8020322" y="3005666"/>
          <a:ext cx="5202229" cy="694800"/>
        </a:xfrm>
        <a:prstGeom prst="rect">
          <a:avLst/>
        </a:prstGeom>
        <a:solidFill>
          <a:schemeClr val="bg1"/>
        </a:solidFill>
        <a:ln w="9525" cmpd="sng">
          <a:solidFill>
            <a:srgbClr val="0F8EC7"/>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es-AR" sz="1200">
              <a:solidFill>
                <a:schemeClr val="dk1"/>
              </a:solidFill>
              <a:latin typeface="+mn-lt"/>
              <a:ea typeface="+mn-ea"/>
              <a:cs typeface="+mn-cs"/>
            </a:rPr>
            <a:t>Presione aquí para descargar la guía metodológica (indicadores y su puntaje)</a:t>
          </a:r>
          <a:endParaRPr lang="en-GB" sz="1200">
            <a:solidFill>
              <a:schemeClr val="dk1"/>
            </a:solidFill>
            <a:latin typeface="+mn-lt"/>
            <a:ea typeface="+mn-ea"/>
            <a:cs typeface="+mn-cs"/>
          </a:endParaRPr>
        </a:p>
      </xdr:txBody>
    </xdr:sp>
    <xdr:clientData/>
  </xdr:twoCellAnchor>
  <xdr:twoCellAnchor editAs="absolute">
    <xdr:from>
      <xdr:col>0</xdr:col>
      <xdr:colOff>0</xdr:colOff>
      <xdr:row>0</xdr:row>
      <xdr:rowOff>0</xdr:rowOff>
    </xdr:from>
    <xdr:to>
      <xdr:col>22</xdr:col>
      <xdr:colOff>28574</xdr:colOff>
      <xdr:row>3</xdr:row>
      <xdr:rowOff>10773</xdr:rowOff>
    </xdr:to>
    <xdr:grpSp>
      <xdr:nvGrpSpPr>
        <xdr:cNvPr id="30" name="MENU"/>
        <xdr:cNvGrpSpPr/>
      </xdr:nvGrpSpPr>
      <xdr:grpSpPr>
        <a:xfrm>
          <a:off x="0" y="0"/>
          <a:ext cx="13673137" cy="1534773"/>
          <a:chOff x="0" y="0"/>
          <a:chExt cx="13706474" cy="1534773"/>
        </a:xfrm>
      </xdr:grpSpPr>
      <xdr:sp macro="" textlink="">
        <xdr:nvSpPr>
          <xdr:cNvPr id="14" name="nav_controls"/>
          <xdr:cNvSpPr/>
        </xdr:nvSpPr>
        <xdr:spPr>
          <a:xfrm>
            <a:off x="13608" y="3437"/>
            <a:ext cx="13692866"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6">
        <xdr:nvSpPr>
          <xdr:cNvPr id="22" name="Definiciones"/>
          <xdr:cNvSpPr/>
        </xdr:nvSpPr>
        <xdr:spPr>
          <a:xfrm>
            <a:off x="4067930" y="321659"/>
            <a:ext cx="321247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26" name="1. Map"/>
          <xdr:cNvSpPr/>
        </xdr:nvSpPr>
        <xdr:spPr>
          <a:xfrm>
            <a:off x="7270820" y="321659"/>
            <a:ext cx="321111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27" name="DataDisplay"/>
          <xdr:cNvSpPr/>
        </xdr:nvSpPr>
        <xdr:spPr>
          <a:xfrm>
            <a:off x="10478116" y="321659"/>
            <a:ext cx="321111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21" name="Head"/>
          <xdr:cNvSpPr/>
        </xdr:nvSpPr>
        <xdr:spPr>
          <a:xfrm>
            <a:off x="3385" y="0"/>
            <a:ext cx="13693563"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9">
        <xdr:nvSpPr>
          <xdr:cNvPr id="28" name="about"/>
          <xdr:cNvSpPr/>
        </xdr:nvSpPr>
        <xdr:spPr>
          <a:xfrm>
            <a:off x="3" y="683448"/>
            <a:ext cx="2174421" cy="270257"/>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94502D9-D7BB-4E13-AC1C-E3D17FEF25A9}" type="TxLink">
              <a:rPr lang="en-US" sz="1200" b="1" i="0" u="none" strike="noStrike">
                <a:solidFill>
                  <a:srgbClr val="004770"/>
                </a:solidFill>
                <a:latin typeface="Calibri"/>
                <a:cs typeface="Calibri"/>
              </a:rPr>
              <a:pPr algn="ctr"/>
              <a:t>EXPLICACIÓN DEL MODELO</a:t>
            </a:fld>
            <a:endParaRPr lang="en-GB" sz="1100" b="1">
              <a:solidFill>
                <a:srgbClr val="004770"/>
              </a:solidFill>
            </a:endParaRPr>
          </a:p>
        </xdr:txBody>
      </xdr:sp>
      <xdr:sp macro="[0]!LBChanger" textlink="lang!C5">
        <xdr:nvSpPr>
          <xdr:cNvPr id="15" name="Summary"/>
          <xdr:cNvSpPr/>
        </xdr:nvSpPr>
        <xdr:spPr>
          <a:xfrm>
            <a:off x="860616" y="321659"/>
            <a:ext cx="3208667"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16" name="Home1"/>
          <xdr:cNvSpPr/>
        </xdr:nvSpPr>
        <xdr:spPr>
          <a:xfrm>
            <a:off x="0" y="322717"/>
            <a:ext cx="860380" cy="367756"/>
          </a:xfrm>
          <a:prstGeom prst="rect">
            <a:avLst/>
          </a:prstGeom>
          <a:solidFill>
            <a:srgbClr val="004770"/>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23" name="Home" descr="Home.png"/>
          <xdr:cNvPicPr>
            <a:picLocks noChangeAspect="1"/>
          </xdr:cNvPicPr>
        </xdr:nvPicPr>
        <xdr:blipFill>
          <a:blip xmlns:r="http://schemas.openxmlformats.org/officeDocument/2006/relationships" r:embed="rId6" cstate="print"/>
          <a:stretch>
            <a:fillRect/>
          </a:stretch>
        </xdr:blipFill>
        <xdr:spPr>
          <a:xfrm>
            <a:off x="77390" y="329546"/>
            <a:ext cx="352490" cy="345662"/>
          </a:xfrm>
          <a:prstGeom prst="rect">
            <a:avLst/>
          </a:prstGeom>
          <a:solidFill>
            <a:srgbClr val="004770"/>
          </a:solidFill>
        </xdr:spPr>
      </xdr:pic>
      <xdr:pic macro="[0]!Navigate_GoBack">
        <xdr:nvPicPr>
          <xdr:cNvPr id="24" name="Picture 23" descr="Silver-Back-Button.png"/>
          <xdr:cNvPicPr>
            <a:picLocks noChangeAspect="1"/>
          </xdr:cNvPicPr>
        </xdr:nvPicPr>
        <xdr:blipFill>
          <a:blip xmlns:r="http://schemas.openxmlformats.org/officeDocument/2006/relationships" r:embed="rId7" cstate="print"/>
          <a:stretch>
            <a:fillRect/>
          </a:stretch>
        </xdr:blipFill>
        <xdr:spPr>
          <a:xfrm>
            <a:off x="482965" y="329545"/>
            <a:ext cx="341166" cy="344887"/>
          </a:xfrm>
          <a:prstGeom prst="rect">
            <a:avLst/>
          </a:prstGeom>
          <a:solidFill>
            <a:srgbClr val="004770"/>
          </a:solidFill>
        </xdr:spPr>
      </xdr:pic>
    </xdr:grp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68727</xdr:colOff>
      <xdr:row>4</xdr:row>
      <xdr:rowOff>85723</xdr:rowOff>
    </xdr:from>
    <xdr:to>
      <xdr:col>20</xdr:col>
      <xdr:colOff>971550</xdr:colOff>
      <xdr:row>50</xdr:row>
      <xdr:rowOff>76200</xdr:rowOff>
    </xdr:to>
    <xdr:grpSp>
      <xdr:nvGrpSpPr>
        <xdr:cNvPr id="58" name="Group 57"/>
        <xdr:cNvGrpSpPr/>
      </xdr:nvGrpSpPr>
      <xdr:grpSpPr>
        <a:xfrm>
          <a:off x="199696" y="1669254"/>
          <a:ext cx="13297229" cy="8622509"/>
          <a:chOff x="202077" y="1666873"/>
          <a:chExt cx="13323423" cy="8486777"/>
        </a:xfrm>
      </xdr:grpSpPr>
      <xdr:sp macro="" textlink="">
        <xdr:nvSpPr>
          <xdr:cNvPr id="16" name="TextBox 15"/>
          <xdr:cNvSpPr txBox="1"/>
        </xdr:nvSpPr>
        <xdr:spPr>
          <a:xfrm>
            <a:off x="202077" y="1666873"/>
            <a:ext cx="13323423" cy="8486777"/>
          </a:xfrm>
          <a:prstGeom prst="rect">
            <a:avLst/>
          </a:prstGeom>
          <a:solidFill>
            <a:sysClr val="window" lastClr="FFFFFF"/>
          </a:solidFill>
          <a:ln w="9525" cmpd="sng">
            <a:solidFill>
              <a:srgbClr val="0F8EC7"/>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US" sz="1100" b="1">
                <a:solidFill>
                  <a:schemeClr val="dk1"/>
                </a:solidFill>
                <a:latin typeface="+mn-lt"/>
                <a:ea typeface="+mn-ea"/>
                <a:cs typeface="+mn-cs"/>
              </a:rPr>
              <a:t>Modelo de Reciclaje Inclusivo</a:t>
            </a:r>
          </a:p>
          <a:p>
            <a:endParaRPr lang="en-GB" sz="1100">
              <a:solidFill>
                <a:schemeClr val="dk1"/>
              </a:solidFill>
              <a:latin typeface="+mn-lt"/>
              <a:ea typeface="+mn-ea"/>
              <a:cs typeface="+mn-cs"/>
            </a:endParaRPr>
          </a:p>
          <a:p>
            <a:r>
              <a:rPr lang="es-US" sz="1100">
                <a:solidFill>
                  <a:schemeClr val="dk1"/>
                </a:solidFill>
                <a:latin typeface="+mn-lt"/>
                <a:ea typeface="+mn-ea"/>
                <a:cs typeface="+mn-cs"/>
              </a:rPr>
              <a:t>El estudio </a:t>
            </a:r>
            <a:r>
              <a:rPr lang="es-US" sz="1100" b="1">
                <a:solidFill>
                  <a:schemeClr val="dk1"/>
                </a:solidFill>
                <a:latin typeface="+mn-lt"/>
                <a:ea typeface="+mn-ea"/>
                <a:cs typeface="+mn-cs"/>
              </a:rPr>
              <a:t>Reciclaje Inclusivo en América Latina y el Caribe ― Diagnóstico de 2016</a:t>
            </a:r>
            <a:r>
              <a:rPr lang="es-US" sz="1100">
                <a:solidFill>
                  <a:schemeClr val="dk1"/>
                </a:solidFill>
                <a:latin typeface="+mn-lt"/>
                <a:ea typeface="+mn-ea"/>
                <a:cs typeface="+mn-cs"/>
              </a:rPr>
              <a:t> mide el contexto institucional y operativo del reciclaje inclusivo en doce (12) ciudades de América Latina y el Caribe por medio de un conjunto de indicadores cualitativos y cuantitativos. El estudio busca evaluar la situación actual de inclusión y formalización de los recicladores informales en la cadena de gestión integral de residuos sólidos.  La mayor parte de la investigación para este informe, que incluye entrevistas y análisis documental, fue realizada entre agosto y noviembre de 2016.  </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El listado de indicadores y la guía metodológica puede descargarse presionando el icono a la derecha.</a:t>
            </a:r>
            <a:endParaRPr lang="en-GB" sz="1100">
              <a:solidFill>
                <a:schemeClr val="dk1"/>
              </a:solidFill>
              <a:latin typeface="+mn-lt"/>
              <a:ea typeface="+mn-ea"/>
              <a:cs typeface="+mn-cs"/>
            </a:endParaRPr>
          </a:p>
          <a:p>
            <a:r>
              <a:rPr lang="es-US" sz="1100">
                <a:solidFill>
                  <a:schemeClr val="dk1"/>
                </a:solidFill>
                <a:latin typeface="+mn-lt"/>
                <a:ea typeface="+mn-ea"/>
                <a:cs typeface="+mn-cs"/>
              </a:rPr>
              <a:t> </a:t>
            </a:r>
            <a:endParaRPr lang="en-GB" sz="1100">
              <a:solidFill>
                <a:schemeClr val="dk1"/>
              </a:solidFill>
              <a:latin typeface="+mn-lt"/>
              <a:ea typeface="+mn-ea"/>
              <a:cs typeface="+mn-cs"/>
            </a:endParaRPr>
          </a:p>
          <a:p>
            <a:r>
              <a:rPr lang="es-US" sz="1100" b="1">
                <a:solidFill>
                  <a:schemeClr val="dk1"/>
                </a:solidFill>
                <a:latin typeface="+mn-lt"/>
                <a:ea typeface="+mn-ea"/>
                <a:cs typeface="+mn-cs"/>
              </a:rPr>
              <a:t>EXPLORAR INDICADORES</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En esta pestaña se encuentra la sub-pestaña </a:t>
            </a:r>
            <a:r>
              <a:rPr lang="es-US" sz="1100" b="1">
                <a:solidFill>
                  <a:schemeClr val="dk1"/>
                </a:solidFill>
                <a:latin typeface="+mn-lt"/>
                <a:ea typeface="+mn-ea"/>
                <a:cs typeface="+mn-cs"/>
              </a:rPr>
              <a:t>Resumen</a:t>
            </a:r>
            <a:r>
              <a:rPr lang="es-US" sz="1100">
                <a:solidFill>
                  <a:schemeClr val="dk1"/>
                </a:solidFill>
                <a:latin typeface="+mn-lt"/>
                <a:ea typeface="+mn-ea"/>
                <a:cs typeface="+mn-cs"/>
              </a:rPr>
              <a:t> donde se pueden comparar el desempeño de las ciudades en cada dimensión; y la sub-pestaña de </a:t>
            </a:r>
            <a:r>
              <a:rPr lang="es-US" sz="1100" b="1">
                <a:solidFill>
                  <a:schemeClr val="dk1"/>
                </a:solidFill>
                <a:latin typeface="+mn-lt"/>
                <a:ea typeface="+mn-ea"/>
                <a:cs typeface="+mn-cs"/>
              </a:rPr>
              <a:t>Comparar Ciudades</a:t>
            </a:r>
            <a:r>
              <a:rPr lang="es-US" sz="1100">
                <a:solidFill>
                  <a:schemeClr val="dk1"/>
                </a:solidFill>
                <a:latin typeface="+mn-lt"/>
                <a:ea typeface="+mn-ea"/>
                <a:cs typeface="+mn-cs"/>
              </a:rPr>
              <a:t> donde se pueden visualizar el desempeño dentro de los indicadores de cada dimensión para un máximo de cuatro ciudades. El usuario puede cambiar la ponderación o pesos dados cada indicador menú de </a:t>
            </a:r>
            <a:r>
              <a:rPr lang="es-US" sz="1100" b="1">
                <a:solidFill>
                  <a:schemeClr val="dk1"/>
                </a:solidFill>
                <a:latin typeface="+mn-lt"/>
                <a:ea typeface="+mn-ea"/>
                <a:cs typeface="+mn-cs"/>
              </a:rPr>
              <a:t>Visualización</a:t>
            </a:r>
            <a:r>
              <a:rPr lang="es-US" sz="1100">
                <a:solidFill>
                  <a:schemeClr val="dk1"/>
                </a:solidFill>
                <a:latin typeface="+mn-lt"/>
                <a:ea typeface="+mn-ea"/>
                <a:cs typeface="+mn-cs"/>
              </a:rPr>
              <a:t>.</a:t>
            </a:r>
          </a:p>
          <a:p>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Resumen</a:t>
            </a:r>
            <a:r>
              <a:rPr lang="es-AR" sz="1100">
                <a:solidFill>
                  <a:schemeClr val="dk1"/>
                </a:solidFill>
                <a:latin typeface="+mn-lt"/>
                <a:ea typeface="+mn-ea"/>
                <a:cs typeface="+mn-cs"/>
              </a:rPr>
              <a:t>: Se presenta un ranking de ciudades para cada de las tres dimensiones donde puede seleccionar una ciudad para resaltarla visualmente.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Comparar ciudades</a:t>
            </a:r>
            <a:r>
              <a:rPr lang="es-AR" sz="1100">
                <a:solidFill>
                  <a:schemeClr val="dk1"/>
                </a:solidFill>
                <a:latin typeface="+mn-lt"/>
                <a:ea typeface="+mn-ea"/>
                <a:cs typeface="+mn-cs"/>
              </a:rPr>
              <a:t>: Se puede visualizar los indicadores de hasta cuatro ciudades a la vez en sus puntajes y rango frente al resto de las ciudades. </a:t>
            </a:r>
          </a:p>
          <a:p>
            <a:pPr lvl="0"/>
            <a:endParaRPr lang="en-GB" sz="1100">
              <a:solidFill>
                <a:schemeClr val="dk1"/>
              </a:solidFill>
              <a:latin typeface="+mn-lt"/>
              <a:ea typeface="+mn-ea"/>
              <a:cs typeface="+mn-cs"/>
            </a:endParaRPr>
          </a:p>
          <a:p>
            <a:r>
              <a:rPr lang="es-US" sz="1100" b="1">
                <a:solidFill>
                  <a:schemeClr val="dk1"/>
                </a:solidFill>
                <a:latin typeface="+mn-lt"/>
                <a:ea typeface="+mn-ea"/>
                <a:cs typeface="+mn-cs"/>
              </a:rPr>
              <a:t>EXPLORAR CIUDADES</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En esta pestaña se pueden leer el detalle de la definición de cada ciudad, cada indicador, cuantitativo o cualitativo, de su puntaje, criterios de clasificación y respectivas fuentes.</a:t>
            </a:r>
            <a:endParaRPr lang="en-GB" sz="1100">
              <a:solidFill>
                <a:schemeClr val="dk1"/>
              </a:solidFill>
              <a:latin typeface="+mn-lt"/>
              <a:ea typeface="+mn-ea"/>
              <a:cs typeface="+mn-cs"/>
            </a:endParaRPr>
          </a:p>
          <a:p>
            <a:pPr lvl="0"/>
            <a:endParaRPr lang="es-AR"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Definiciones</a:t>
            </a:r>
            <a:r>
              <a:rPr lang="es-AR" sz="1100">
                <a:solidFill>
                  <a:schemeClr val="dk1"/>
                </a:solidFill>
                <a:latin typeface="+mn-lt"/>
                <a:ea typeface="+mn-ea"/>
                <a:cs typeface="+mn-cs"/>
              </a:rPr>
              <a:t>: Aquí puede leer cómo el presente estudio delimitó geográfica a cada ciudad analizada.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Resumen Ciudad</a:t>
            </a:r>
            <a:r>
              <a:rPr lang="es-AR" sz="1100">
                <a:solidFill>
                  <a:schemeClr val="dk1"/>
                </a:solidFill>
                <a:latin typeface="+mn-lt"/>
                <a:ea typeface="+mn-ea"/>
                <a:cs typeface="+mn-cs"/>
              </a:rPr>
              <a:t>: Podrá observar un perfil con todos los indicadores para una ciudad.</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a:t>
            </a:r>
            <a:r>
              <a:rPr lang="es-AR" sz="1100" baseline="0">
                <a:solidFill>
                  <a:schemeClr val="dk1"/>
                </a:solidFill>
                <a:latin typeface="+mn-lt"/>
                <a:ea typeface="+mn-ea"/>
                <a:cs typeface="+mn-cs"/>
              </a:rPr>
              <a:t> </a:t>
            </a:r>
            <a:r>
              <a:rPr lang="es-AR" sz="1100" u="sng">
                <a:solidFill>
                  <a:srgbClr val="004770"/>
                </a:solidFill>
                <a:latin typeface="+mn-lt"/>
                <a:ea typeface="+mn-ea"/>
                <a:cs typeface="+mn-cs"/>
              </a:rPr>
              <a:t>Indicadores Cualitativos</a:t>
            </a:r>
            <a:r>
              <a:rPr lang="es-AR" sz="1100">
                <a:solidFill>
                  <a:schemeClr val="dk1"/>
                </a:solidFill>
                <a:latin typeface="+mn-lt"/>
                <a:ea typeface="+mn-ea"/>
                <a:cs typeface="+mn-cs"/>
              </a:rPr>
              <a:t>: En este apartado encontrará la pregunta a evaluar, criterios de clasificación, dato, puntaje, la justificación del puntaje y las referencias de donde se extrajo la información para los indicadores cualitativos.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Indicadores Cuantitativos</a:t>
            </a:r>
            <a:r>
              <a:rPr lang="es-AR" sz="1100">
                <a:solidFill>
                  <a:schemeClr val="dk1"/>
                </a:solidFill>
                <a:latin typeface="+mn-lt"/>
                <a:ea typeface="+mn-ea"/>
                <a:cs typeface="+mn-cs"/>
              </a:rPr>
              <a:t>: Aquí encontrará la pregunta a evaluar, definición de la medida, dato, año y la fuente de donde se extrajo la información para los indicadores cuantitativos.</a:t>
            </a:r>
            <a:endParaRPr lang="en-GB" sz="1100">
              <a:solidFill>
                <a:schemeClr val="dk1"/>
              </a:solidFill>
              <a:latin typeface="+mn-lt"/>
              <a:ea typeface="+mn-ea"/>
              <a:cs typeface="+mn-cs"/>
            </a:endParaRPr>
          </a:p>
          <a:p>
            <a:r>
              <a:rPr lang="es-US" sz="1100">
                <a:solidFill>
                  <a:schemeClr val="dk1"/>
                </a:solidFill>
                <a:latin typeface="+mn-lt"/>
                <a:ea typeface="+mn-ea"/>
                <a:cs typeface="+mn-cs"/>
              </a:rPr>
              <a:t>  </a:t>
            </a:r>
            <a:endParaRPr lang="en-GB" sz="1100">
              <a:solidFill>
                <a:schemeClr val="dk1"/>
              </a:solidFill>
              <a:latin typeface="+mn-lt"/>
              <a:ea typeface="+mn-ea"/>
              <a:cs typeface="+mn-cs"/>
            </a:endParaRPr>
          </a:p>
          <a:p>
            <a:r>
              <a:rPr lang="es-US" sz="1100" b="1">
                <a:solidFill>
                  <a:schemeClr val="dk1"/>
                </a:solidFill>
                <a:latin typeface="+mn-lt"/>
                <a:ea typeface="+mn-ea"/>
                <a:cs typeface="+mn-cs"/>
              </a:rPr>
              <a:t>VISUALIZACIÓN</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En esta pestaña se puede observar una representación gráfica de los indicadores por ciudad con una opción para hacerlo en un mapa y otra para verlo en una gráfico 3D. El usuario puede cambiar la ponderación o pesos dados cada indicador menú de </a:t>
            </a:r>
            <a:r>
              <a:rPr lang="es-US" sz="1100" b="1">
                <a:solidFill>
                  <a:schemeClr val="dk1"/>
                </a:solidFill>
                <a:latin typeface="+mn-lt"/>
                <a:ea typeface="+mn-ea"/>
                <a:cs typeface="+mn-cs"/>
              </a:rPr>
              <a:t>Visualización</a:t>
            </a:r>
            <a:r>
              <a:rPr lang="es-US" sz="1100">
                <a:solidFill>
                  <a:schemeClr val="dk1"/>
                </a:solidFill>
                <a:latin typeface="+mn-lt"/>
                <a:ea typeface="+mn-ea"/>
                <a:cs typeface="+mn-cs"/>
              </a:rPr>
              <a:t>.</a:t>
            </a:r>
            <a:endParaRPr lang="en-GB" sz="1100">
              <a:solidFill>
                <a:schemeClr val="dk1"/>
              </a:solidFill>
              <a:latin typeface="+mn-lt"/>
              <a:ea typeface="+mn-ea"/>
              <a:cs typeface="+mn-cs"/>
            </a:endParaRPr>
          </a:p>
          <a:p>
            <a:r>
              <a:rPr lang="es-US" sz="1100">
                <a:solidFill>
                  <a:schemeClr val="dk1"/>
                </a:solidFill>
                <a:latin typeface="+mn-lt"/>
                <a:ea typeface="+mn-ea"/>
                <a:cs typeface="+mn-cs"/>
              </a:rPr>
              <a:t>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Mapa</a:t>
            </a:r>
            <a:r>
              <a:rPr lang="es-AR" sz="1100">
                <a:solidFill>
                  <a:schemeClr val="dk1"/>
                </a:solidFill>
                <a:latin typeface="+mn-lt"/>
                <a:ea typeface="+mn-ea"/>
                <a:cs typeface="+mn-cs"/>
              </a:rPr>
              <a:t>: En esta visualización, cada ciudad está representada por un círculo que cambiará de color o de </a:t>
            </a:r>
            <a:r>
              <a:rPr lang="es-US" sz="1100">
                <a:solidFill>
                  <a:schemeClr val="dk1"/>
                </a:solidFill>
                <a:latin typeface="+mn-lt"/>
                <a:ea typeface="+mn-ea"/>
                <a:cs typeface="+mn-cs"/>
              </a:rPr>
              <a:t>tamaña con los diferentes valores (dependiendo del </a:t>
            </a:r>
            <a:r>
              <a:rPr lang="es-US" sz="1100" b="1">
                <a:solidFill>
                  <a:schemeClr val="dk1"/>
                </a:solidFill>
                <a:latin typeface="+mn-lt"/>
                <a:ea typeface="+mn-ea"/>
                <a:cs typeface="+mn-cs"/>
              </a:rPr>
              <a:t>Modo de Visualización</a:t>
            </a:r>
            <a:r>
              <a:rPr lang="es-US" sz="1100">
                <a:solidFill>
                  <a:schemeClr val="dk1"/>
                </a:solidFill>
                <a:latin typeface="+mn-lt"/>
                <a:ea typeface="+mn-ea"/>
                <a:cs typeface="+mn-cs"/>
              </a:rPr>
              <a:t> seleccionado).  También podrá observar una gráfica de barras a su derecha con los puntajes para cada ciudad. El usuario podrá elegir si mostrar o no los nombres de las ciudades.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Visualización 3D</a:t>
            </a:r>
            <a:r>
              <a:rPr lang="es-AR" sz="1100">
                <a:solidFill>
                  <a:schemeClr val="dk1"/>
                </a:solidFill>
                <a:latin typeface="+mn-lt"/>
                <a:ea typeface="+mn-ea"/>
                <a:cs typeface="+mn-cs"/>
              </a:rPr>
              <a:t>: En este apartado, el usuario podrá comparar tridimensionalmente tres indicadores o dimensiones a la vez. El módulo también permite rotar la gráfica sobre sus ejes cartesianos, crear planos de corte adicionales y mover la gráfica. </a:t>
            </a:r>
            <a:endParaRPr lang="en-GB" sz="1100">
              <a:solidFill>
                <a:schemeClr val="dk1"/>
              </a:solidFill>
              <a:latin typeface="+mn-lt"/>
              <a:ea typeface="+mn-ea"/>
              <a:cs typeface="+mn-cs"/>
            </a:endParaRPr>
          </a:p>
          <a:p>
            <a:r>
              <a:rPr lang="es-US" sz="1100" b="1">
                <a:solidFill>
                  <a:schemeClr val="dk1"/>
                </a:solidFill>
                <a:latin typeface="+mn-lt"/>
                <a:ea typeface="+mn-ea"/>
                <a:cs typeface="+mn-cs"/>
              </a:rPr>
              <a:t> </a:t>
            </a:r>
            <a:endParaRPr lang="en-GB" sz="1100">
              <a:solidFill>
                <a:schemeClr val="dk1"/>
              </a:solidFill>
              <a:latin typeface="+mn-lt"/>
              <a:ea typeface="+mn-ea"/>
              <a:cs typeface="+mn-cs"/>
            </a:endParaRPr>
          </a:p>
          <a:p>
            <a:r>
              <a:rPr lang="es-US" sz="1100" b="1">
                <a:solidFill>
                  <a:schemeClr val="dk1"/>
                </a:solidFill>
                <a:latin typeface="+mn-lt"/>
                <a:ea typeface="+mn-ea"/>
                <a:cs typeface="+mn-cs"/>
              </a:rPr>
              <a:t>DATOS</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Muestra los datos recolectados para cada ciudad e indicadores, así como el puntaje normalizado,   los pesos o ponderaciones dadas a cada uno. Adicionalmente, usuario puede agregar geografías adicionales y colocarle sus puntajes</a:t>
            </a:r>
            <a:endParaRPr lang="en-GB" sz="1100">
              <a:solidFill>
                <a:schemeClr val="dk1"/>
              </a:solidFill>
              <a:latin typeface="+mn-lt"/>
              <a:ea typeface="+mn-ea"/>
              <a:cs typeface="+mn-cs"/>
            </a:endParaRPr>
          </a:p>
          <a:p>
            <a:pPr lvl="0"/>
            <a:endParaRPr lang="es-US" sz="1100">
              <a:solidFill>
                <a:schemeClr val="dk1"/>
              </a:solidFill>
              <a:latin typeface="+mn-lt"/>
              <a:ea typeface="+mn-ea"/>
              <a:cs typeface="+mn-cs"/>
            </a:endParaRPr>
          </a:p>
          <a:p>
            <a:pPr lvl="0">
              <a:lnSpc>
                <a:spcPct val="150000"/>
              </a:lnSpc>
            </a:pPr>
            <a:r>
              <a:rPr lang="es-US" sz="1100">
                <a:solidFill>
                  <a:schemeClr val="dk1"/>
                </a:solidFill>
                <a:latin typeface="+mn-lt"/>
                <a:ea typeface="+mn-ea"/>
                <a:cs typeface="+mn-cs"/>
              </a:rPr>
              <a:t>- </a:t>
            </a:r>
            <a:r>
              <a:rPr lang="es-US" sz="1100" u="sng">
                <a:solidFill>
                  <a:srgbClr val="004770"/>
                </a:solidFill>
                <a:latin typeface="+mn-lt"/>
                <a:ea typeface="+mn-ea"/>
                <a:cs typeface="+mn-cs"/>
              </a:rPr>
              <a:t>Datos y puntaje</a:t>
            </a:r>
            <a:r>
              <a:rPr lang="es-US" sz="1100">
                <a:solidFill>
                  <a:schemeClr val="dk1"/>
                </a:solidFill>
                <a:latin typeface="+mn-lt"/>
                <a:ea typeface="+mn-ea"/>
                <a:cs typeface="+mn-cs"/>
              </a:rPr>
              <a:t>: Muestra los datos recolectados para cada ciudad e indicadores </a:t>
            </a:r>
            <a:r>
              <a:rPr lang="es-US" sz="1100" b="1">
                <a:solidFill>
                  <a:schemeClr val="dk1"/>
                </a:solidFill>
                <a:latin typeface="+mn-lt"/>
                <a:ea typeface="+mn-ea"/>
                <a:cs typeface="+mn-cs"/>
              </a:rPr>
              <a:t>Datos</a:t>
            </a:r>
            <a:r>
              <a:rPr lang="es-US" sz="1100">
                <a:solidFill>
                  <a:schemeClr val="dk1"/>
                </a:solidFill>
                <a:latin typeface="+mn-lt"/>
                <a:ea typeface="+mn-ea"/>
                <a:cs typeface="+mn-cs"/>
              </a:rPr>
              <a:t>, así como el puntaje transformado a una escala de 0-100, </a:t>
            </a:r>
            <a:r>
              <a:rPr lang="es-US" sz="1100" b="1">
                <a:solidFill>
                  <a:schemeClr val="dk1"/>
                </a:solidFill>
                <a:latin typeface="+mn-lt"/>
                <a:ea typeface="+mn-ea"/>
                <a:cs typeface="+mn-cs"/>
              </a:rPr>
              <a:t>Puntaje</a:t>
            </a:r>
            <a:r>
              <a:rPr lang="es-US" sz="1100">
                <a:solidFill>
                  <a:schemeClr val="dk1"/>
                </a:solidFill>
                <a:latin typeface="+mn-lt"/>
                <a:ea typeface="+mn-ea"/>
                <a:cs typeface="+mn-cs"/>
              </a:rPr>
              <a:t>.  </a:t>
            </a:r>
            <a:endParaRPr lang="en-GB" sz="1100">
              <a:solidFill>
                <a:schemeClr val="dk1"/>
              </a:solidFill>
              <a:latin typeface="+mn-lt"/>
              <a:ea typeface="+mn-ea"/>
              <a:cs typeface="+mn-cs"/>
            </a:endParaRPr>
          </a:p>
          <a:p>
            <a:pPr lvl="0">
              <a:lnSpc>
                <a:spcPct val="150000"/>
              </a:lnSpc>
            </a:pPr>
            <a:r>
              <a:rPr lang="es-US" sz="1100">
                <a:solidFill>
                  <a:schemeClr val="dk1"/>
                </a:solidFill>
                <a:latin typeface="+mn-lt"/>
                <a:ea typeface="+mn-ea"/>
                <a:cs typeface="+mn-cs"/>
              </a:rPr>
              <a:t>- </a:t>
            </a:r>
            <a:r>
              <a:rPr lang="es-US" sz="1100" u="sng">
                <a:solidFill>
                  <a:srgbClr val="004770"/>
                </a:solidFill>
                <a:latin typeface="+mn-lt"/>
                <a:ea typeface="+mn-ea"/>
                <a:cs typeface="+mn-cs"/>
              </a:rPr>
              <a:t>Ponderaciones</a:t>
            </a:r>
            <a:r>
              <a:rPr lang="es-US" sz="1100">
                <a:solidFill>
                  <a:schemeClr val="dk1"/>
                </a:solidFill>
                <a:latin typeface="+mn-lt"/>
                <a:ea typeface="+mn-ea"/>
                <a:cs typeface="+mn-cs"/>
              </a:rPr>
              <a:t>: Se presentan dos escenarios de ponderaciones construidos en el modelo. A su vez, el usuario puede construir sus propios modelos eligiendo las ponderaciones que desee.</a:t>
            </a:r>
            <a:endParaRPr lang="en-GB" sz="1100">
              <a:solidFill>
                <a:schemeClr val="dk1"/>
              </a:solidFill>
              <a:latin typeface="+mn-lt"/>
              <a:ea typeface="+mn-ea"/>
              <a:cs typeface="+mn-cs"/>
            </a:endParaRPr>
          </a:p>
          <a:p>
            <a:pPr lvl="0">
              <a:lnSpc>
                <a:spcPct val="150000"/>
              </a:lnSpc>
            </a:pPr>
            <a:r>
              <a:rPr lang="es-US" sz="1100">
                <a:solidFill>
                  <a:schemeClr val="dk1"/>
                </a:solidFill>
                <a:latin typeface="+mn-lt"/>
                <a:ea typeface="+mn-ea"/>
                <a:cs typeface="+mn-cs"/>
              </a:rPr>
              <a:t>- </a:t>
            </a:r>
            <a:r>
              <a:rPr lang="es-US" sz="1100" u="sng">
                <a:solidFill>
                  <a:srgbClr val="004770"/>
                </a:solidFill>
                <a:latin typeface="+mn-lt"/>
                <a:ea typeface="+mn-ea"/>
                <a:cs typeface="+mn-cs"/>
              </a:rPr>
              <a:t>Añadir Ciudades</a:t>
            </a:r>
            <a:r>
              <a:rPr lang="es-US" sz="1100">
                <a:solidFill>
                  <a:schemeClr val="dk1"/>
                </a:solidFill>
                <a:latin typeface="+mn-lt"/>
                <a:ea typeface="+mn-ea"/>
                <a:cs typeface="+mn-cs"/>
              </a:rPr>
              <a:t>: El usuario puede agregar 10 geografías adicionales y colocarle sus puntajes.</a:t>
            </a:r>
            <a:endParaRPr lang="en-GB" sz="1100">
              <a:solidFill>
                <a:schemeClr val="dk1"/>
              </a:solidFill>
              <a:latin typeface="+mn-lt"/>
              <a:ea typeface="+mn-ea"/>
              <a:cs typeface="+mn-cs"/>
            </a:endParaRPr>
          </a:p>
          <a:p>
            <a:pPr algn="l"/>
            <a:endParaRPr lang="en-GB" sz="1100" b="1">
              <a:latin typeface="+mn-lt"/>
              <a:ea typeface="Karla" pitchFamily="2" charset="0"/>
            </a:endParaRPr>
          </a:p>
        </xdr:txBody>
      </xdr:sp>
      <xdr:sp macro="[0]!LBChanger" textlink="">
        <xdr:nvSpPr>
          <xdr:cNvPr id="34" name="Summary"/>
          <xdr:cNvSpPr txBox="1"/>
        </xdr:nvSpPr>
        <xdr:spPr>
          <a:xfrm>
            <a:off x="323851" y="3971925"/>
            <a:ext cx="990599" cy="22860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48" name="CCompare"/>
          <xdr:cNvSpPr txBox="1"/>
        </xdr:nvSpPr>
        <xdr:spPr>
          <a:xfrm>
            <a:off x="352426" y="4238625"/>
            <a:ext cx="1181099" cy="219075"/>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49" name="Definiciones"/>
          <xdr:cNvSpPr txBox="1"/>
        </xdr:nvSpPr>
        <xdr:spPr>
          <a:xfrm>
            <a:off x="361952" y="5334000"/>
            <a:ext cx="771524"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0" name="Resumen_Ciudad"/>
          <xdr:cNvSpPr txBox="1"/>
        </xdr:nvSpPr>
        <xdr:spPr>
          <a:xfrm>
            <a:off x="352426" y="5581650"/>
            <a:ext cx="1038223"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1" name="CDescription"/>
          <xdr:cNvSpPr txBox="1"/>
        </xdr:nvSpPr>
        <xdr:spPr>
          <a:xfrm>
            <a:off x="371476" y="5838825"/>
            <a:ext cx="140969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2" name="C_Additional_Desc"/>
          <xdr:cNvSpPr txBox="1"/>
        </xdr:nvSpPr>
        <xdr:spPr>
          <a:xfrm>
            <a:off x="371476" y="6105525"/>
            <a:ext cx="140969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3" name="1. Map"/>
          <xdr:cNvSpPr txBox="1"/>
        </xdr:nvSpPr>
        <xdr:spPr>
          <a:xfrm>
            <a:off x="361951" y="7372350"/>
            <a:ext cx="38099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4" name="3DPlot"/>
          <xdr:cNvSpPr txBox="1"/>
        </xdr:nvSpPr>
        <xdr:spPr>
          <a:xfrm>
            <a:off x="352426" y="7896225"/>
            <a:ext cx="97154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5" name="DataDisplay"/>
          <xdr:cNvSpPr txBox="1"/>
        </xdr:nvSpPr>
        <xdr:spPr>
          <a:xfrm>
            <a:off x="371476" y="9248775"/>
            <a:ext cx="97154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6" name="Weights"/>
          <xdr:cNvSpPr txBox="1"/>
        </xdr:nvSpPr>
        <xdr:spPr>
          <a:xfrm>
            <a:off x="352426" y="9505950"/>
            <a:ext cx="97154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7" name="UserDataIn"/>
          <xdr:cNvSpPr txBox="1"/>
        </xdr:nvSpPr>
        <xdr:spPr>
          <a:xfrm>
            <a:off x="352426" y="9772650"/>
            <a:ext cx="97154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grpSp>
    <xdr:clientData/>
  </xdr:twoCellAnchor>
  <xdr:twoCellAnchor editAs="absolute">
    <xdr:from>
      <xdr:col>1</xdr:col>
      <xdr:colOff>76200</xdr:colOff>
      <xdr:row>51</xdr:row>
      <xdr:rowOff>19050</xdr:rowOff>
    </xdr:from>
    <xdr:to>
      <xdr:col>2</xdr:col>
      <xdr:colOff>204074</xdr:colOff>
      <xdr:row>52</xdr:row>
      <xdr:rowOff>19049</xdr:rowOff>
    </xdr:to>
    <xdr:sp macro="[0]!returntop" textlink="lang!C112">
      <xdr:nvSpPr>
        <xdr:cNvPr id="59" name="go_top"/>
        <xdr:cNvSpPr txBox="1"/>
      </xdr:nvSpPr>
      <xdr:spPr>
        <a:xfrm>
          <a:off x="209550" y="10258425"/>
          <a:ext cx="813674" cy="16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clientData fPrintsWithSheet="0"/>
  </xdr:twoCellAnchor>
  <xdr:twoCellAnchor editAs="absolute">
    <xdr:from>
      <xdr:col>0</xdr:col>
      <xdr:colOff>0</xdr:colOff>
      <xdr:row>0</xdr:row>
      <xdr:rowOff>0</xdr:rowOff>
    </xdr:from>
    <xdr:to>
      <xdr:col>21</xdr:col>
      <xdr:colOff>171449</xdr:colOff>
      <xdr:row>3</xdr:row>
      <xdr:rowOff>10773</xdr:rowOff>
    </xdr:to>
    <xdr:grpSp>
      <xdr:nvGrpSpPr>
        <xdr:cNvPr id="29" name="MENU"/>
        <xdr:cNvGrpSpPr/>
      </xdr:nvGrpSpPr>
      <xdr:grpSpPr>
        <a:xfrm>
          <a:off x="0" y="0"/>
          <a:ext cx="13673137" cy="1534773"/>
          <a:chOff x="0" y="0"/>
          <a:chExt cx="13706474" cy="1534773"/>
        </a:xfrm>
      </xdr:grpSpPr>
      <xdr:sp macro="" textlink="">
        <xdr:nvSpPr>
          <xdr:cNvPr id="30" name="nav_controls"/>
          <xdr:cNvSpPr/>
        </xdr:nvSpPr>
        <xdr:spPr>
          <a:xfrm>
            <a:off x="13608" y="3437"/>
            <a:ext cx="13692866"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31" name="Summary"/>
          <xdr:cNvSpPr/>
        </xdr:nvSpPr>
        <xdr:spPr>
          <a:xfrm>
            <a:off x="860616" y="321659"/>
            <a:ext cx="3208667"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32" name="Home1"/>
          <xdr:cNvSpPr/>
        </xdr:nvSpPr>
        <xdr:spPr>
          <a:xfrm>
            <a:off x="0" y="322717"/>
            <a:ext cx="860380" cy="367756"/>
          </a:xfrm>
          <a:prstGeom prst="rect">
            <a:avLst/>
          </a:prstGeom>
          <a:solidFill>
            <a:schemeClr val="bg1"/>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33" name="Home" descr="Home.png"/>
          <xdr:cNvPicPr>
            <a:picLocks noChangeAspect="1"/>
          </xdr:cNvPicPr>
        </xdr:nvPicPr>
        <xdr:blipFill>
          <a:blip xmlns:r="http://schemas.openxmlformats.org/officeDocument/2006/relationships" r:embed="rId1" cstate="print"/>
          <a:stretch>
            <a:fillRect/>
          </a:stretch>
        </xdr:blipFill>
        <xdr:spPr>
          <a:xfrm>
            <a:off x="77390" y="329546"/>
            <a:ext cx="352490" cy="345662"/>
          </a:xfrm>
          <a:prstGeom prst="rect">
            <a:avLst/>
          </a:prstGeom>
          <a:solidFill>
            <a:schemeClr val="bg1"/>
          </a:solidFill>
        </xdr:spPr>
      </xdr:pic>
      <xdr:pic macro="[0]!Navigate_GoBack">
        <xdr:nvPicPr>
          <xdr:cNvPr id="60" name="Picture 59" descr="Silver-Back-Button.png"/>
          <xdr:cNvPicPr>
            <a:picLocks noChangeAspect="1"/>
          </xdr:cNvPicPr>
        </xdr:nvPicPr>
        <xdr:blipFill>
          <a:blip xmlns:r="http://schemas.openxmlformats.org/officeDocument/2006/relationships" r:embed="rId2" cstate="print"/>
          <a:stretch>
            <a:fillRect/>
          </a:stretch>
        </xdr:blipFill>
        <xdr:spPr>
          <a:xfrm>
            <a:off x="482965" y="329545"/>
            <a:ext cx="341166" cy="344887"/>
          </a:xfrm>
          <a:prstGeom prst="rect">
            <a:avLst/>
          </a:prstGeom>
          <a:solidFill>
            <a:schemeClr val="bg1"/>
          </a:solidFill>
        </xdr:spPr>
      </xdr:pic>
      <xdr:sp macro="[0]!LBChanger" textlink="lang!C6">
        <xdr:nvSpPr>
          <xdr:cNvPr id="61" name="Definiciones"/>
          <xdr:cNvSpPr/>
        </xdr:nvSpPr>
        <xdr:spPr>
          <a:xfrm>
            <a:off x="4067930" y="321659"/>
            <a:ext cx="321247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62" name="1. Map"/>
          <xdr:cNvSpPr/>
        </xdr:nvSpPr>
        <xdr:spPr>
          <a:xfrm>
            <a:off x="7270820" y="321659"/>
            <a:ext cx="321111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63" name="DataDisplay"/>
          <xdr:cNvSpPr/>
        </xdr:nvSpPr>
        <xdr:spPr>
          <a:xfrm>
            <a:off x="10478116" y="321659"/>
            <a:ext cx="321111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64" name="Head"/>
          <xdr:cNvSpPr/>
        </xdr:nvSpPr>
        <xdr:spPr>
          <a:xfrm>
            <a:off x="3385" y="0"/>
            <a:ext cx="13693563"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9">
        <xdr:nvSpPr>
          <xdr:cNvPr id="65" name="about"/>
          <xdr:cNvSpPr/>
        </xdr:nvSpPr>
        <xdr:spPr>
          <a:xfrm>
            <a:off x="3" y="683448"/>
            <a:ext cx="2174421"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82BE7A5-9CB6-4935-A262-081ED7A5579F}" type="TxLink">
              <a:rPr lang="en-US" sz="1200" b="0" i="0" u="none" strike="noStrike">
                <a:solidFill>
                  <a:schemeClr val="bg1"/>
                </a:solidFill>
                <a:latin typeface="Calibri"/>
                <a:cs typeface="Calibri"/>
              </a:rPr>
              <a:pPr algn="ctr"/>
              <a:t>EXPLICACIÓN DEL MODELO</a:t>
            </a:fld>
            <a:endParaRPr lang="en-GB" b="1">
              <a:solidFill>
                <a:schemeClr val="bg1"/>
              </a:solidFill>
            </a:endParaRPr>
          </a:p>
        </xdr:txBody>
      </xdr:sp>
      <xdr:pic macro="[0]!Generate_PDF">
        <xdr:nvPicPr>
          <xdr:cNvPr id="66"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294556" y="1119831"/>
            <a:ext cx="340907" cy="331761"/>
          </a:xfrm>
          <a:prstGeom prst="rect">
            <a:avLst/>
          </a:prstGeom>
          <a:noFill/>
          <a:ln w="9525">
            <a:noFill/>
            <a:miter lim="800000"/>
            <a:headEnd/>
            <a:tailEnd/>
          </a:ln>
        </xdr:spPr>
      </xdr:pic>
      <xdr:pic macro="[0]!Generate_XL">
        <xdr:nvPicPr>
          <xdr:cNvPr id="67"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34950" y="1038225"/>
            <a:ext cx="343099" cy="436897"/>
          </a:xfrm>
          <a:prstGeom prst="rect">
            <a:avLst/>
          </a:prstGeom>
        </xdr:spPr>
      </xdr:pic>
    </xdr:grp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26</xdr:col>
      <xdr:colOff>244985</xdr:colOff>
      <xdr:row>3</xdr:row>
      <xdr:rowOff>53041</xdr:rowOff>
    </xdr:to>
    <xdr:grpSp>
      <xdr:nvGrpSpPr>
        <xdr:cNvPr id="31" name="MENU"/>
        <xdr:cNvGrpSpPr/>
      </xdr:nvGrpSpPr>
      <xdr:grpSpPr>
        <a:xfrm>
          <a:off x="0" y="0"/>
          <a:ext cx="13782391" cy="1577041"/>
          <a:chOff x="614" y="4238"/>
          <a:chExt cx="13770485" cy="1577041"/>
        </a:xfrm>
      </xdr:grpSpPr>
      <xdr:sp macro="" textlink="">
        <xdr:nvSpPr>
          <xdr:cNvPr id="66" name="nav_controls"/>
          <xdr:cNvSpPr/>
        </xdr:nvSpPr>
        <xdr:spPr>
          <a:xfrm>
            <a:off x="614" y="4238"/>
            <a:ext cx="13762764"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
        <xdr:nvSpPr>
          <xdr:cNvPr id="67" name="Summary1"/>
          <xdr:cNvSpPr/>
        </xdr:nvSpPr>
        <xdr:spPr>
          <a:xfrm>
            <a:off x="866220" y="323518"/>
            <a:ext cx="3225046" cy="367756"/>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bg1"/>
                </a:solidFill>
                <a:latin typeface="Arial" pitchFamily="34" charset="0"/>
                <a:ea typeface="Karla" pitchFamily="2" charset="0"/>
                <a:cs typeface="Arial" pitchFamily="34" charset="0"/>
              </a:rPr>
              <a:t>EXPLORAR INDICADORES</a:t>
            </a:r>
          </a:p>
        </xdr:txBody>
      </xdr:sp>
      <xdr:sp macro="" textlink="">
        <xdr:nvSpPr>
          <xdr:cNvPr id="68" name="Home1"/>
          <xdr:cNvSpPr/>
        </xdr:nvSpPr>
        <xdr:spPr>
          <a:xfrm>
            <a:off x="4232" y="323518"/>
            <a:ext cx="864772" cy="367756"/>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69" name="Home" descr="Home.png"/>
          <xdr:cNvPicPr>
            <a:picLocks noChangeAspect="1"/>
          </xdr:cNvPicPr>
        </xdr:nvPicPr>
        <xdr:blipFill>
          <a:blip xmlns:r="http://schemas.openxmlformats.org/officeDocument/2006/relationships" r:embed="rId1" cstate="print"/>
          <a:stretch>
            <a:fillRect/>
          </a:stretch>
        </xdr:blipFill>
        <xdr:spPr>
          <a:xfrm>
            <a:off x="82017" y="330347"/>
            <a:ext cx="354289" cy="345662"/>
          </a:xfrm>
          <a:prstGeom prst="rect">
            <a:avLst/>
          </a:prstGeom>
        </xdr:spPr>
      </xdr:pic>
      <xdr:pic macro="[0]!Navigate_GoBack">
        <xdr:nvPicPr>
          <xdr:cNvPr id="70" name="Picture 69" descr="Silver-Back-Button.png"/>
          <xdr:cNvPicPr>
            <a:picLocks noChangeAspect="1"/>
          </xdr:cNvPicPr>
        </xdr:nvPicPr>
        <xdr:blipFill>
          <a:blip xmlns:r="http://schemas.openxmlformats.org/officeDocument/2006/relationships" r:embed="rId2" cstate="print"/>
          <a:stretch>
            <a:fillRect/>
          </a:stretch>
        </xdr:blipFill>
        <xdr:spPr>
          <a:xfrm>
            <a:off x="489663" y="330346"/>
            <a:ext cx="342908" cy="344887"/>
          </a:xfrm>
          <a:prstGeom prst="rect">
            <a:avLst/>
          </a:prstGeom>
        </xdr:spPr>
      </xdr:pic>
      <xdr:sp macro="[0]!LBChanger" textlink="lang!C6">
        <xdr:nvSpPr>
          <xdr:cNvPr id="71" name="Definiciones"/>
          <xdr:cNvSpPr/>
        </xdr:nvSpPr>
        <xdr:spPr>
          <a:xfrm>
            <a:off x="4092938" y="327751"/>
            <a:ext cx="322887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72" name="1. Map"/>
          <xdr:cNvSpPr/>
        </xdr:nvSpPr>
        <xdr:spPr>
          <a:xfrm>
            <a:off x="7313176" y="327751"/>
            <a:ext cx="3227506"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73" name="DataDisplay"/>
          <xdr:cNvSpPr/>
        </xdr:nvSpPr>
        <xdr:spPr>
          <a:xfrm>
            <a:off x="10536844" y="327751"/>
            <a:ext cx="3227507"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74" name="header"/>
          <xdr:cNvSpPr/>
        </xdr:nvSpPr>
        <xdr:spPr>
          <a:xfrm>
            <a:off x="7635" y="10326"/>
            <a:ext cx="13763464"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16">
        <xdr:nvSpPr>
          <xdr:cNvPr id="64" name="Summary"/>
          <xdr:cNvSpPr/>
        </xdr:nvSpPr>
        <xdr:spPr>
          <a:xfrm>
            <a:off x="176462" y="692950"/>
            <a:ext cx="2170164"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494B76-10DA-4F56-8A88-EE1328EBE278}" type="TxLink">
              <a:rPr lang="en-US" sz="1100" b="1" i="0" u="none" strike="noStrike">
                <a:solidFill>
                  <a:schemeClr val="bg1"/>
                </a:solidFill>
                <a:latin typeface="Calibri"/>
                <a:cs typeface="DilleniaUPC" pitchFamily="18" charset="-34"/>
              </a:rPr>
              <a:pPr algn="ctr"/>
              <a:t>RESUMEN</a:t>
            </a:fld>
            <a:endParaRPr lang="en-GB" sz="1200" b="1">
              <a:solidFill>
                <a:schemeClr val="bg1"/>
              </a:solidFill>
              <a:latin typeface="+mn-lt"/>
              <a:cs typeface="DilleniaUPC" pitchFamily="18" charset="-34"/>
            </a:endParaRPr>
          </a:p>
        </xdr:txBody>
      </xdr:sp>
      <xdr:sp macro="[0]!LBChanger" textlink="lang!C23">
        <xdr:nvSpPr>
          <xdr:cNvPr id="65" name="CCompare"/>
          <xdr:cNvSpPr/>
        </xdr:nvSpPr>
        <xdr:spPr>
          <a:xfrm>
            <a:off x="2346645" y="695071"/>
            <a:ext cx="2171228" cy="270257"/>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8CCED62-08B5-468A-8340-41C813923B29}" type="TxLink">
              <a:rPr lang="en-US" sz="1100" b="1" i="0" u="none" strike="noStrike">
                <a:solidFill>
                  <a:srgbClr val="004770"/>
                </a:solidFill>
                <a:latin typeface="Calibri"/>
                <a:cs typeface="DilleniaUPC" pitchFamily="18" charset="-34"/>
              </a:rPr>
              <a:pPr algn="ctr"/>
              <a:t>COMPARAR CIUDADES</a:t>
            </a:fld>
            <a:endParaRPr lang="en-GB" sz="1400" b="1">
              <a:solidFill>
                <a:srgbClr val="004770"/>
              </a:solidFill>
              <a:latin typeface="+mn-lt"/>
              <a:cs typeface="DilleniaUPC" pitchFamily="18" charset="-34"/>
            </a:endParaRPr>
          </a:p>
        </xdr:txBody>
      </xdr:sp>
      <xdr:pic macro="[0]!Generate_PDF">
        <xdr:nvPicPr>
          <xdr:cNvPr id="61"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6781" y="1133583"/>
            <a:ext cx="340671" cy="331761"/>
          </a:xfrm>
          <a:prstGeom prst="rect">
            <a:avLst/>
          </a:prstGeom>
          <a:noFill/>
          <a:ln w="9525">
            <a:noFill/>
            <a:miter lim="800000"/>
            <a:headEnd/>
            <a:tailEnd/>
          </a:ln>
        </xdr:spPr>
      </xdr:pic>
      <xdr:pic macro="[0]!Generate_XL">
        <xdr:nvPicPr>
          <xdr:cNvPr id="62"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7424" y="1051977"/>
            <a:ext cx="342862" cy="436897"/>
          </a:xfrm>
          <a:prstGeom prst="rect">
            <a:avLst/>
          </a:prstGeom>
        </xdr:spPr>
      </xdr:pic>
      <xdr:sp macro="" textlink="lang!C49">
        <xdr:nvSpPr>
          <xdr:cNvPr id="49" name="lbl_cnt_City_1"/>
          <xdr:cNvSpPr txBox="1"/>
        </xdr:nvSpPr>
        <xdr:spPr>
          <a:xfrm>
            <a:off x="166543" y="1018689"/>
            <a:ext cx="1425018"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67B01413-B1E5-458C-959B-8820E4E21EE0}" type="TxLink">
              <a:rPr lang="en-US" sz="1100" b="0" i="0" u="none" strike="noStrike">
                <a:solidFill>
                  <a:srgbClr val="000000"/>
                </a:solidFill>
                <a:latin typeface="Calibri"/>
                <a:ea typeface="Karla" pitchFamily="2" charset="0"/>
                <a:cs typeface="Calibri"/>
              </a:rPr>
              <a:pPr/>
              <a:t>SELECCIONE CIUDAD</a:t>
            </a:fld>
            <a:endParaRPr lang="en-US" sz="1100" b="1" i="0" u="none" strike="noStrike">
              <a:solidFill>
                <a:sysClr val="windowText" lastClr="000000"/>
              </a:solidFill>
              <a:latin typeface="Calibri"/>
              <a:ea typeface="Karla" pitchFamily="2" charset="0"/>
            </a:endParaRPr>
          </a:p>
        </xdr:txBody>
      </xdr:sp>
      <xdr:sp macro="" textlink="lang!C42">
        <xdr:nvSpPr>
          <xdr:cNvPr id="51" name="lbl_cnt_City_1"/>
          <xdr:cNvSpPr txBox="1"/>
        </xdr:nvSpPr>
        <xdr:spPr>
          <a:xfrm>
            <a:off x="10444691" y="1018689"/>
            <a:ext cx="1220431"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56E2FE08-A902-428D-9C03-0473A5736A99}" type="TxLink">
              <a:rPr lang="en-US" sz="1100" b="1" i="0" u="none" strike="noStrike">
                <a:solidFill>
                  <a:sysClr val="windowText" lastClr="000000"/>
                </a:solidFill>
                <a:latin typeface="Calibri"/>
                <a:ea typeface="Karla" pitchFamily="2" charset="0"/>
                <a:cs typeface="Calibri"/>
              </a:rPr>
              <a:pPr algn="l"/>
              <a:t>PONDERACIÓN</a:t>
            </a:fld>
            <a:endParaRPr lang="en-GB" sz="1000" b="1">
              <a:solidFill>
                <a:sysClr val="windowText" lastClr="000000"/>
              </a:solidFill>
              <a:latin typeface="+mn-lt"/>
              <a:ea typeface="Karla" pitchFamily="2" charset="0"/>
            </a:endParaRPr>
          </a:p>
        </xdr:txBody>
      </xdr:sp>
      <xdr:sp macro="" textlink="_WeightProfile">
        <xdr:nvSpPr>
          <xdr:cNvPr id="35" name="Text Box 6"/>
          <xdr:cNvSpPr txBox="1">
            <a:spLocks noChangeArrowheads="1"/>
          </xdr:cNvSpPr>
        </xdr:nvSpPr>
        <xdr:spPr bwMode="auto">
          <a:xfrm>
            <a:off x="7137123" y="1237287"/>
            <a:ext cx="3638631" cy="343992"/>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mn-lt"/>
                <a:ea typeface="Karla" pitchFamily="2" charset="0"/>
                <a:cs typeface="Calibri"/>
              </a:rPr>
              <a:pPr algn="l" rtl="0">
                <a:defRPr sz="1000"/>
              </a:pPr>
              <a:t> </a:t>
            </a:fld>
            <a:endParaRPr lang="en-GB" sz="1000" b="0" i="1" u="none" strike="noStrike" baseline="0">
              <a:solidFill>
                <a:schemeClr val="tx1">
                  <a:lumMod val="65000"/>
                  <a:lumOff val="35000"/>
                </a:schemeClr>
              </a:solidFill>
              <a:latin typeface="+mn-lt"/>
              <a:ea typeface="Karla" pitchFamily="2" charset="0"/>
            </a:endParaRPr>
          </a:p>
        </xdr:txBody>
      </xdr:sp>
      <xdr:pic macro="[0]!CntCHLUp">
        <xdr:nvPicPr>
          <xdr:cNvPr id="36" name="cnt_series_up2" descr="scroll_up_small.png"/>
          <xdr:cNvPicPr>
            <a:picLocks noChangeAspect="1"/>
          </xdr:cNvPicPr>
        </xdr:nvPicPr>
        <xdr:blipFill>
          <a:blip xmlns:r="http://schemas.openxmlformats.org/officeDocument/2006/relationships" r:embed="rId6" cstate="print"/>
          <a:stretch>
            <a:fillRect/>
          </a:stretch>
        </xdr:blipFill>
        <xdr:spPr>
          <a:xfrm>
            <a:off x="1636106" y="1263314"/>
            <a:ext cx="304001" cy="124264"/>
          </a:xfrm>
          <a:prstGeom prst="rect">
            <a:avLst/>
          </a:prstGeom>
        </xdr:spPr>
      </xdr:pic>
      <xdr:pic macro="[0]!CntCHLDown">
        <xdr:nvPicPr>
          <xdr:cNvPr id="37" name="cnt_series_down2" descr="scroll_down_small.png"/>
          <xdr:cNvPicPr>
            <a:picLocks noChangeAspect="1"/>
          </xdr:cNvPicPr>
        </xdr:nvPicPr>
        <xdr:blipFill>
          <a:blip xmlns:r="http://schemas.openxmlformats.org/officeDocument/2006/relationships" r:embed="rId7" cstate="print"/>
          <a:stretch>
            <a:fillRect/>
          </a:stretch>
        </xdr:blipFill>
        <xdr:spPr>
          <a:xfrm>
            <a:off x="1636106" y="1385632"/>
            <a:ext cx="303920" cy="95526"/>
          </a:xfrm>
          <a:prstGeom prst="rect">
            <a:avLst/>
          </a:prstGeom>
        </xdr:spPr>
      </xdr:pic>
    </xdr:grpSp>
    <xdr:clientData fPrintsWithSheet="0"/>
  </xdr:twoCellAnchor>
  <xdr:twoCellAnchor editAs="oneCell">
    <xdr:from>
      <xdr:col>15</xdr:col>
      <xdr:colOff>379098</xdr:colOff>
      <xdr:row>3</xdr:row>
      <xdr:rowOff>123066</xdr:rowOff>
    </xdr:from>
    <xdr:to>
      <xdr:col>22</xdr:col>
      <xdr:colOff>6371</xdr:colOff>
      <xdr:row>4</xdr:row>
      <xdr:rowOff>159268</xdr:rowOff>
    </xdr:to>
    <xdr:grpSp>
      <xdr:nvGrpSpPr>
        <xdr:cNvPr id="20" name="Group 19"/>
        <xdr:cNvGrpSpPr/>
      </xdr:nvGrpSpPr>
      <xdr:grpSpPr>
        <a:xfrm>
          <a:off x="8820629" y="1647066"/>
          <a:ext cx="4175461" cy="226702"/>
          <a:chOff x="3673929" y="2286000"/>
          <a:chExt cx="3429000" cy="231322"/>
        </a:xfrm>
      </xdr:grpSpPr>
      <xdr:sp macro="" textlink="lang!C108">
        <xdr:nvSpPr>
          <xdr:cNvPr id="22" name="TextBox 21"/>
          <xdr:cNvSpPr txBox="1"/>
        </xdr:nvSpPr>
        <xdr:spPr>
          <a:xfrm>
            <a:off x="3673929" y="2288721"/>
            <a:ext cx="857250" cy="228600"/>
          </a:xfrm>
          <a:prstGeom prst="rect">
            <a:avLst/>
          </a:prstGeom>
          <a:solidFill>
            <a:srgbClr val="D7191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pPr algn="ctr"/>
            <a:fld id="{E70345D9-E9FF-44A0-B7D6-9A4EA28E0757}" type="TxLink">
              <a:rPr lang="en-US" sz="1100" b="0" i="0" u="none" strike="noStrike">
                <a:solidFill>
                  <a:schemeClr val="bg1"/>
                </a:solidFill>
                <a:latin typeface="Calibri"/>
                <a:ea typeface="Karla" pitchFamily="2" charset="0"/>
                <a:cs typeface="Calibri"/>
              </a:rPr>
              <a:pPr algn="ctr"/>
              <a:t>Puntaje 0-25</a:t>
            </a:fld>
            <a:endParaRPr lang="en-GB" sz="1100">
              <a:solidFill>
                <a:schemeClr val="bg1"/>
              </a:solidFill>
              <a:latin typeface="+mn-lt"/>
              <a:ea typeface="Karla" pitchFamily="2" charset="0"/>
            </a:endParaRPr>
          </a:p>
        </xdr:txBody>
      </xdr:sp>
      <xdr:sp macro="" textlink="lang!C111">
        <xdr:nvSpPr>
          <xdr:cNvPr id="25" name="TextBox 24"/>
          <xdr:cNvSpPr txBox="1"/>
        </xdr:nvSpPr>
        <xdr:spPr>
          <a:xfrm>
            <a:off x="6245679" y="2288721"/>
            <a:ext cx="857250" cy="228600"/>
          </a:xfrm>
          <a:prstGeom prst="rect">
            <a:avLst/>
          </a:prstGeom>
          <a:solidFill>
            <a:srgbClr val="1A964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pPr algn="ctr"/>
            <a:fld id="{980085C1-B529-4272-BBA0-10D57DA93AC8}" type="TxLink">
              <a:rPr lang="en-US" sz="1100" b="0" i="0" u="none" strike="noStrike">
                <a:solidFill>
                  <a:schemeClr val="bg1"/>
                </a:solidFill>
                <a:latin typeface="Calibri"/>
                <a:ea typeface="Karla" pitchFamily="2" charset="0"/>
                <a:cs typeface="Calibri"/>
              </a:rPr>
              <a:pPr algn="ctr"/>
              <a:t>Puntaje 76-100</a:t>
            </a:fld>
            <a:endParaRPr lang="en-GB" sz="1100">
              <a:solidFill>
                <a:schemeClr val="bg1"/>
              </a:solidFill>
              <a:latin typeface="+mn-lt"/>
              <a:ea typeface="Karla" pitchFamily="2" charset="0"/>
            </a:endParaRPr>
          </a:p>
        </xdr:txBody>
      </xdr:sp>
      <xdr:sp macro="" textlink="lang!C109">
        <xdr:nvSpPr>
          <xdr:cNvPr id="26" name="TextBox 25"/>
          <xdr:cNvSpPr txBox="1"/>
        </xdr:nvSpPr>
        <xdr:spPr>
          <a:xfrm>
            <a:off x="4531179" y="2288721"/>
            <a:ext cx="857250" cy="228600"/>
          </a:xfrm>
          <a:prstGeom prst="rect">
            <a:avLst/>
          </a:prstGeom>
          <a:solidFill>
            <a:srgbClr val="FDAE6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pPr algn="ctr"/>
            <a:fld id="{C2983ED6-BAB2-4AAE-A7AE-C95DE2F087A6}" type="TxLink">
              <a:rPr lang="en-US" sz="1100" b="0" i="0" u="none" strike="noStrike">
                <a:solidFill>
                  <a:srgbClr val="000000"/>
                </a:solidFill>
                <a:latin typeface="Calibri"/>
                <a:ea typeface="Karla" pitchFamily="2" charset="0"/>
                <a:cs typeface="Calibri"/>
              </a:rPr>
              <a:pPr algn="ctr"/>
              <a:t>Puntaje 26-50</a:t>
            </a:fld>
            <a:endParaRPr lang="en-GB" sz="1100">
              <a:latin typeface="+mn-lt"/>
              <a:ea typeface="Karla" pitchFamily="2" charset="0"/>
            </a:endParaRPr>
          </a:p>
        </xdr:txBody>
      </xdr:sp>
      <xdr:sp macro="" textlink="lang!C110">
        <xdr:nvSpPr>
          <xdr:cNvPr id="27" name="TextBox 26"/>
          <xdr:cNvSpPr txBox="1"/>
        </xdr:nvSpPr>
        <xdr:spPr>
          <a:xfrm>
            <a:off x="5388429" y="2286000"/>
            <a:ext cx="857250" cy="231322"/>
          </a:xfrm>
          <a:prstGeom prst="rect">
            <a:avLst/>
          </a:prstGeom>
          <a:solidFill>
            <a:srgbClr val="A6D96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pPr algn="ctr"/>
            <a:fld id="{5F239A4A-3EC2-430A-9AE9-B9F26041FE75}" type="TxLink">
              <a:rPr lang="en-US" sz="1100" b="0" i="0" u="none" strike="noStrike">
                <a:solidFill>
                  <a:srgbClr val="000000"/>
                </a:solidFill>
                <a:latin typeface="Calibri"/>
                <a:ea typeface="Karla" pitchFamily="2" charset="0"/>
                <a:cs typeface="Calibri"/>
              </a:rPr>
              <a:pPr algn="ctr"/>
              <a:t>Puntaje 51-75</a:t>
            </a:fld>
            <a:endParaRPr lang="en-GB" sz="1100">
              <a:latin typeface="+mn-lt"/>
              <a:ea typeface="Karla" pitchFamily="2" charset="0"/>
            </a:endParaRPr>
          </a:p>
        </xdr:txBody>
      </xdr:sp>
    </xdr:grpSp>
    <xdr:clientData fPrintsWithSheet="0"/>
  </xdr:twoCellAnchor>
  <xdr:twoCellAnchor editAs="absolute">
    <xdr:from>
      <xdr:col>4</xdr:col>
      <xdr:colOff>87513</xdr:colOff>
      <xdr:row>32</xdr:row>
      <xdr:rowOff>95077</xdr:rowOff>
    </xdr:from>
    <xdr:to>
      <xdr:col>6</xdr:col>
      <xdr:colOff>491612</xdr:colOff>
      <xdr:row>33</xdr:row>
      <xdr:rowOff>85724</xdr:rowOff>
    </xdr:to>
    <xdr:sp macro="[0]!returntop" textlink="lang!C112">
      <xdr:nvSpPr>
        <xdr:cNvPr id="17" name="go_top"/>
        <xdr:cNvSpPr txBox="1"/>
      </xdr:nvSpPr>
      <xdr:spPr>
        <a:xfrm>
          <a:off x="718544" y="7191202"/>
          <a:ext cx="808912" cy="181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7</xdr:col>
      <xdr:colOff>1</xdr:colOff>
      <xdr:row>3</xdr:row>
      <xdr:rowOff>205311</xdr:rowOff>
    </xdr:from>
    <xdr:to>
      <xdr:col>14</xdr:col>
      <xdr:colOff>0</xdr:colOff>
      <xdr:row>5</xdr:row>
      <xdr:rowOff>12694</xdr:rowOff>
    </xdr:to>
    <xdr:sp macro="" textlink="">
      <xdr:nvSpPr>
        <xdr:cNvPr id="5" name="Text Box 6"/>
        <xdr:cNvSpPr txBox="1">
          <a:spLocks noChangeArrowheads="1"/>
        </xdr:cNvSpPr>
      </xdr:nvSpPr>
      <xdr:spPr bwMode="auto">
        <a:xfrm>
          <a:off x="4381501" y="1729311"/>
          <a:ext cx="2243666" cy="495300"/>
        </a:xfrm>
        <a:prstGeom prst="rect">
          <a:avLst/>
        </a:prstGeom>
        <a:solidFill>
          <a:srgbClr val="FFFFFF"/>
        </a:solidFill>
        <a:ln w="9525">
          <a:solidFill>
            <a:schemeClr val="bg1">
              <a:lumMod val="75000"/>
            </a:schemeClr>
          </a:solidFill>
          <a:miter lim="800000"/>
          <a:headEnd/>
          <a:tailEnd/>
        </a:ln>
      </xdr:spPr>
      <xdr:txBody>
        <a:bodyPr vertOverflow="clip" wrap="square" lIns="108000" tIns="27432" rIns="0" bIns="0" anchor="ctr" upright="1"/>
        <a:lstStyle/>
        <a:p>
          <a:pPr algn="l"/>
          <a:r>
            <a:rPr lang="en-GB" sz="1100">
              <a:solidFill>
                <a:schemeClr val="tx1">
                  <a:lumMod val="65000"/>
                  <a:lumOff val="35000"/>
                </a:schemeClr>
              </a:solidFill>
              <a:latin typeface="+mn-lt"/>
              <a:ea typeface="+mn-ea"/>
              <a:cs typeface="+mn-cs"/>
            </a:rPr>
            <a:t>La grafica compara hasta 4 ciudades seleccionadas.</a:t>
          </a:r>
        </a:p>
      </xdr:txBody>
    </xdr:sp>
    <xdr:clientData fPrintsWithSheet="0"/>
  </xdr:twoCellAnchor>
  <xdr:twoCellAnchor editAs="absolute">
    <xdr:from>
      <xdr:col>0</xdr:col>
      <xdr:colOff>0</xdr:colOff>
      <xdr:row>0</xdr:row>
      <xdr:rowOff>0</xdr:rowOff>
    </xdr:from>
    <xdr:to>
      <xdr:col>30</xdr:col>
      <xdr:colOff>417512</xdr:colOff>
      <xdr:row>3</xdr:row>
      <xdr:rowOff>7336</xdr:rowOff>
    </xdr:to>
    <xdr:grpSp>
      <xdr:nvGrpSpPr>
        <xdr:cNvPr id="61" name="MENU"/>
        <xdr:cNvGrpSpPr/>
      </xdr:nvGrpSpPr>
      <xdr:grpSpPr>
        <a:xfrm>
          <a:off x="0" y="0"/>
          <a:ext cx="13812043" cy="1531336"/>
          <a:chOff x="0" y="0"/>
          <a:chExt cx="13790082" cy="1531336"/>
        </a:xfrm>
      </xdr:grpSpPr>
      <xdr:sp macro="" textlink="">
        <xdr:nvSpPr>
          <xdr:cNvPr id="51" name="nav_controls"/>
          <xdr:cNvSpPr/>
        </xdr:nvSpPr>
        <xdr:spPr>
          <a:xfrm>
            <a:off x="0" y="0"/>
            <a:ext cx="13790082"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52" name="Summary1"/>
          <xdr:cNvSpPr/>
        </xdr:nvSpPr>
        <xdr:spPr>
          <a:xfrm>
            <a:off x="865606" y="319280"/>
            <a:ext cx="3225046" cy="367756"/>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chemeClr val="bg1"/>
                </a:solidFill>
                <a:latin typeface="Arial" pitchFamily="34" charset="0"/>
                <a:ea typeface="Karla" pitchFamily="2" charset="0"/>
                <a:cs typeface="Arial" pitchFamily="34" charset="0"/>
              </a:rPr>
              <a:pPr algn="ctr"/>
              <a:t>EXPLORAR INDICADORES</a:t>
            </a:fld>
            <a:endParaRPr lang="en-GB" sz="1800" b="1">
              <a:solidFill>
                <a:schemeClr val="bg1"/>
              </a:solidFill>
              <a:latin typeface="Arial" pitchFamily="34" charset="0"/>
              <a:ea typeface="Karla" pitchFamily="2" charset="0"/>
              <a:cs typeface="Arial" pitchFamily="34" charset="0"/>
            </a:endParaRPr>
          </a:p>
        </xdr:txBody>
      </xdr:sp>
      <xdr:sp macro="" textlink="">
        <xdr:nvSpPr>
          <xdr:cNvPr id="53" name="Home1"/>
          <xdr:cNvSpPr/>
        </xdr:nvSpPr>
        <xdr:spPr>
          <a:xfrm>
            <a:off x="3618" y="319280"/>
            <a:ext cx="864772" cy="367756"/>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54" name="Home" descr="Home.png"/>
          <xdr:cNvPicPr>
            <a:picLocks noChangeAspect="1"/>
          </xdr:cNvPicPr>
        </xdr:nvPicPr>
        <xdr:blipFill>
          <a:blip xmlns:r="http://schemas.openxmlformats.org/officeDocument/2006/relationships" r:embed="rId1" cstate="print"/>
          <a:stretch>
            <a:fillRect/>
          </a:stretch>
        </xdr:blipFill>
        <xdr:spPr>
          <a:xfrm>
            <a:off x="81403" y="326109"/>
            <a:ext cx="354289" cy="345662"/>
          </a:xfrm>
          <a:prstGeom prst="rect">
            <a:avLst/>
          </a:prstGeom>
        </xdr:spPr>
      </xdr:pic>
      <xdr:pic macro="[0]!Navigate_GoBack">
        <xdr:nvPicPr>
          <xdr:cNvPr id="55" name="Picture 54" descr="Silver-Back-Button.png"/>
          <xdr:cNvPicPr>
            <a:picLocks noChangeAspect="1"/>
          </xdr:cNvPicPr>
        </xdr:nvPicPr>
        <xdr:blipFill>
          <a:blip xmlns:r="http://schemas.openxmlformats.org/officeDocument/2006/relationships" r:embed="rId2" cstate="print"/>
          <a:stretch>
            <a:fillRect/>
          </a:stretch>
        </xdr:blipFill>
        <xdr:spPr>
          <a:xfrm>
            <a:off x="489049" y="326108"/>
            <a:ext cx="342908" cy="344887"/>
          </a:xfrm>
          <a:prstGeom prst="rect">
            <a:avLst/>
          </a:prstGeom>
        </xdr:spPr>
      </xdr:pic>
      <xdr:sp macro="[0]!LBChanger" textlink="lang!C6">
        <xdr:nvSpPr>
          <xdr:cNvPr id="56" name="Definiciones"/>
          <xdr:cNvSpPr/>
        </xdr:nvSpPr>
        <xdr:spPr>
          <a:xfrm>
            <a:off x="4092324" y="323513"/>
            <a:ext cx="322887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57" name="1. Map"/>
          <xdr:cNvSpPr/>
        </xdr:nvSpPr>
        <xdr:spPr>
          <a:xfrm>
            <a:off x="7312562" y="323513"/>
            <a:ext cx="3227506"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58" name="DataDisplay"/>
          <xdr:cNvSpPr/>
        </xdr:nvSpPr>
        <xdr:spPr>
          <a:xfrm>
            <a:off x="10536230" y="323513"/>
            <a:ext cx="3227507"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59" name="header"/>
          <xdr:cNvSpPr/>
        </xdr:nvSpPr>
        <xdr:spPr>
          <a:xfrm>
            <a:off x="7021" y="6088"/>
            <a:ext cx="13763464"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16">
        <xdr:nvSpPr>
          <xdr:cNvPr id="44" name="Summary"/>
          <xdr:cNvSpPr/>
        </xdr:nvSpPr>
        <xdr:spPr>
          <a:xfrm>
            <a:off x="168388" y="688712"/>
            <a:ext cx="2170164" cy="270257"/>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494B76-10DA-4F56-8A88-EE1328EBE278}" type="TxLink">
              <a:rPr lang="en-US" sz="1100" b="1" i="0" u="none" strike="noStrike">
                <a:solidFill>
                  <a:srgbClr val="004770"/>
                </a:solidFill>
                <a:latin typeface="Calibri"/>
                <a:cs typeface="DilleniaUPC" pitchFamily="18" charset="-34"/>
              </a:rPr>
              <a:pPr algn="ctr"/>
              <a:t>RESUMEN</a:t>
            </a:fld>
            <a:endParaRPr lang="en-GB" sz="1200" b="1">
              <a:solidFill>
                <a:srgbClr val="004770"/>
              </a:solidFill>
              <a:latin typeface="+mn-lt"/>
              <a:cs typeface="DilleniaUPC" pitchFamily="18" charset="-34"/>
            </a:endParaRPr>
          </a:p>
        </xdr:txBody>
      </xdr:sp>
      <xdr:sp macro="[0]!LBChanger" textlink="lang!C23">
        <xdr:nvSpPr>
          <xdr:cNvPr id="47" name="CCompare"/>
          <xdr:cNvSpPr/>
        </xdr:nvSpPr>
        <xdr:spPr>
          <a:xfrm>
            <a:off x="2338571" y="690833"/>
            <a:ext cx="2171228"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8CCED62-08B5-468A-8340-41C813923B29}" type="TxLink">
              <a:rPr lang="en-US" sz="1100" b="1" i="0" u="none" strike="noStrike">
                <a:solidFill>
                  <a:schemeClr val="bg1"/>
                </a:solidFill>
                <a:latin typeface="Calibri"/>
                <a:cs typeface="DilleniaUPC" pitchFamily="18" charset="-34"/>
              </a:rPr>
              <a:pPr algn="ctr"/>
              <a:t>COMPARAR CIUDADES</a:t>
            </a:fld>
            <a:endParaRPr lang="en-GB" sz="1400" b="1">
              <a:solidFill>
                <a:schemeClr val="bg1"/>
              </a:solidFill>
              <a:latin typeface="+mn-lt"/>
              <a:cs typeface="DilleniaUPC" pitchFamily="18" charset="-34"/>
            </a:endParaRPr>
          </a:p>
        </xdr:txBody>
      </xdr:sp>
      <xdr:pic macro="[0]!Generate_PDF">
        <xdr:nvPicPr>
          <xdr:cNvPr id="41"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6167" y="1129345"/>
            <a:ext cx="340671" cy="331761"/>
          </a:xfrm>
          <a:prstGeom prst="rect">
            <a:avLst/>
          </a:prstGeom>
          <a:noFill/>
          <a:ln w="9525">
            <a:noFill/>
            <a:miter lim="800000"/>
            <a:headEnd/>
            <a:tailEnd/>
          </a:ln>
        </xdr:spPr>
      </xdr:pic>
      <xdr:pic macro="[0]!Generate_XL">
        <xdr:nvPicPr>
          <xdr:cNvPr id="42"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6802" y="1047739"/>
            <a:ext cx="342862" cy="436897"/>
          </a:xfrm>
          <a:prstGeom prst="rect">
            <a:avLst/>
          </a:prstGeom>
        </xdr:spPr>
      </xdr:pic>
      <xdr:grpSp>
        <xdr:nvGrpSpPr>
          <xdr:cNvPr id="30" name="Group 29"/>
          <xdr:cNvGrpSpPr/>
        </xdr:nvGrpSpPr>
        <xdr:grpSpPr>
          <a:xfrm>
            <a:off x="163535" y="712860"/>
            <a:ext cx="13203414" cy="772947"/>
            <a:chOff x="163570" y="389654"/>
            <a:chExt cx="13217997" cy="703411"/>
          </a:xfrm>
        </xdr:grpSpPr>
        <xdr:sp macro="" textlink="lang!C74">
          <xdr:nvSpPr>
            <xdr:cNvPr id="46" name="lbl_cnt_City_1"/>
            <xdr:cNvSpPr txBox="1"/>
          </xdr:nvSpPr>
          <xdr:spPr>
            <a:xfrm>
              <a:off x="163570" y="668042"/>
              <a:ext cx="1605060"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30B16DC3-DDA2-4D2A-AB43-7CB0632941C8}" type="TxLink">
                <a:rPr lang="en-US" sz="1100" b="1" i="0" u="none" strike="noStrike">
                  <a:solidFill>
                    <a:srgbClr val="000000"/>
                  </a:solidFill>
                  <a:latin typeface="Calibri"/>
                  <a:cs typeface="Calibri"/>
                </a:rPr>
                <a:pPr/>
                <a:t>SELECCIONE CIUDAD 1</a:t>
              </a:fld>
              <a:endParaRPr lang="en-GB" sz="1100" b="1">
                <a:solidFill>
                  <a:sysClr val="windowText" lastClr="000000"/>
                </a:solidFill>
                <a:latin typeface="+mn-lt"/>
              </a:endParaRPr>
            </a:p>
          </xdr:txBody>
        </xdr:sp>
        <xdr:pic macro="[0]!CityUp">
          <xdr:nvPicPr>
            <xdr:cNvPr id="48" name="cnt_series_up2" descr="scroll_up_small.png"/>
            <xdr:cNvPicPr>
              <a:picLocks noChangeAspect="1"/>
            </xdr:cNvPicPr>
          </xdr:nvPicPr>
          <xdr:blipFill>
            <a:blip xmlns:r="http://schemas.openxmlformats.org/officeDocument/2006/relationships" r:embed="rId6" cstate="print"/>
            <a:stretch>
              <a:fillRect/>
            </a:stretch>
          </xdr:blipFill>
          <xdr:spPr>
            <a:xfrm>
              <a:off x="1631396" y="868365"/>
              <a:ext cx="304067" cy="121768"/>
            </a:xfrm>
            <a:prstGeom prst="rect">
              <a:avLst/>
            </a:prstGeom>
          </xdr:spPr>
        </xdr:pic>
        <xdr:pic macro="[0]!CityDown">
          <xdr:nvPicPr>
            <xdr:cNvPr id="49" name="cnt_series_down2" descr="scroll_down_small.png"/>
            <xdr:cNvPicPr>
              <a:picLocks noChangeAspect="1"/>
            </xdr:cNvPicPr>
          </xdr:nvPicPr>
          <xdr:blipFill>
            <a:blip xmlns:r="http://schemas.openxmlformats.org/officeDocument/2006/relationships" r:embed="rId7" cstate="print"/>
            <a:stretch>
              <a:fillRect/>
            </a:stretch>
          </xdr:blipFill>
          <xdr:spPr>
            <a:xfrm>
              <a:off x="1631396" y="988188"/>
              <a:ext cx="303986" cy="95437"/>
            </a:xfrm>
            <a:prstGeom prst="rect">
              <a:avLst/>
            </a:prstGeom>
          </xdr:spPr>
        </xdr:pic>
        <xdr:sp macro="" textlink="lang!C42">
          <xdr:nvSpPr>
            <xdr:cNvPr id="50" name="lbl_cnt_City_1"/>
            <xdr:cNvSpPr txBox="1"/>
          </xdr:nvSpPr>
          <xdr:spPr>
            <a:xfrm>
              <a:off x="10439211" y="657440"/>
              <a:ext cx="1081193"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4FB76E56-BFA6-4C51-AD70-B08F71178CC5}" type="TxLink">
                <a:rPr lang="en-US" sz="1100" b="1" i="0" u="none" strike="noStrike">
                  <a:solidFill>
                    <a:srgbClr val="000000"/>
                  </a:solidFill>
                  <a:latin typeface="Calibri"/>
                  <a:cs typeface="Calibri"/>
                </a:rPr>
                <a:pPr/>
                <a:t>PONDERACIÓN</a:t>
              </a:fld>
              <a:endParaRPr lang="en-GB" sz="1100" b="1">
                <a:solidFill>
                  <a:sysClr val="windowText" lastClr="000000"/>
                </a:solidFill>
                <a:latin typeface="+mn-lt"/>
              </a:endParaRPr>
            </a:p>
          </xdr:txBody>
        </xdr:sp>
        <xdr:pic macro="[0]!Country2Up">
          <xdr:nvPicPr>
            <xdr:cNvPr id="63" name="cnt_series_up2" descr="scroll_up_small.png"/>
            <xdr:cNvPicPr>
              <a:picLocks noChangeAspect="1"/>
            </xdr:cNvPicPr>
          </xdr:nvPicPr>
          <xdr:blipFill>
            <a:blip xmlns:r="http://schemas.openxmlformats.org/officeDocument/2006/relationships" r:embed="rId6" cstate="print"/>
            <a:stretch>
              <a:fillRect/>
            </a:stretch>
          </xdr:blipFill>
          <xdr:spPr>
            <a:xfrm>
              <a:off x="3557580" y="873578"/>
              <a:ext cx="304067" cy="121768"/>
            </a:xfrm>
            <a:prstGeom prst="rect">
              <a:avLst/>
            </a:prstGeom>
          </xdr:spPr>
        </xdr:pic>
        <xdr:pic macro="[0]!Country2Down">
          <xdr:nvPicPr>
            <xdr:cNvPr id="64" name="cnt_series_down2" descr="scroll_down_small.png"/>
            <xdr:cNvPicPr>
              <a:picLocks noChangeAspect="1"/>
            </xdr:cNvPicPr>
          </xdr:nvPicPr>
          <xdr:blipFill>
            <a:blip xmlns:r="http://schemas.openxmlformats.org/officeDocument/2006/relationships" r:embed="rId7" cstate="print"/>
            <a:stretch>
              <a:fillRect/>
            </a:stretch>
          </xdr:blipFill>
          <xdr:spPr>
            <a:xfrm>
              <a:off x="3557580" y="993401"/>
              <a:ext cx="303986" cy="95437"/>
            </a:xfrm>
            <a:prstGeom prst="rect">
              <a:avLst/>
            </a:prstGeom>
          </xdr:spPr>
        </xdr:pic>
        <xdr:sp macro="" textlink="lang!C75">
          <xdr:nvSpPr>
            <xdr:cNvPr id="65" name="lbl_cnt_City_1"/>
            <xdr:cNvSpPr txBox="1"/>
          </xdr:nvSpPr>
          <xdr:spPr>
            <a:xfrm>
              <a:off x="2106204" y="679684"/>
              <a:ext cx="1466955"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D29ECD5C-5A75-4F9F-BBAC-F0D70F5EAEDB}" type="TxLink">
                <a:rPr lang="en-US" sz="1100" b="1" i="0" u="none" strike="noStrike">
                  <a:solidFill>
                    <a:srgbClr val="000000"/>
                  </a:solidFill>
                  <a:latin typeface="Calibri"/>
                  <a:cs typeface="Calibri"/>
                </a:rPr>
                <a:pPr/>
                <a:t>SELECCIONE CIUDAD 2</a:t>
              </a:fld>
              <a:endParaRPr lang="en-GB" sz="1100" b="1">
                <a:solidFill>
                  <a:sysClr val="windowText" lastClr="000000"/>
                </a:solidFill>
                <a:latin typeface="+mn-lt"/>
              </a:endParaRPr>
            </a:p>
          </xdr:txBody>
        </xdr:sp>
        <xdr:sp macro="" textlink="_WeightProfile">
          <xdr:nvSpPr>
            <xdr:cNvPr id="38" name="Text Box 6"/>
            <xdr:cNvSpPr txBox="1">
              <a:spLocks noChangeArrowheads="1"/>
            </xdr:cNvSpPr>
          </xdr:nvSpPr>
          <xdr:spPr bwMode="auto">
            <a:xfrm>
              <a:off x="10454442" y="389654"/>
              <a:ext cx="2927125" cy="458037"/>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mn-lt"/>
                  <a:cs typeface="Calibri"/>
                </a:rPr>
                <a:pPr algn="l" rtl="0">
                  <a:defRPr sz="1000"/>
                </a:pPr>
                <a:t> </a:t>
              </a:fld>
              <a:endParaRPr lang="en-GB" sz="1000" b="0" i="1" u="none" strike="noStrike" baseline="0">
                <a:solidFill>
                  <a:schemeClr val="tx1">
                    <a:lumMod val="65000"/>
                    <a:lumOff val="35000"/>
                  </a:schemeClr>
                </a:solidFill>
                <a:latin typeface="+mn-lt"/>
              </a:endParaRPr>
            </a:p>
          </xdr:txBody>
        </xdr:sp>
        <xdr:sp macro="" textlink="lang!C76">
          <xdr:nvSpPr>
            <xdr:cNvPr id="31" name="lbl_cnt_City_1"/>
            <xdr:cNvSpPr txBox="1"/>
          </xdr:nvSpPr>
          <xdr:spPr>
            <a:xfrm>
              <a:off x="4113497" y="683892"/>
              <a:ext cx="1616834"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96B9AB00-6CD2-446F-9FF9-4F3296D22253}" type="TxLink">
                <a:rPr lang="en-US" sz="1100" b="1" i="0" u="none" strike="noStrike">
                  <a:solidFill>
                    <a:srgbClr val="000000"/>
                  </a:solidFill>
                  <a:latin typeface="Calibri"/>
                  <a:cs typeface="Calibri"/>
                </a:rPr>
                <a:pPr/>
                <a:t>SELECCIONE CIUDAD 3</a:t>
              </a:fld>
              <a:endParaRPr lang="en-GB" sz="1100" b="1">
                <a:solidFill>
                  <a:sysClr val="windowText" lastClr="000000"/>
                </a:solidFill>
                <a:latin typeface="+mn-lt"/>
              </a:endParaRPr>
            </a:p>
          </xdr:txBody>
        </xdr:sp>
        <xdr:pic macro="[0]!Country3Up">
          <xdr:nvPicPr>
            <xdr:cNvPr id="32" name="cnt_series_up2" descr="scroll_up_small.png"/>
            <xdr:cNvPicPr>
              <a:picLocks noChangeAspect="1"/>
            </xdr:cNvPicPr>
          </xdr:nvPicPr>
          <xdr:blipFill>
            <a:blip xmlns:r="http://schemas.openxmlformats.org/officeDocument/2006/relationships" r:embed="rId6" cstate="print"/>
            <a:stretch>
              <a:fillRect/>
            </a:stretch>
          </xdr:blipFill>
          <xdr:spPr>
            <a:xfrm>
              <a:off x="5596599" y="873544"/>
              <a:ext cx="304067" cy="121768"/>
            </a:xfrm>
            <a:prstGeom prst="rect">
              <a:avLst/>
            </a:prstGeom>
          </xdr:spPr>
        </xdr:pic>
        <xdr:pic macro="[0]!Country3Down">
          <xdr:nvPicPr>
            <xdr:cNvPr id="33" name="cnt_series_down2" descr="scroll_down_small.png"/>
            <xdr:cNvPicPr>
              <a:picLocks noChangeAspect="1"/>
            </xdr:cNvPicPr>
          </xdr:nvPicPr>
          <xdr:blipFill>
            <a:blip xmlns:r="http://schemas.openxmlformats.org/officeDocument/2006/relationships" r:embed="rId7" cstate="print"/>
            <a:stretch>
              <a:fillRect/>
            </a:stretch>
          </xdr:blipFill>
          <xdr:spPr>
            <a:xfrm>
              <a:off x="5596599" y="993366"/>
              <a:ext cx="303986" cy="95437"/>
            </a:xfrm>
            <a:prstGeom prst="rect">
              <a:avLst/>
            </a:prstGeom>
          </xdr:spPr>
        </xdr:pic>
        <xdr:pic macro="[0]!Country4Up">
          <xdr:nvPicPr>
            <xdr:cNvPr id="34" name="cnt_series_up2" descr="scroll_up_small.png"/>
            <xdr:cNvPicPr>
              <a:picLocks noChangeAspect="1"/>
            </xdr:cNvPicPr>
          </xdr:nvPicPr>
          <xdr:blipFill>
            <a:blip xmlns:r="http://schemas.openxmlformats.org/officeDocument/2006/relationships" r:embed="rId6" cstate="print"/>
            <a:stretch>
              <a:fillRect/>
            </a:stretch>
          </xdr:blipFill>
          <xdr:spPr>
            <a:xfrm>
              <a:off x="7530726" y="877805"/>
              <a:ext cx="304880" cy="121768"/>
            </a:xfrm>
            <a:prstGeom prst="rect">
              <a:avLst/>
            </a:prstGeom>
          </xdr:spPr>
        </xdr:pic>
        <xdr:pic macro="[0]!Country4Down">
          <xdr:nvPicPr>
            <xdr:cNvPr id="35" name="cnt_series_down2" descr="scroll_down_small.png"/>
            <xdr:cNvPicPr>
              <a:picLocks noChangeAspect="1"/>
            </xdr:cNvPicPr>
          </xdr:nvPicPr>
          <xdr:blipFill>
            <a:blip xmlns:r="http://schemas.openxmlformats.org/officeDocument/2006/relationships" r:embed="rId7" cstate="print"/>
            <a:stretch>
              <a:fillRect/>
            </a:stretch>
          </xdr:blipFill>
          <xdr:spPr>
            <a:xfrm>
              <a:off x="7530726" y="997628"/>
              <a:ext cx="304880" cy="95437"/>
            </a:xfrm>
            <a:prstGeom prst="rect">
              <a:avLst/>
            </a:prstGeom>
          </xdr:spPr>
        </xdr:pic>
        <xdr:sp macro="" textlink="lang!C77">
          <xdr:nvSpPr>
            <xdr:cNvPr id="36" name="lbl_cnt_City_1"/>
            <xdr:cNvSpPr txBox="1"/>
          </xdr:nvSpPr>
          <xdr:spPr>
            <a:xfrm>
              <a:off x="6116626" y="672287"/>
              <a:ext cx="1462731"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63BCE9C3-AD05-4C4B-8E83-01238798C7E3}" type="TxLink">
                <a:rPr lang="en-US" sz="1100" b="1" i="0" u="none" strike="noStrike">
                  <a:solidFill>
                    <a:srgbClr val="000000"/>
                  </a:solidFill>
                  <a:latin typeface="Calibri"/>
                  <a:cs typeface="Calibri"/>
                </a:rPr>
                <a:pPr/>
                <a:t>SELECCIONE CIUDAD 4</a:t>
              </a:fld>
              <a:endParaRPr lang="en-GB" sz="1100" b="1">
                <a:solidFill>
                  <a:sysClr val="windowText" lastClr="000000"/>
                </a:solidFill>
                <a:latin typeface="+mn-lt"/>
              </a:endParaRPr>
            </a:p>
          </xdr:txBody>
        </xdr:sp>
      </xdr:grpSp>
    </xdr:grpSp>
    <xdr:clientData fPrintsWithSheet="0"/>
  </xdr:twoCellAnchor>
  <xdr:twoCellAnchor>
    <xdr:from>
      <xdr:col>21</xdr:col>
      <xdr:colOff>6351</xdr:colOff>
      <xdr:row>5</xdr:row>
      <xdr:rowOff>95237</xdr:rowOff>
    </xdr:from>
    <xdr:to>
      <xdr:col>30</xdr:col>
      <xdr:colOff>250826</xdr:colOff>
      <xdr:row>24</xdr:row>
      <xdr:rowOff>180962</xdr:rowOff>
    </xdr:to>
    <xdr:graphicFrame macro="">
      <xdr:nvGraphicFramePr>
        <xdr:cNvPr id="45" name="Chart 4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9525</xdr:colOff>
      <xdr:row>59</xdr:row>
      <xdr:rowOff>142875</xdr:rowOff>
    </xdr:from>
    <xdr:to>
      <xdr:col>4</xdr:col>
      <xdr:colOff>824977</xdr:colOff>
      <xdr:row>60</xdr:row>
      <xdr:rowOff>135731</xdr:rowOff>
    </xdr:to>
    <xdr:sp macro="[0]!returntop" textlink="lang!C112">
      <xdr:nvSpPr>
        <xdr:cNvPr id="28" name="go_top"/>
        <xdr:cNvSpPr txBox="1"/>
      </xdr:nvSpPr>
      <xdr:spPr>
        <a:xfrm>
          <a:off x="190500" y="18821400"/>
          <a:ext cx="815452" cy="183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DCCCF2AB-423F-4E8A-8EFD-D257F73E234E}" type="TxLink">
            <a:rPr lang="en-US" sz="1100" b="0" i="0" u="none" strike="noStrike" baseline="0">
              <a:solidFill>
                <a:schemeClr val="accent1">
                  <a:lumMod val="75000"/>
                </a:schemeClr>
              </a:solidFill>
              <a:latin typeface="Calibri"/>
              <a:ea typeface="Karla" pitchFamily="2" charset="0"/>
              <a:cs typeface="Calibri"/>
            </a:rPr>
            <a:pPr algn="l" rtl="0">
              <a:defRPr sz="1000"/>
            </a:pPr>
            <a:t>Volver arriba</a:t>
          </a:fld>
          <a:endParaRPr lang="en-GB" sz="1100" b="1" i="0" u="sng" strike="noStrike" baseline="0">
            <a:solidFill>
              <a:schemeClr val="accent1">
                <a:lumMod val="75000"/>
              </a:schemeClr>
            </a:solidFill>
            <a:latin typeface="+mn-lt"/>
            <a:ea typeface="Karla" pitchFamily="2" charset="0"/>
          </a:endParaRPr>
        </a:p>
      </xdr:txBody>
    </xdr:sp>
    <xdr:clientData fPrintsWithSheet="0"/>
  </xdr:twoCellAnchor>
  <xdr:twoCellAnchor editAs="absolute">
    <xdr:from>
      <xdr:col>29</xdr:col>
      <xdr:colOff>236272</xdr:colOff>
      <xdr:row>13</xdr:row>
      <xdr:rowOff>24343</xdr:rowOff>
    </xdr:from>
    <xdr:to>
      <xdr:col>30</xdr:col>
      <xdr:colOff>330465</xdr:colOff>
      <xdr:row>13</xdr:row>
      <xdr:rowOff>29900</xdr:rowOff>
    </xdr:to>
    <xdr:sp macro="[0]!returntop" textlink="lang!C112">
      <xdr:nvSpPr>
        <xdr:cNvPr id="29" name="go_top"/>
        <xdr:cNvSpPr txBox="1"/>
      </xdr:nvSpPr>
      <xdr:spPr>
        <a:xfrm>
          <a:off x="12906375" y="8029575"/>
          <a:ext cx="815452" cy="183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DCCCF2AB-423F-4E8A-8EFD-D257F73E234E}" type="TxLink">
            <a:rPr lang="en-US" sz="1100" b="0" i="0" u="none" strike="noStrike" baseline="0">
              <a:solidFill>
                <a:schemeClr val="accent1">
                  <a:lumMod val="75000"/>
                </a:schemeClr>
              </a:solidFill>
              <a:latin typeface="Calibri"/>
              <a:ea typeface="Karla" pitchFamily="2" charset="0"/>
              <a:cs typeface="Calibri"/>
            </a:rPr>
            <a:pPr algn="l" rtl="0">
              <a:defRPr sz="1000"/>
            </a:pPr>
            <a:t>Volver arriba</a:t>
          </a:fld>
          <a:endParaRPr lang="en-GB" sz="1100" b="1" i="0" u="sng" strike="noStrike" baseline="0">
            <a:solidFill>
              <a:schemeClr val="accent1">
                <a:lumMod val="75000"/>
              </a:schemeClr>
            </a:solidFill>
            <a:latin typeface="+mn-lt"/>
            <a:ea typeface="Karla" pitchFamily="2" charset="0"/>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114300</xdr:colOff>
      <xdr:row>12</xdr:row>
      <xdr:rowOff>104775</xdr:rowOff>
    </xdr:from>
    <xdr:to>
      <xdr:col>8</xdr:col>
      <xdr:colOff>268742</xdr:colOff>
      <xdr:row>30</xdr:row>
      <xdr:rowOff>74969</xdr:rowOff>
    </xdr:to>
    <xdr:grpSp>
      <xdr:nvGrpSpPr>
        <xdr:cNvPr id="3883" name="grpCityMarkers2"/>
        <xdr:cNvGrpSpPr/>
      </xdr:nvGrpSpPr>
      <xdr:grpSpPr>
        <a:xfrm>
          <a:off x="4007644" y="3426619"/>
          <a:ext cx="2666661" cy="3399194"/>
          <a:chOff x="4568412" y="3151149"/>
          <a:chExt cx="2660507" cy="3399194"/>
        </a:xfrm>
      </xdr:grpSpPr>
      <xdr:sp macro="" textlink="">
        <xdr:nvSpPr>
          <xdr:cNvPr id="166" name="BSAS"/>
          <xdr:cNvSpPr/>
        </xdr:nvSpPr>
        <xdr:spPr>
          <a:xfrm>
            <a:off x="6577719" y="6408160"/>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1" name="CDBE"/>
          <xdr:cNvSpPr/>
        </xdr:nvSpPr>
        <xdr:spPr>
          <a:xfrm>
            <a:off x="5168439" y="3293349"/>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2" name="ASUN"/>
          <xdr:cNvSpPr/>
        </xdr:nvSpPr>
        <xdr:spPr>
          <a:xfrm>
            <a:off x="6555894" y="5717604"/>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3" name="BOGA"/>
          <xdr:cNvSpPr/>
        </xdr:nvSpPr>
        <xdr:spPr>
          <a:xfrm>
            <a:off x="5745161" y="3989346"/>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4" name="LIMA"/>
          <xdr:cNvSpPr/>
        </xdr:nvSpPr>
        <xdr:spPr>
          <a:xfrm>
            <a:off x="5599932" y="4906390"/>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5" name="MEXC"/>
          <xdr:cNvSpPr/>
        </xdr:nvSpPr>
        <xdr:spPr>
          <a:xfrm>
            <a:off x="4568412" y="3151149"/>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6" name="MONT"/>
          <xdr:cNvSpPr/>
        </xdr:nvSpPr>
        <xdr:spPr>
          <a:xfrm>
            <a:off x="6687795" y="6294654"/>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7" name="QUIT"/>
          <xdr:cNvSpPr/>
        </xdr:nvSpPr>
        <xdr:spPr>
          <a:xfrm>
            <a:off x="5546488" y="4337006"/>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8" name="SANJ"/>
          <xdr:cNvSpPr/>
        </xdr:nvSpPr>
        <xdr:spPr>
          <a:xfrm>
            <a:off x="5287490" y="3747252"/>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9" name="SACR"/>
          <xdr:cNvSpPr/>
        </xdr:nvSpPr>
        <xdr:spPr>
          <a:xfrm>
            <a:off x="6260607" y="5315437"/>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80" name="SADC"/>
          <xdr:cNvSpPr/>
        </xdr:nvSpPr>
        <xdr:spPr>
          <a:xfrm>
            <a:off x="5954665" y="6199141"/>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81" name="SAPA"/>
          <xdr:cNvSpPr/>
        </xdr:nvSpPr>
        <xdr:spPr>
          <a:xfrm>
            <a:off x="7091411" y="5665745"/>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grpSp>
    <xdr:clientData/>
  </xdr:twoCellAnchor>
  <xdr:twoCellAnchor>
    <xdr:from>
      <xdr:col>1</xdr:col>
      <xdr:colOff>22225</xdr:colOff>
      <xdr:row>22</xdr:row>
      <xdr:rowOff>41275</xdr:rowOff>
    </xdr:from>
    <xdr:to>
      <xdr:col>4</xdr:col>
      <xdr:colOff>807975</xdr:colOff>
      <xdr:row>33</xdr:row>
      <xdr:rowOff>22975</xdr:rowOff>
    </xdr:to>
    <xdr:grpSp>
      <xdr:nvGrpSpPr>
        <xdr:cNvPr id="53" name="gLeg3"/>
        <xdr:cNvGrpSpPr/>
      </xdr:nvGrpSpPr>
      <xdr:grpSpPr>
        <a:xfrm>
          <a:off x="200819" y="5268119"/>
          <a:ext cx="3297969" cy="2077200"/>
          <a:chOff x="5895975" y="8134350"/>
          <a:chExt cx="3276600" cy="2076450"/>
        </a:xfrm>
      </xdr:grpSpPr>
      <xdr:sp macro="" textlink="">
        <xdr:nvSpPr>
          <xdr:cNvPr id="54" name="Rectangle 53"/>
          <xdr:cNvSpPr/>
        </xdr:nvSpPr>
        <xdr:spPr>
          <a:xfrm>
            <a:off x="5895975" y="8134350"/>
            <a:ext cx="3276600" cy="2076450"/>
          </a:xfrm>
          <a:prstGeom prst="rect">
            <a:avLst/>
          </a:prstGeom>
          <a:solidFill>
            <a:schemeClr val="bg1">
              <a:alpha val="77000"/>
            </a:schemeClr>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lang!C150">
        <xdr:nvSpPr>
          <xdr:cNvPr id="55" name="leg1_title"/>
          <xdr:cNvSpPr txBox="1"/>
        </xdr:nvSpPr>
        <xdr:spPr>
          <a:xfrm>
            <a:off x="6048375" y="8153428"/>
            <a:ext cx="2895600" cy="446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2E808A01-9C13-4C93-8225-258C3F31883F}" type="TxLink">
              <a:rPr lang="en-US" sz="1100" b="0" i="0" u="none" strike="noStrike">
                <a:solidFill>
                  <a:srgbClr val="000000"/>
                </a:solidFill>
                <a:latin typeface="Calibri"/>
                <a:ea typeface="+mn-ea"/>
                <a:cs typeface="+mn-cs"/>
              </a:rPr>
              <a:pPr algn="ctr"/>
              <a:t>Area del círculo es proporcional al valor de la data</a:t>
            </a:fld>
            <a:endParaRPr lang="en-GB" sz="1100">
              <a:solidFill>
                <a:schemeClr val="dk1"/>
              </a:solidFill>
              <a:latin typeface="+mn-lt"/>
              <a:ea typeface="+mn-ea"/>
              <a:cs typeface="+mn-cs"/>
            </a:endParaRPr>
          </a:p>
        </xdr:txBody>
      </xdr:sp>
      <xdr:sp macro="" textlink="">
        <xdr:nvSpPr>
          <xdr:cNvPr id="56" name="leg3_txt_q1"/>
          <xdr:cNvSpPr txBox="1"/>
        </xdr:nvSpPr>
        <xdr:spPr>
          <a:xfrm>
            <a:off x="6502400" y="8572499"/>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76 hasta 100</a:t>
            </a:r>
          </a:p>
        </xdr:txBody>
      </xdr:sp>
      <xdr:sp macro="" textlink="">
        <xdr:nvSpPr>
          <xdr:cNvPr id="57" name="leg1_small_circle"/>
          <xdr:cNvSpPr>
            <a:spLocks noChangeAspect="1"/>
          </xdr:cNvSpPr>
        </xdr:nvSpPr>
        <xdr:spPr bwMode="auto">
          <a:xfrm>
            <a:off x="6121400" y="8597900"/>
            <a:ext cx="252000" cy="252000"/>
          </a:xfrm>
          <a:prstGeom prst="ellipse">
            <a:avLst/>
          </a:prstGeom>
          <a:solidFill>
            <a:srgbClr val="00245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58" name="leg1_small_circle"/>
          <xdr:cNvSpPr>
            <a:spLocks noChangeAspect="1"/>
          </xdr:cNvSpPr>
        </xdr:nvSpPr>
        <xdr:spPr bwMode="auto">
          <a:xfrm>
            <a:off x="6121400" y="9741958"/>
            <a:ext cx="252000" cy="252000"/>
          </a:xfrm>
          <a:prstGeom prst="ellipse">
            <a:avLst/>
          </a:prstGeom>
          <a:solidFill>
            <a:schemeClr val="tx2">
              <a:lumMod val="20000"/>
              <a:lumOff val="80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59" name="leg1_small_circle"/>
          <xdr:cNvSpPr>
            <a:spLocks noChangeAspect="1"/>
          </xdr:cNvSpPr>
        </xdr:nvSpPr>
        <xdr:spPr bwMode="auto">
          <a:xfrm>
            <a:off x="6121400" y="9359900"/>
            <a:ext cx="252000" cy="252000"/>
          </a:xfrm>
          <a:prstGeom prst="ellipse">
            <a:avLst/>
          </a:prstGeom>
          <a:solidFill>
            <a:srgbClr val="00B0F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60" name="leg1_small_circle"/>
          <xdr:cNvSpPr>
            <a:spLocks noChangeAspect="1"/>
          </xdr:cNvSpPr>
        </xdr:nvSpPr>
        <xdr:spPr bwMode="auto">
          <a:xfrm>
            <a:off x="6121400" y="8983133"/>
            <a:ext cx="252000" cy="252000"/>
          </a:xfrm>
          <a:prstGeom prst="ellipse">
            <a:avLst/>
          </a:prstGeom>
          <a:solidFill>
            <a:srgbClr val="0070C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61" name="leg3_txt_q2"/>
          <xdr:cNvSpPr txBox="1"/>
        </xdr:nvSpPr>
        <xdr:spPr>
          <a:xfrm>
            <a:off x="6502400" y="8953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51 hasta 75</a:t>
            </a:r>
          </a:p>
        </xdr:txBody>
      </xdr:sp>
      <xdr:sp macro="" textlink="">
        <xdr:nvSpPr>
          <xdr:cNvPr id="62" name="leg3_txt_q3"/>
          <xdr:cNvSpPr txBox="1"/>
        </xdr:nvSpPr>
        <xdr:spPr>
          <a:xfrm>
            <a:off x="6502400" y="9334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26 hasta 50</a:t>
            </a:r>
          </a:p>
        </xdr:txBody>
      </xdr:sp>
      <xdr:sp macro="" textlink="">
        <xdr:nvSpPr>
          <xdr:cNvPr id="63" name="leg3_txt_q4"/>
          <xdr:cNvSpPr txBox="1"/>
        </xdr:nvSpPr>
        <xdr:spPr>
          <a:xfrm>
            <a:off x="6502400" y="97536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0 hasta 25</a:t>
            </a:r>
          </a:p>
        </xdr:txBody>
      </xdr:sp>
    </xdr:grpSp>
    <xdr:clientData/>
  </xdr:twoCellAnchor>
  <xdr:twoCellAnchor>
    <xdr:from>
      <xdr:col>1</xdr:col>
      <xdr:colOff>57150</xdr:colOff>
      <xdr:row>28</xdr:row>
      <xdr:rowOff>0</xdr:rowOff>
    </xdr:from>
    <xdr:to>
      <xdr:col>6</xdr:col>
      <xdr:colOff>285750</xdr:colOff>
      <xdr:row>38</xdr:row>
      <xdr:rowOff>171450</xdr:rowOff>
    </xdr:to>
    <xdr:grpSp>
      <xdr:nvGrpSpPr>
        <xdr:cNvPr id="64" name="gLeg4" hidden="1"/>
        <xdr:cNvGrpSpPr/>
      </xdr:nvGrpSpPr>
      <xdr:grpSpPr>
        <a:xfrm>
          <a:off x="235744" y="6369844"/>
          <a:ext cx="4752975" cy="2076450"/>
          <a:chOff x="1600200" y="10868025"/>
          <a:chExt cx="3276600" cy="2076450"/>
        </a:xfrm>
      </xdr:grpSpPr>
      <xdr:sp macro="" textlink="">
        <xdr:nvSpPr>
          <xdr:cNvPr id="65" name="Rectangle 64" hidden="1"/>
          <xdr:cNvSpPr/>
        </xdr:nvSpPr>
        <xdr:spPr>
          <a:xfrm>
            <a:off x="1600200" y="10868025"/>
            <a:ext cx="3276600" cy="2076450"/>
          </a:xfrm>
          <a:prstGeom prst="rect">
            <a:avLst/>
          </a:prstGeom>
          <a:solidFill>
            <a:schemeClr val="bg1">
              <a:alpha val="84000"/>
            </a:schemeClr>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66" name="leg1_title" hidden="1"/>
          <xdr:cNvSpPr txBox="1"/>
        </xdr:nvSpPr>
        <xdr:spPr>
          <a:xfrm>
            <a:off x="1752600" y="10963276"/>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Bar</a:t>
            </a:r>
            <a:r>
              <a:rPr lang="en-GB" sz="1100" baseline="0"/>
              <a:t> height represents data value</a:t>
            </a:r>
            <a:endParaRPr lang="en-GB" sz="1100"/>
          </a:p>
        </xdr:txBody>
      </xdr:sp>
      <xdr:sp macro="" textlink="">
        <xdr:nvSpPr>
          <xdr:cNvPr id="67" name="leg4_txt_max" hidden="1"/>
          <xdr:cNvSpPr txBox="1"/>
        </xdr:nvSpPr>
        <xdr:spPr>
          <a:xfrm>
            <a:off x="3638551" y="11429999"/>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100.0</a:t>
            </a:r>
          </a:p>
        </xdr:txBody>
      </xdr:sp>
      <xdr:sp macro="" textlink="">
        <xdr:nvSpPr>
          <xdr:cNvPr id="68" name="leg4_txt_min" hidden="1"/>
          <xdr:cNvSpPr txBox="1"/>
        </xdr:nvSpPr>
        <xdr:spPr>
          <a:xfrm>
            <a:off x="1638300" y="12115800"/>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0.0</a:t>
            </a:r>
          </a:p>
        </xdr:txBody>
      </xdr:sp>
      <xdr:sp macro="" textlink="">
        <xdr:nvSpPr>
          <xdr:cNvPr id="69" name="bar_IST" hidden="1"/>
          <xdr:cNvSpPr/>
        </xdr:nvSpPr>
        <xdr:spPr bwMode="auto">
          <a:xfrm>
            <a:off x="4038600" y="11687175"/>
            <a:ext cx="85725" cy="762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70" name="bar_IST" hidden="1"/>
          <xdr:cNvSpPr/>
        </xdr:nvSpPr>
        <xdr:spPr bwMode="auto">
          <a:xfrm>
            <a:off x="2030583" y="12393246"/>
            <a:ext cx="87923" cy="54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grpSp>
    <xdr:clientData/>
  </xdr:twoCellAnchor>
  <xdr:twoCellAnchor>
    <xdr:from>
      <xdr:col>6</xdr:col>
      <xdr:colOff>604157</xdr:colOff>
      <xdr:row>22</xdr:row>
      <xdr:rowOff>20434</xdr:rowOff>
    </xdr:from>
    <xdr:to>
      <xdr:col>7</xdr:col>
      <xdr:colOff>77560</xdr:colOff>
      <xdr:row>22</xdr:row>
      <xdr:rowOff>126246</xdr:rowOff>
    </xdr:to>
    <xdr:sp macro="" textlink="">
      <xdr:nvSpPr>
        <xdr:cNvPr id="133" name="bar_ACC" hidden="1"/>
        <xdr:cNvSpPr/>
      </xdr:nvSpPr>
      <xdr:spPr bwMode="auto">
        <a:xfrm>
          <a:off x="3899807" y="4382884"/>
          <a:ext cx="83003" cy="10581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511629</xdr:colOff>
      <xdr:row>20</xdr:row>
      <xdr:rowOff>89884</xdr:rowOff>
    </xdr:from>
    <xdr:to>
      <xdr:col>11</xdr:col>
      <xdr:colOff>597354</xdr:colOff>
      <xdr:row>21</xdr:row>
      <xdr:rowOff>60932</xdr:rowOff>
    </xdr:to>
    <xdr:sp macro="" textlink="">
      <xdr:nvSpPr>
        <xdr:cNvPr id="134" name="bar_ADD" hidden="1"/>
        <xdr:cNvSpPr/>
      </xdr:nvSpPr>
      <xdr:spPr bwMode="auto">
        <a:xfrm>
          <a:off x="6855279" y="4071334"/>
          <a:ext cx="85725" cy="16154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288131</xdr:colOff>
      <xdr:row>10</xdr:row>
      <xdr:rowOff>171794</xdr:rowOff>
    </xdr:from>
    <xdr:to>
      <xdr:col>10</xdr:col>
      <xdr:colOff>373856</xdr:colOff>
      <xdr:row>12</xdr:row>
      <xdr:rowOff>50046</xdr:rowOff>
    </xdr:to>
    <xdr:sp macro="" textlink="">
      <xdr:nvSpPr>
        <xdr:cNvPr id="135" name="bar_ALE" hidden="1"/>
        <xdr:cNvSpPr/>
      </xdr:nvSpPr>
      <xdr:spPr bwMode="auto">
        <a:xfrm>
          <a:off x="6022181" y="2248244"/>
          <a:ext cx="85725" cy="2592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250031</xdr:colOff>
      <xdr:row>9</xdr:row>
      <xdr:rowOff>52582</xdr:rowOff>
    </xdr:from>
    <xdr:to>
      <xdr:col>7</xdr:col>
      <xdr:colOff>335756</xdr:colOff>
      <xdr:row>10</xdr:row>
      <xdr:rowOff>39161</xdr:rowOff>
    </xdr:to>
    <xdr:sp macro="" textlink="">
      <xdr:nvSpPr>
        <xdr:cNvPr id="136" name="bar_ALG" hidden="1"/>
        <xdr:cNvSpPr/>
      </xdr:nvSpPr>
      <xdr:spPr bwMode="auto">
        <a:xfrm>
          <a:off x="4155281" y="1938532"/>
          <a:ext cx="85725" cy="177079"/>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402432</xdr:colOff>
      <xdr:row>10</xdr:row>
      <xdr:rowOff>45249</xdr:rowOff>
    </xdr:from>
    <xdr:to>
      <xdr:col>10</xdr:col>
      <xdr:colOff>488157</xdr:colOff>
      <xdr:row>12</xdr:row>
      <xdr:rowOff>177953</xdr:rowOff>
    </xdr:to>
    <xdr:sp macro="" textlink="">
      <xdr:nvSpPr>
        <xdr:cNvPr id="137" name="bar_CAI" hidden="1"/>
        <xdr:cNvSpPr/>
      </xdr:nvSpPr>
      <xdr:spPr bwMode="auto">
        <a:xfrm>
          <a:off x="6136482" y="2121699"/>
          <a:ext cx="85725" cy="5137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9</xdr:col>
      <xdr:colOff>173832</xdr:colOff>
      <xdr:row>36</xdr:row>
      <xdr:rowOff>150110</xdr:rowOff>
    </xdr:from>
    <xdr:to>
      <xdr:col>9</xdr:col>
      <xdr:colOff>259557</xdr:colOff>
      <xdr:row>37</xdr:row>
      <xdr:rowOff>180677</xdr:rowOff>
    </xdr:to>
    <xdr:sp macro="" textlink="">
      <xdr:nvSpPr>
        <xdr:cNvPr id="138" name="bar_CAP" hidden="1"/>
        <xdr:cNvSpPr/>
      </xdr:nvSpPr>
      <xdr:spPr bwMode="auto">
        <a:xfrm>
          <a:off x="5298282" y="7179560"/>
          <a:ext cx="85725" cy="22106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5</xdr:col>
      <xdr:colOff>7482</xdr:colOff>
      <xdr:row>18</xdr:row>
      <xdr:rowOff>49467</xdr:rowOff>
    </xdr:from>
    <xdr:to>
      <xdr:col>5</xdr:col>
      <xdr:colOff>93207</xdr:colOff>
      <xdr:row>18</xdr:row>
      <xdr:rowOff>131689</xdr:rowOff>
    </xdr:to>
    <xdr:sp macro="" textlink="">
      <xdr:nvSpPr>
        <xdr:cNvPr id="140" name="bar_DAK" hidden="1"/>
        <xdr:cNvSpPr/>
      </xdr:nvSpPr>
      <xdr:spPr bwMode="auto">
        <a:xfrm>
          <a:off x="2693532" y="3649917"/>
          <a:ext cx="85725" cy="8222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445634</xdr:colOff>
      <xdr:row>25</xdr:row>
      <xdr:rowOff>179544</xdr:rowOff>
    </xdr:from>
    <xdr:to>
      <xdr:col>11</xdr:col>
      <xdr:colOff>531359</xdr:colOff>
      <xdr:row>27</xdr:row>
      <xdr:rowOff>66376</xdr:rowOff>
    </xdr:to>
    <xdr:sp macro="" textlink="">
      <xdr:nvSpPr>
        <xdr:cNvPr id="141" name="bar_DAR" hidden="1"/>
        <xdr:cNvSpPr/>
      </xdr:nvSpPr>
      <xdr:spPr bwMode="auto">
        <a:xfrm>
          <a:off x="6789284" y="5113494"/>
          <a:ext cx="85725" cy="26783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108176</xdr:colOff>
      <xdr:row>22</xdr:row>
      <xdr:rowOff>84911</xdr:rowOff>
    </xdr:from>
    <xdr:to>
      <xdr:col>8</xdr:col>
      <xdr:colOff>197304</xdr:colOff>
      <xdr:row>23</xdr:row>
      <xdr:rowOff>41883</xdr:rowOff>
    </xdr:to>
    <xdr:sp macro="" textlink="">
      <xdr:nvSpPr>
        <xdr:cNvPr id="142" name="bar_DOU" hidden="1"/>
        <xdr:cNvSpPr/>
      </xdr:nvSpPr>
      <xdr:spPr bwMode="auto">
        <a:xfrm>
          <a:off x="4623026" y="4447361"/>
          <a:ext cx="89128" cy="14747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345622</xdr:colOff>
      <xdr:row>35</xdr:row>
      <xdr:rowOff>135602</xdr:rowOff>
    </xdr:from>
    <xdr:to>
      <xdr:col>10</xdr:col>
      <xdr:colOff>431347</xdr:colOff>
      <xdr:row>36</xdr:row>
      <xdr:rowOff>139854</xdr:rowOff>
    </xdr:to>
    <xdr:sp macro="" textlink="">
      <xdr:nvSpPr>
        <xdr:cNvPr id="143" name="bar_DUR" hidden="1"/>
        <xdr:cNvSpPr/>
      </xdr:nvSpPr>
      <xdr:spPr bwMode="auto">
        <a:xfrm>
          <a:off x="6079672" y="6974552"/>
          <a:ext cx="85725" cy="1947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429986</xdr:colOff>
      <xdr:row>31</xdr:row>
      <xdr:rowOff>105594</xdr:rowOff>
    </xdr:from>
    <xdr:to>
      <xdr:col>10</xdr:col>
      <xdr:colOff>515711</xdr:colOff>
      <xdr:row>32</xdr:row>
      <xdr:rowOff>33718</xdr:rowOff>
    </xdr:to>
    <xdr:sp macro="" textlink="">
      <xdr:nvSpPr>
        <xdr:cNvPr id="144" name="bar_HRE" hidden="1"/>
        <xdr:cNvSpPr/>
      </xdr:nvSpPr>
      <xdr:spPr bwMode="auto">
        <a:xfrm>
          <a:off x="6164036" y="6182544"/>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405493</xdr:colOff>
      <xdr:row>20</xdr:row>
      <xdr:rowOff>124793</xdr:rowOff>
    </xdr:from>
    <xdr:to>
      <xdr:col>7</xdr:col>
      <xdr:colOff>491218</xdr:colOff>
      <xdr:row>21</xdr:row>
      <xdr:rowOff>118081</xdr:rowOff>
    </xdr:to>
    <xdr:sp macro="" textlink="">
      <xdr:nvSpPr>
        <xdr:cNvPr id="145" name="bar_IBN" hidden="1"/>
        <xdr:cNvSpPr/>
      </xdr:nvSpPr>
      <xdr:spPr bwMode="auto">
        <a:xfrm>
          <a:off x="4310743" y="4106243"/>
          <a:ext cx="85725" cy="18378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190501</xdr:colOff>
      <xdr:row>32</xdr:row>
      <xdr:rowOff>140520</xdr:rowOff>
    </xdr:from>
    <xdr:to>
      <xdr:col>10</xdr:col>
      <xdr:colOff>276226</xdr:colOff>
      <xdr:row>35</xdr:row>
      <xdr:rowOff>66374</xdr:rowOff>
    </xdr:to>
    <xdr:sp macro="" textlink="">
      <xdr:nvSpPr>
        <xdr:cNvPr id="146" name="bar_JOH" hidden="1"/>
        <xdr:cNvSpPr/>
      </xdr:nvSpPr>
      <xdr:spPr bwMode="auto">
        <a:xfrm>
          <a:off x="5924551" y="6407970"/>
          <a:ext cx="85725" cy="49735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2723</xdr:colOff>
      <xdr:row>23</xdr:row>
      <xdr:rowOff>189823</xdr:rowOff>
    </xdr:from>
    <xdr:to>
      <xdr:col>11</xdr:col>
      <xdr:colOff>88448</xdr:colOff>
      <xdr:row>24</xdr:row>
      <xdr:rowOff>82703</xdr:rowOff>
    </xdr:to>
    <xdr:sp macro="" textlink="">
      <xdr:nvSpPr>
        <xdr:cNvPr id="147" name="bar_KAM" hidden="1"/>
        <xdr:cNvSpPr/>
      </xdr:nvSpPr>
      <xdr:spPr bwMode="auto">
        <a:xfrm>
          <a:off x="6346373" y="4742773"/>
          <a:ext cx="85725" cy="8338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522514</xdr:colOff>
      <xdr:row>18</xdr:row>
      <xdr:rowOff>6225</xdr:rowOff>
    </xdr:from>
    <xdr:to>
      <xdr:col>10</xdr:col>
      <xdr:colOff>608239</xdr:colOff>
      <xdr:row>18</xdr:row>
      <xdr:rowOff>44605</xdr:rowOff>
    </xdr:to>
    <xdr:sp macro="" textlink="">
      <xdr:nvSpPr>
        <xdr:cNvPr id="148" name="bar_KHA" hidden="1"/>
        <xdr:cNvSpPr/>
      </xdr:nvSpPr>
      <xdr:spPr bwMode="auto">
        <a:xfrm>
          <a:off x="6256564" y="3606675"/>
          <a:ext cx="85725" cy="3838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470808</xdr:colOff>
      <xdr:row>22</xdr:row>
      <xdr:rowOff>183396</xdr:rowOff>
    </xdr:from>
    <xdr:to>
      <xdr:col>8</xdr:col>
      <xdr:colOff>556533</xdr:colOff>
      <xdr:row>26</xdr:row>
      <xdr:rowOff>183396</xdr:rowOff>
    </xdr:to>
    <xdr:sp macro="" textlink="">
      <xdr:nvSpPr>
        <xdr:cNvPr id="149" name="bar_KSH" hidden="1"/>
        <xdr:cNvSpPr/>
      </xdr:nvSpPr>
      <xdr:spPr bwMode="auto">
        <a:xfrm>
          <a:off x="4985658" y="4545846"/>
          <a:ext cx="85725" cy="762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6</xdr:col>
      <xdr:colOff>527958</xdr:colOff>
      <xdr:row>21</xdr:row>
      <xdr:rowOff>48807</xdr:rowOff>
    </xdr:from>
    <xdr:to>
      <xdr:col>7</xdr:col>
      <xdr:colOff>1361</xdr:colOff>
      <xdr:row>21</xdr:row>
      <xdr:rowOff>172511</xdr:rowOff>
    </xdr:to>
    <xdr:sp macro="" textlink="">
      <xdr:nvSpPr>
        <xdr:cNvPr id="150" name="bar_KUM" hidden="1"/>
        <xdr:cNvSpPr/>
      </xdr:nvSpPr>
      <xdr:spPr bwMode="auto">
        <a:xfrm>
          <a:off x="3823608" y="4220757"/>
          <a:ext cx="83003" cy="1237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410937</xdr:colOff>
      <xdr:row>27</xdr:row>
      <xdr:rowOff>95551</xdr:rowOff>
    </xdr:from>
    <xdr:to>
      <xdr:col>8</xdr:col>
      <xdr:colOff>496662</xdr:colOff>
      <xdr:row>28</xdr:row>
      <xdr:rowOff>109917</xdr:rowOff>
    </xdr:to>
    <xdr:sp macro="" textlink="">
      <xdr:nvSpPr>
        <xdr:cNvPr id="152" name="bar_LUA" hidden="1"/>
        <xdr:cNvSpPr/>
      </xdr:nvSpPr>
      <xdr:spPr bwMode="auto">
        <a:xfrm>
          <a:off x="4925787" y="5410501"/>
          <a:ext cx="85725" cy="204866"/>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209551</xdr:colOff>
      <xdr:row>30</xdr:row>
      <xdr:rowOff>55564</xdr:rowOff>
    </xdr:from>
    <xdr:to>
      <xdr:col>10</xdr:col>
      <xdr:colOff>295276</xdr:colOff>
      <xdr:row>30</xdr:row>
      <xdr:rowOff>167068</xdr:rowOff>
    </xdr:to>
    <xdr:sp macro="" textlink="">
      <xdr:nvSpPr>
        <xdr:cNvPr id="153" name="bar_LUS" hidden="1"/>
        <xdr:cNvSpPr/>
      </xdr:nvSpPr>
      <xdr:spPr bwMode="auto">
        <a:xfrm>
          <a:off x="5943601" y="5942014"/>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593272</xdr:colOff>
      <xdr:row>34</xdr:row>
      <xdr:rowOff>12960</xdr:rowOff>
    </xdr:from>
    <xdr:to>
      <xdr:col>11</xdr:col>
      <xdr:colOff>66676</xdr:colOff>
      <xdr:row>34</xdr:row>
      <xdr:rowOff>74541</xdr:rowOff>
    </xdr:to>
    <xdr:sp macro="" textlink="">
      <xdr:nvSpPr>
        <xdr:cNvPr id="154" name="bar_MAP" hidden="1"/>
        <xdr:cNvSpPr/>
      </xdr:nvSpPr>
      <xdr:spPr bwMode="auto">
        <a:xfrm>
          <a:off x="6327322" y="6661410"/>
          <a:ext cx="83004" cy="6158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555172</xdr:colOff>
      <xdr:row>25</xdr:row>
      <xdr:rowOff>152860</xdr:rowOff>
    </xdr:from>
    <xdr:to>
      <xdr:col>12</xdr:col>
      <xdr:colOff>28575</xdr:colOff>
      <xdr:row>26</xdr:row>
      <xdr:rowOff>22833</xdr:rowOff>
    </xdr:to>
    <xdr:sp macro="" textlink="">
      <xdr:nvSpPr>
        <xdr:cNvPr id="155" name="bar_MOM" hidden="1"/>
        <xdr:cNvSpPr/>
      </xdr:nvSpPr>
      <xdr:spPr bwMode="auto">
        <a:xfrm>
          <a:off x="6898822" y="5086810"/>
          <a:ext cx="83003" cy="60473"/>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340179</xdr:colOff>
      <xdr:row>23</xdr:row>
      <xdr:rowOff>136943</xdr:rowOff>
    </xdr:from>
    <xdr:to>
      <xdr:col>11</xdr:col>
      <xdr:colOff>425904</xdr:colOff>
      <xdr:row>24</xdr:row>
      <xdr:rowOff>148018</xdr:rowOff>
    </xdr:to>
    <xdr:sp macro="" textlink="">
      <xdr:nvSpPr>
        <xdr:cNvPr id="156" name="bar_NAI" hidden="1"/>
        <xdr:cNvSpPr/>
      </xdr:nvSpPr>
      <xdr:spPr bwMode="auto">
        <a:xfrm>
          <a:off x="6683829" y="4689893"/>
          <a:ext cx="85725" cy="201575"/>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506185</xdr:colOff>
      <xdr:row>22</xdr:row>
      <xdr:rowOff>27357</xdr:rowOff>
    </xdr:from>
    <xdr:to>
      <xdr:col>7</xdr:col>
      <xdr:colOff>591910</xdr:colOff>
      <xdr:row>22</xdr:row>
      <xdr:rowOff>109918</xdr:rowOff>
    </xdr:to>
    <xdr:sp macro="" textlink="">
      <xdr:nvSpPr>
        <xdr:cNvPr id="157" name="bar_PHT" hidden="1"/>
        <xdr:cNvSpPr/>
      </xdr:nvSpPr>
      <xdr:spPr bwMode="auto">
        <a:xfrm>
          <a:off x="4411435" y="4389807"/>
          <a:ext cx="85725" cy="8256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413658</xdr:colOff>
      <xdr:row>11</xdr:row>
      <xdr:rowOff>64803</xdr:rowOff>
    </xdr:from>
    <xdr:to>
      <xdr:col>8</xdr:col>
      <xdr:colOff>499383</xdr:colOff>
      <xdr:row>11</xdr:row>
      <xdr:rowOff>126246</xdr:rowOff>
    </xdr:to>
    <xdr:sp macro="" textlink="">
      <xdr:nvSpPr>
        <xdr:cNvPr id="158" name="bar_TRI" hidden="1"/>
        <xdr:cNvSpPr/>
      </xdr:nvSpPr>
      <xdr:spPr bwMode="auto">
        <a:xfrm>
          <a:off x="4928508" y="2331753"/>
          <a:ext cx="85725" cy="61443"/>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144237</xdr:colOff>
      <xdr:row>9</xdr:row>
      <xdr:rowOff>85448</xdr:rowOff>
    </xdr:from>
    <xdr:to>
      <xdr:col>8</xdr:col>
      <xdr:colOff>229962</xdr:colOff>
      <xdr:row>9</xdr:row>
      <xdr:rowOff>142575</xdr:rowOff>
    </xdr:to>
    <xdr:sp macro="" textlink="">
      <xdr:nvSpPr>
        <xdr:cNvPr id="159" name="bar_TUN" hidden="1"/>
        <xdr:cNvSpPr/>
      </xdr:nvSpPr>
      <xdr:spPr bwMode="auto">
        <a:xfrm>
          <a:off x="4659087" y="1971398"/>
          <a:ext cx="85725" cy="5712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70758</xdr:colOff>
      <xdr:row>21</xdr:row>
      <xdr:rowOff>63013</xdr:rowOff>
    </xdr:from>
    <xdr:to>
      <xdr:col>8</xdr:col>
      <xdr:colOff>156483</xdr:colOff>
      <xdr:row>21</xdr:row>
      <xdr:rowOff>150740</xdr:rowOff>
    </xdr:to>
    <xdr:sp macro="" textlink="">
      <xdr:nvSpPr>
        <xdr:cNvPr id="160" name="bar_ABU" hidden="1"/>
        <xdr:cNvSpPr/>
      </xdr:nvSpPr>
      <xdr:spPr bwMode="auto">
        <a:xfrm>
          <a:off x="4585608" y="4234963"/>
          <a:ext cx="85725" cy="8772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6</xdr:col>
      <xdr:colOff>236764</xdr:colOff>
      <xdr:row>21</xdr:row>
      <xdr:rowOff>42640</xdr:rowOff>
    </xdr:from>
    <xdr:to>
      <xdr:col>6</xdr:col>
      <xdr:colOff>322489</xdr:colOff>
      <xdr:row>22</xdr:row>
      <xdr:rowOff>107197</xdr:rowOff>
    </xdr:to>
    <xdr:sp macro="" textlink="">
      <xdr:nvSpPr>
        <xdr:cNvPr id="161" name="bar_ABI" hidden="1"/>
        <xdr:cNvSpPr/>
      </xdr:nvSpPr>
      <xdr:spPr bwMode="auto">
        <a:xfrm>
          <a:off x="3532414" y="4214590"/>
          <a:ext cx="85725" cy="25505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0</xdr:col>
      <xdr:colOff>228600</xdr:colOff>
      <xdr:row>6</xdr:row>
      <xdr:rowOff>38100</xdr:rowOff>
    </xdr:from>
    <xdr:to>
      <xdr:col>20</xdr:col>
      <xdr:colOff>38099</xdr:colOff>
      <xdr:row>40</xdr:row>
      <xdr:rowOff>38100</xdr:rowOff>
    </xdr:to>
    <xdr:sp macro="" textlink="">
      <xdr:nvSpPr>
        <xdr:cNvPr id="257" name="txt_CatSelected" hidden="1"/>
        <xdr:cNvSpPr txBox="1"/>
      </xdr:nvSpPr>
      <xdr:spPr>
        <a:xfrm>
          <a:off x="228600" y="1276350"/>
          <a:ext cx="11353799" cy="655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endParaRPr lang="en-GB" sz="1800"/>
        </a:p>
        <a:p>
          <a:pPr algn="ctr"/>
          <a:r>
            <a:rPr lang="en-GB" sz="1800">
              <a:solidFill>
                <a:schemeClr val="bg1">
                  <a:lumMod val="50000"/>
                </a:schemeClr>
              </a:solidFill>
            </a:rPr>
            <a:t>CATEGORY</a:t>
          </a:r>
          <a:r>
            <a:rPr lang="en-GB" sz="1800" baseline="0">
              <a:solidFill>
                <a:schemeClr val="bg1">
                  <a:lumMod val="50000"/>
                </a:schemeClr>
              </a:solidFill>
            </a:rPr>
            <a:t> HEADING SELECTED</a:t>
          </a:r>
        </a:p>
        <a:p>
          <a:pPr algn="ctr"/>
          <a:endParaRPr lang="en-GB" sz="1800" baseline="0"/>
        </a:p>
        <a:p>
          <a:pPr algn="ctr"/>
          <a:r>
            <a:rPr lang="en-GB" sz="1800" baseline="0">
              <a:solidFill>
                <a:schemeClr val="bg1">
                  <a:lumMod val="50000"/>
                </a:schemeClr>
              </a:solidFill>
            </a:rPr>
            <a:t>Select an indicator from the dropdown above to view data</a:t>
          </a:r>
        </a:p>
        <a:p>
          <a:pPr algn="ctr"/>
          <a:endParaRPr lang="en-GB" sz="1100"/>
        </a:p>
      </xdr:txBody>
    </xdr:sp>
    <xdr:clientData/>
  </xdr:twoCellAnchor>
  <xdr:twoCellAnchor>
    <xdr:from>
      <xdr:col>3</xdr:col>
      <xdr:colOff>590276</xdr:colOff>
      <xdr:row>14</xdr:row>
      <xdr:rowOff>26795</xdr:rowOff>
    </xdr:from>
    <xdr:to>
      <xdr:col>19</xdr:col>
      <xdr:colOff>52918</xdr:colOff>
      <xdr:row>36</xdr:row>
      <xdr:rowOff>83689</xdr:rowOff>
    </xdr:to>
    <xdr:grpSp>
      <xdr:nvGrpSpPr>
        <xdr:cNvPr id="1529" name="grpCountryLabels2" hidden="1"/>
        <xdr:cNvGrpSpPr/>
      </xdr:nvGrpSpPr>
      <xdr:grpSpPr>
        <a:xfrm>
          <a:off x="2685776" y="3729639"/>
          <a:ext cx="9035267" cy="4247894"/>
          <a:chOff x="2061359" y="2873712"/>
          <a:chExt cx="9178142" cy="4247894"/>
        </a:xfrm>
      </xdr:grpSpPr>
      <xdr:sp macro="" textlink="">
        <xdr:nvSpPr>
          <xdr:cNvPr id="1525" name="lbl_country_TRK" hidden="1"/>
          <xdr:cNvSpPr txBox="1"/>
        </xdr:nvSpPr>
        <xdr:spPr>
          <a:xfrm>
            <a:off x="6318251" y="3143250"/>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POLAND</a:t>
            </a:r>
          </a:p>
        </xdr:txBody>
      </xdr:sp>
      <xdr:sp macro="" textlink="">
        <xdr:nvSpPr>
          <xdr:cNvPr id="236" name="lbl_country_COL" hidden="1"/>
          <xdr:cNvSpPr txBox="1"/>
        </xdr:nvSpPr>
        <xdr:spPr>
          <a:xfrm>
            <a:off x="4115035" y="522075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COLOMBIA</a:t>
            </a:r>
          </a:p>
        </xdr:txBody>
      </xdr:sp>
      <xdr:sp macro="" textlink="">
        <xdr:nvSpPr>
          <xdr:cNvPr id="237" name="lbl_country_ZAR" hidden="1"/>
          <xdr:cNvSpPr txBox="1"/>
        </xdr:nvSpPr>
        <xdr:spPr>
          <a:xfrm>
            <a:off x="6404809" y="6426792"/>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SOUTH AFRICA</a:t>
            </a:r>
          </a:p>
        </xdr:txBody>
      </xdr:sp>
      <xdr:sp macro="" textlink="">
        <xdr:nvSpPr>
          <xdr:cNvPr id="238" name="lbl_country_ESP" hidden="1"/>
          <xdr:cNvSpPr txBox="1"/>
        </xdr:nvSpPr>
        <xdr:spPr>
          <a:xfrm>
            <a:off x="5989751" y="3848031"/>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SPAIN</a:t>
            </a:r>
          </a:p>
        </xdr:txBody>
      </xdr:sp>
      <xdr:sp macro="" textlink="">
        <xdr:nvSpPr>
          <xdr:cNvPr id="239" name="lbl_country_CIV" hidden="1"/>
          <xdr:cNvSpPr txBox="1"/>
        </xdr:nvSpPr>
        <xdr:spPr>
          <a:xfrm>
            <a:off x="2061359" y="4502421"/>
            <a:ext cx="205431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MEXICO</a:t>
            </a:r>
          </a:p>
        </xdr:txBody>
      </xdr:sp>
      <xdr:sp macro="" textlink="">
        <xdr:nvSpPr>
          <xdr:cNvPr id="240" name="lbl_country_EGY" hidden="1"/>
          <xdr:cNvSpPr txBox="1"/>
        </xdr:nvSpPr>
        <xdr:spPr>
          <a:xfrm>
            <a:off x="4164192" y="557577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BRAZIL</a:t>
            </a:r>
          </a:p>
        </xdr:txBody>
      </xdr:sp>
      <xdr:sp macro="" textlink="">
        <xdr:nvSpPr>
          <xdr:cNvPr id="241" name="lbl_country_PER" hidden="1"/>
          <xdr:cNvSpPr txBox="1"/>
        </xdr:nvSpPr>
        <xdr:spPr>
          <a:xfrm>
            <a:off x="3539803" y="5820835"/>
            <a:ext cx="1370608" cy="179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PERU</a:t>
            </a:r>
          </a:p>
        </xdr:txBody>
      </xdr:sp>
      <xdr:sp macro="" textlink="">
        <xdr:nvSpPr>
          <xdr:cNvPr id="242" name="lbl_country_TRK" hidden="1"/>
          <xdr:cNvSpPr txBox="1"/>
        </xdr:nvSpPr>
        <xdr:spPr>
          <a:xfrm>
            <a:off x="6996778" y="378875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TURKEY</a:t>
            </a:r>
          </a:p>
        </xdr:txBody>
      </xdr:sp>
      <xdr:sp macro="" textlink="">
        <xdr:nvSpPr>
          <xdr:cNvPr id="243" name="lbl_country_CHI" hidden="1"/>
          <xdr:cNvSpPr txBox="1"/>
        </xdr:nvSpPr>
        <xdr:spPr>
          <a:xfrm>
            <a:off x="8611235" y="392269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CHINA</a:t>
            </a:r>
          </a:p>
        </xdr:txBody>
      </xdr:sp>
      <xdr:sp macro="" textlink="">
        <xdr:nvSpPr>
          <xdr:cNvPr id="244" name="lbl_country_ARG" hidden="1"/>
          <xdr:cNvSpPr txBox="1"/>
        </xdr:nvSpPr>
        <xdr:spPr>
          <a:xfrm>
            <a:off x="3815875" y="690878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ARGENTINA</a:t>
            </a:r>
          </a:p>
        </xdr:txBody>
      </xdr:sp>
      <xdr:sp macro="" textlink="">
        <xdr:nvSpPr>
          <xdr:cNvPr id="246" name="lbl_country_USA" hidden="1"/>
          <xdr:cNvSpPr txBox="1"/>
        </xdr:nvSpPr>
        <xdr:spPr>
          <a:xfrm>
            <a:off x="2735865" y="397187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USA</a:t>
            </a:r>
          </a:p>
        </xdr:txBody>
      </xdr:sp>
      <xdr:sp macro="" textlink="">
        <xdr:nvSpPr>
          <xdr:cNvPr id="247" name="lbl_country_SEN" hidden="1"/>
          <xdr:cNvSpPr txBox="1"/>
        </xdr:nvSpPr>
        <xdr:spPr>
          <a:xfrm>
            <a:off x="2531065" y="3184223"/>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CANADA</a:t>
            </a:r>
          </a:p>
        </xdr:txBody>
      </xdr:sp>
      <xdr:sp macro="" textlink="">
        <xdr:nvSpPr>
          <xdr:cNvPr id="248" name="lbl_country_RUS" hidden="1"/>
          <xdr:cNvSpPr txBox="1"/>
        </xdr:nvSpPr>
        <xdr:spPr>
          <a:xfrm>
            <a:off x="8043030" y="2873712"/>
            <a:ext cx="1902382" cy="216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RUSSIA</a:t>
            </a:r>
          </a:p>
        </xdr:txBody>
      </xdr:sp>
      <xdr:sp macro="" textlink="">
        <xdr:nvSpPr>
          <xdr:cNvPr id="249" name="lbl_country_GBR" hidden="1"/>
          <xdr:cNvSpPr txBox="1"/>
        </xdr:nvSpPr>
        <xdr:spPr>
          <a:xfrm>
            <a:off x="5836835" y="309719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UK</a:t>
            </a:r>
          </a:p>
        </xdr:txBody>
      </xdr:sp>
      <xdr:sp macro="" textlink="">
        <xdr:nvSpPr>
          <xdr:cNvPr id="250" name="lbl_country_KEN" hidden="1"/>
          <xdr:cNvSpPr txBox="1"/>
        </xdr:nvSpPr>
        <xdr:spPr>
          <a:xfrm>
            <a:off x="9968077" y="3498827"/>
            <a:ext cx="1271424" cy="417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SOUTH</a:t>
            </a:r>
          </a:p>
          <a:p>
            <a:pPr algn="ctr"/>
            <a:r>
              <a:rPr lang="en-GB" sz="1000" b="1">
                <a:solidFill>
                  <a:sysClr val="windowText" lastClr="000000"/>
                </a:solidFill>
              </a:rPr>
              <a:t>KOREA</a:t>
            </a:r>
          </a:p>
        </xdr:txBody>
      </xdr:sp>
      <xdr:sp macro="" textlink="">
        <xdr:nvSpPr>
          <xdr:cNvPr id="251" name="lbl_country_IND" hidden="1"/>
          <xdr:cNvSpPr txBox="1"/>
        </xdr:nvSpPr>
        <xdr:spPr>
          <a:xfrm>
            <a:off x="8090482" y="4815909"/>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INDIA</a:t>
            </a:r>
          </a:p>
        </xdr:txBody>
      </xdr:sp>
      <xdr:sp macro="" textlink="">
        <xdr:nvSpPr>
          <xdr:cNvPr id="252" name="lbl_country_NIG" hidden="1"/>
          <xdr:cNvSpPr txBox="1"/>
        </xdr:nvSpPr>
        <xdr:spPr>
          <a:xfrm>
            <a:off x="5996725" y="526993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NIGERIA</a:t>
            </a:r>
          </a:p>
        </xdr:txBody>
      </xdr:sp>
      <xdr:sp macro="" textlink="">
        <xdr:nvSpPr>
          <xdr:cNvPr id="253" name="lbl_country_AUS" hidden="1"/>
          <xdr:cNvSpPr txBox="1"/>
        </xdr:nvSpPr>
        <xdr:spPr>
          <a:xfrm>
            <a:off x="10014057" y="6138333"/>
            <a:ext cx="1161943" cy="224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l"/>
            <a:r>
              <a:rPr lang="en-GB" sz="1000" b="1">
                <a:solidFill>
                  <a:sysClr val="windowText" lastClr="000000"/>
                </a:solidFill>
              </a:rPr>
              <a:t>AUSTRALIA</a:t>
            </a:r>
          </a:p>
        </xdr:txBody>
      </xdr:sp>
      <xdr:sp macro="" textlink="">
        <xdr:nvSpPr>
          <xdr:cNvPr id="254" name="lbl_country_INA" hidden="1"/>
          <xdr:cNvSpPr txBox="1"/>
        </xdr:nvSpPr>
        <xdr:spPr>
          <a:xfrm>
            <a:off x="8379130" y="5618182"/>
            <a:ext cx="1766250" cy="216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INDONESIA</a:t>
            </a:r>
          </a:p>
        </xdr:txBody>
      </xdr:sp>
      <xdr:sp macro="" textlink="">
        <xdr:nvSpPr>
          <xdr:cNvPr id="255" name="lbl_country_MRC" hidden="1"/>
          <xdr:cNvSpPr txBox="1"/>
        </xdr:nvSpPr>
        <xdr:spPr>
          <a:xfrm>
            <a:off x="5568022" y="4414672"/>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MOROCCO</a:t>
            </a:r>
          </a:p>
        </xdr:txBody>
      </xdr:sp>
      <xdr:sp macro="" textlink="">
        <xdr:nvSpPr>
          <xdr:cNvPr id="256" name="lbl_country_GHA" hidden="1"/>
          <xdr:cNvSpPr txBox="1"/>
        </xdr:nvSpPr>
        <xdr:spPr>
          <a:xfrm>
            <a:off x="2927850" y="492243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PANAMA</a:t>
            </a:r>
          </a:p>
        </xdr:txBody>
      </xdr:sp>
      <xdr:sp macro="" textlink="">
        <xdr:nvSpPr>
          <xdr:cNvPr id="1519" name="lbl_country_THD" hidden="1"/>
          <xdr:cNvSpPr txBox="1"/>
        </xdr:nvSpPr>
        <xdr:spPr>
          <a:xfrm>
            <a:off x="8688916" y="45614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THAILAND</a:t>
            </a:r>
          </a:p>
        </xdr:txBody>
      </xdr:sp>
      <xdr:sp macro="" textlink="">
        <xdr:nvSpPr>
          <xdr:cNvPr id="1520" name="lbl_country_MLY" hidden="1"/>
          <xdr:cNvSpPr txBox="1"/>
        </xdr:nvSpPr>
        <xdr:spPr>
          <a:xfrm>
            <a:off x="8238066" y="53488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MALAYSIA</a:t>
            </a:r>
          </a:p>
        </xdr:txBody>
      </xdr:sp>
      <xdr:sp macro="" textlink="">
        <xdr:nvSpPr>
          <xdr:cNvPr id="1521" name="lbl_country_PHL" hidden="1"/>
          <xdr:cNvSpPr txBox="1"/>
        </xdr:nvSpPr>
        <xdr:spPr>
          <a:xfrm>
            <a:off x="9840387" y="498263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PHILIPPINES</a:t>
            </a:r>
          </a:p>
        </xdr:txBody>
      </xdr:sp>
      <xdr:sp macro="" textlink="">
        <xdr:nvSpPr>
          <xdr:cNvPr id="1522" name="lbl_country_SNG" hidden="1"/>
          <xdr:cNvSpPr txBox="1"/>
        </xdr:nvSpPr>
        <xdr:spPr>
          <a:xfrm>
            <a:off x="9577917" y="53234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SINGAPORE</a:t>
            </a:r>
          </a:p>
        </xdr:txBody>
      </xdr:sp>
      <xdr:sp macro="" textlink="">
        <xdr:nvSpPr>
          <xdr:cNvPr id="1523" name="lbl_country_HNK" hidden="1"/>
          <xdr:cNvSpPr txBox="1"/>
        </xdr:nvSpPr>
        <xdr:spPr>
          <a:xfrm>
            <a:off x="8693152" y="4370917"/>
            <a:ext cx="1128181" cy="185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HONG KONG</a:t>
            </a:r>
          </a:p>
        </xdr:txBody>
      </xdr:sp>
      <xdr:sp macro="" textlink="">
        <xdr:nvSpPr>
          <xdr:cNvPr id="1524" name="lbl_country_TWN" hidden="1"/>
          <xdr:cNvSpPr txBox="1"/>
        </xdr:nvSpPr>
        <xdr:spPr>
          <a:xfrm>
            <a:off x="9863666" y="4423834"/>
            <a:ext cx="1243609" cy="20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TAIWAN</a:t>
            </a:r>
          </a:p>
        </xdr:txBody>
      </xdr:sp>
      <xdr:sp macro="" textlink="">
        <xdr:nvSpPr>
          <xdr:cNvPr id="1526" name="lbl_country_UAE" hidden="1"/>
          <xdr:cNvSpPr txBox="1"/>
        </xdr:nvSpPr>
        <xdr:spPr>
          <a:xfrm>
            <a:off x="7651749" y="4656665"/>
            <a:ext cx="623425" cy="217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UAE</a:t>
            </a:r>
          </a:p>
        </xdr:txBody>
      </xdr:sp>
      <xdr:sp macro="" textlink="">
        <xdr:nvSpPr>
          <xdr:cNvPr id="1527" name="lbl_country_ISR" hidden="1"/>
          <xdr:cNvSpPr txBox="1"/>
        </xdr:nvSpPr>
        <xdr:spPr>
          <a:xfrm>
            <a:off x="6496050" y="42947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ISRAEL</a:t>
            </a:r>
          </a:p>
        </xdr:txBody>
      </xdr:sp>
    </xdr:grpSp>
    <xdr:clientData/>
  </xdr:twoCellAnchor>
  <xdr:twoCellAnchor>
    <xdr:from>
      <xdr:col>1</xdr:col>
      <xdr:colOff>22225</xdr:colOff>
      <xdr:row>22</xdr:row>
      <xdr:rowOff>41275</xdr:rowOff>
    </xdr:from>
    <xdr:to>
      <xdr:col>4</xdr:col>
      <xdr:colOff>809400</xdr:colOff>
      <xdr:row>33</xdr:row>
      <xdr:rowOff>22225</xdr:rowOff>
    </xdr:to>
    <xdr:grpSp>
      <xdr:nvGrpSpPr>
        <xdr:cNvPr id="405" name="gLeg1" hidden="1"/>
        <xdr:cNvGrpSpPr/>
      </xdr:nvGrpSpPr>
      <xdr:grpSpPr>
        <a:xfrm>
          <a:off x="200819" y="5268119"/>
          <a:ext cx="3299394" cy="2076450"/>
          <a:chOff x="2057400" y="8143875"/>
          <a:chExt cx="3276600" cy="2076450"/>
        </a:xfrm>
      </xdr:grpSpPr>
      <xdr:sp macro="" textlink="">
        <xdr:nvSpPr>
          <xdr:cNvPr id="406" name="Rectangle 405" hidden="1"/>
          <xdr:cNvSpPr/>
        </xdr:nvSpPr>
        <xdr:spPr>
          <a:xfrm>
            <a:off x="2057400" y="8143875"/>
            <a:ext cx="3276600" cy="2076450"/>
          </a:xfrm>
          <a:prstGeom prst="rect">
            <a:avLst/>
          </a:prstGeom>
          <a:solidFill>
            <a:schemeClr val="bg1">
              <a:alpha val="84000"/>
            </a:schemeClr>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407" name="leg1_big_circle" hidden="1"/>
          <xdr:cNvSpPr/>
        </xdr:nvSpPr>
        <xdr:spPr bwMode="auto">
          <a:xfrm>
            <a:off x="2630218" y="8954555"/>
            <a:ext cx="757988" cy="763200"/>
          </a:xfrm>
          <a:prstGeom prst="ellipse">
            <a:avLst/>
          </a:prstGeom>
          <a:solidFill>
            <a:srgbClr val="00245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solidFill>
                <a:schemeClr val="bg1"/>
              </a:solidFill>
            </a:endParaRPr>
          </a:p>
        </xdr:txBody>
      </xdr:sp>
      <xdr:sp macro="" textlink="lang!C148">
        <xdr:nvSpPr>
          <xdr:cNvPr id="408" name="leg1_title" hidden="1"/>
          <xdr:cNvSpPr txBox="1"/>
        </xdr:nvSpPr>
        <xdr:spPr>
          <a:xfrm>
            <a:off x="2209800" y="8239125"/>
            <a:ext cx="2895600" cy="482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2A5DA86D-1B70-471F-BB1B-A17CFEEC4A12}" type="TxLink">
              <a:rPr lang="en-US" sz="1100" b="0" i="0" u="none" strike="noStrike">
                <a:solidFill>
                  <a:srgbClr val="000000"/>
                </a:solidFill>
                <a:latin typeface="Calibri"/>
                <a:cs typeface="Calibri"/>
              </a:rPr>
              <a:pPr algn="ctr"/>
              <a:t>Area del círculo es proporcional al valor de la data</a:t>
            </a:fld>
            <a:endParaRPr lang="en-GB" sz="1100"/>
          </a:p>
        </xdr:txBody>
      </xdr:sp>
      <xdr:sp macro="" textlink="">
        <xdr:nvSpPr>
          <xdr:cNvPr id="409" name="leg1_txt_max" hidden="1"/>
          <xdr:cNvSpPr txBox="1"/>
        </xdr:nvSpPr>
        <xdr:spPr>
          <a:xfrm>
            <a:off x="2571751" y="9210674"/>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solidFill>
                  <a:schemeClr val="bg1"/>
                </a:solidFill>
              </a:rPr>
              <a:t>100.0</a:t>
            </a:r>
          </a:p>
        </xdr:txBody>
      </xdr:sp>
      <xdr:sp macro="" textlink="">
        <xdr:nvSpPr>
          <xdr:cNvPr id="410" name="leg1_small_circle" hidden="1"/>
          <xdr:cNvSpPr/>
        </xdr:nvSpPr>
        <xdr:spPr bwMode="auto">
          <a:xfrm>
            <a:off x="4395732" y="9321799"/>
            <a:ext cx="71658" cy="72000"/>
          </a:xfrm>
          <a:prstGeom prst="ellipse">
            <a:avLst/>
          </a:prstGeom>
          <a:solidFill>
            <a:srgbClr val="00245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411" name="leg1_txt_min" hidden="1"/>
          <xdr:cNvSpPr txBox="1"/>
        </xdr:nvSpPr>
        <xdr:spPr>
          <a:xfrm>
            <a:off x="3981450" y="9010650"/>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0.0</a:t>
            </a:r>
          </a:p>
        </xdr:txBody>
      </xdr:sp>
    </xdr:grpSp>
    <xdr:clientData/>
  </xdr:twoCellAnchor>
  <xdr:twoCellAnchor editAs="oneCell">
    <xdr:from>
      <xdr:col>0</xdr:col>
      <xdr:colOff>0</xdr:colOff>
      <xdr:row>0</xdr:row>
      <xdr:rowOff>0</xdr:rowOff>
    </xdr:from>
    <xdr:to>
      <xdr:col>22</xdr:col>
      <xdr:colOff>401212</xdr:colOff>
      <xdr:row>3</xdr:row>
      <xdr:rowOff>7336</xdr:rowOff>
    </xdr:to>
    <xdr:grpSp>
      <xdr:nvGrpSpPr>
        <xdr:cNvPr id="398" name="MENU"/>
        <xdr:cNvGrpSpPr/>
      </xdr:nvGrpSpPr>
      <xdr:grpSpPr>
        <a:xfrm>
          <a:off x="0" y="0"/>
          <a:ext cx="13712400" cy="1531336"/>
          <a:chOff x="0" y="3437"/>
          <a:chExt cx="13722133" cy="1531336"/>
        </a:xfrm>
      </xdr:grpSpPr>
      <xdr:sp macro="" textlink="">
        <xdr:nvSpPr>
          <xdr:cNvPr id="382" name="nav_controls"/>
          <xdr:cNvSpPr/>
        </xdr:nvSpPr>
        <xdr:spPr>
          <a:xfrm>
            <a:off x="13624" y="3437"/>
            <a:ext cx="13708509"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lang!C38">
        <xdr:nvSpPr>
          <xdr:cNvPr id="1597" name="lbl_cnt_City_1"/>
          <xdr:cNvSpPr txBox="1"/>
        </xdr:nvSpPr>
        <xdr:spPr>
          <a:xfrm>
            <a:off x="181809" y="1026811"/>
            <a:ext cx="2564349" cy="233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D71C94D2-D765-4788-B695-EF0F5BAF0BAB}" type="TxLink">
              <a:rPr lang="en-US" sz="1100" b="1" i="0" u="none" strike="noStrike">
                <a:solidFill>
                  <a:srgbClr val="000000"/>
                </a:solidFill>
                <a:latin typeface="+mn-lt"/>
                <a:ea typeface="Karla" pitchFamily="2" charset="0"/>
                <a:cs typeface="Arial" pitchFamily="34" charset="0"/>
              </a:rPr>
              <a:pPr/>
              <a:t>SELECCIONE SERIE</a:t>
            </a:fld>
            <a:endParaRPr lang="en-GB" sz="1100" b="1">
              <a:solidFill>
                <a:sysClr val="windowText" lastClr="000000"/>
              </a:solidFill>
              <a:latin typeface="+mn-lt"/>
              <a:ea typeface="Karla" pitchFamily="2" charset="0"/>
              <a:cs typeface="Arial" pitchFamily="34" charset="0"/>
            </a:endParaRPr>
          </a:p>
        </xdr:txBody>
      </xdr:sp>
      <xdr:sp macro="" textlink="lang!C42">
        <xdr:nvSpPr>
          <xdr:cNvPr id="1601" name="lbl_cnt_City_1"/>
          <xdr:cNvSpPr txBox="1"/>
        </xdr:nvSpPr>
        <xdr:spPr>
          <a:xfrm>
            <a:off x="12429481" y="1001749"/>
            <a:ext cx="1134000" cy="223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5B68CBA6-B648-4FED-9090-615BCCC0B2E0}" type="TxLink">
              <a:rPr lang="en-US" sz="1100" b="1" i="0" u="none" strike="noStrike">
                <a:solidFill>
                  <a:srgbClr val="000000"/>
                </a:solidFill>
                <a:latin typeface="Calibri"/>
                <a:ea typeface="Karla" pitchFamily="2" charset="0"/>
                <a:cs typeface="Calibri"/>
              </a:rPr>
              <a:pPr algn="r"/>
              <a:t>PONDERACIÓN</a:t>
            </a:fld>
            <a:endParaRPr lang="en-GB" sz="1000" b="1">
              <a:solidFill>
                <a:sysClr val="windowText" lastClr="000000"/>
              </a:solidFill>
              <a:latin typeface="+mn-lt"/>
              <a:ea typeface="Karla" pitchFamily="2" charset="0"/>
            </a:endParaRPr>
          </a:p>
        </xdr:txBody>
      </xdr:sp>
      <xdr:sp macro="" textlink="">
        <xdr:nvSpPr>
          <xdr:cNvPr id="163" name="lbl_cnt_indicator"/>
          <xdr:cNvSpPr txBox="1"/>
        </xdr:nvSpPr>
        <xdr:spPr>
          <a:xfrm>
            <a:off x="9163146" y="1011934"/>
            <a:ext cx="1654342" cy="223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r>
              <a:rPr lang="en-US" sz="1100" b="1" i="0" u="none" strike="noStrike">
                <a:solidFill>
                  <a:srgbClr val="000000"/>
                </a:solidFill>
                <a:latin typeface="Calibri"/>
                <a:ea typeface="Karla" pitchFamily="2" charset="0"/>
              </a:rPr>
              <a:t>SELECCIONE CIUDAD</a:t>
            </a:r>
          </a:p>
        </xdr:txBody>
      </xdr:sp>
      <xdr:pic macro="[0]!CntCHLUp">
        <xdr:nvPicPr>
          <xdr:cNvPr id="1325" name="cnt_series_up2" descr="scroll_up_small.png"/>
          <xdr:cNvPicPr>
            <a:picLocks noChangeAspect="1"/>
          </xdr:cNvPicPr>
        </xdr:nvPicPr>
        <xdr:blipFill>
          <a:blip xmlns:r="http://schemas.openxmlformats.org/officeDocument/2006/relationships" r:embed="rId1" cstate="print"/>
          <a:stretch>
            <a:fillRect/>
          </a:stretch>
        </xdr:blipFill>
        <xdr:spPr>
          <a:xfrm>
            <a:off x="10582545" y="1248495"/>
            <a:ext cx="304923" cy="130167"/>
          </a:xfrm>
          <a:prstGeom prst="rect">
            <a:avLst/>
          </a:prstGeom>
        </xdr:spPr>
      </xdr:pic>
      <xdr:pic macro="[0]!CntCHLDown">
        <xdr:nvPicPr>
          <xdr:cNvPr id="1337" name="cnt_series_down2" descr="scroll_down_small.png"/>
          <xdr:cNvPicPr>
            <a:picLocks noChangeAspect="1"/>
          </xdr:cNvPicPr>
        </xdr:nvPicPr>
        <xdr:blipFill>
          <a:blip xmlns:r="http://schemas.openxmlformats.org/officeDocument/2006/relationships" r:embed="rId2" cstate="print"/>
          <a:stretch>
            <a:fillRect/>
          </a:stretch>
        </xdr:blipFill>
        <xdr:spPr>
          <a:xfrm>
            <a:off x="10582545" y="1376581"/>
            <a:ext cx="304842" cy="96325"/>
          </a:xfrm>
          <a:prstGeom prst="rect">
            <a:avLst/>
          </a:prstGeom>
        </xdr:spPr>
      </xdr:pic>
      <xdr:pic macro="[0]!CntUp">
        <xdr:nvPicPr>
          <xdr:cNvPr id="1315" name="cnt_series_up2" descr="scroll_up_small.png"/>
          <xdr:cNvPicPr>
            <a:picLocks noChangeAspect="1"/>
          </xdr:cNvPicPr>
        </xdr:nvPicPr>
        <xdr:blipFill>
          <a:blip xmlns:r="http://schemas.openxmlformats.org/officeDocument/2006/relationships" r:embed="rId1" cstate="print"/>
          <a:stretch>
            <a:fillRect/>
          </a:stretch>
        </xdr:blipFill>
        <xdr:spPr>
          <a:xfrm>
            <a:off x="8633738" y="1258909"/>
            <a:ext cx="304923" cy="130167"/>
          </a:xfrm>
          <a:prstGeom prst="rect">
            <a:avLst/>
          </a:prstGeom>
        </xdr:spPr>
      </xdr:pic>
      <xdr:pic macro="[0]!CntDown">
        <xdr:nvPicPr>
          <xdr:cNvPr id="1316" name="cnt_series_down2" descr="scroll_down_small.png"/>
          <xdr:cNvPicPr>
            <a:picLocks noChangeAspect="1"/>
          </xdr:cNvPicPr>
        </xdr:nvPicPr>
        <xdr:blipFill>
          <a:blip xmlns:r="http://schemas.openxmlformats.org/officeDocument/2006/relationships" r:embed="rId2" cstate="print"/>
          <a:stretch>
            <a:fillRect/>
          </a:stretch>
        </xdr:blipFill>
        <xdr:spPr>
          <a:xfrm>
            <a:off x="8633738" y="1386996"/>
            <a:ext cx="304842" cy="98590"/>
          </a:xfrm>
          <a:prstGeom prst="rect">
            <a:avLst/>
          </a:prstGeom>
        </xdr:spPr>
      </xdr:pic>
      <xdr:sp macro="[0]!LBChanger" textlink="lang!C5">
        <xdr:nvSpPr>
          <xdr:cNvPr id="383" name="Summary"/>
          <xdr:cNvSpPr/>
        </xdr:nvSpPr>
        <xdr:spPr>
          <a:xfrm>
            <a:off x="867203" y="322717"/>
            <a:ext cx="3212333"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384" name="Home1"/>
          <xdr:cNvSpPr/>
        </xdr:nvSpPr>
        <xdr:spPr>
          <a:xfrm>
            <a:off x="0" y="322717"/>
            <a:ext cx="861363" cy="367756"/>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385" name="Home" descr="Home.png"/>
          <xdr:cNvPicPr>
            <a:picLocks noChangeAspect="1"/>
          </xdr:cNvPicPr>
        </xdr:nvPicPr>
        <xdr:blipFill>
          <a:blip xmlns:r="http://schemas.openxmlformats.org/officeDocument/2006/relationships" r:embed="rId3" cstate="print"/>
          <a:stretch>
            <a:fillRect/>
          </a:stretch>
        </xdr:blipFill>
        <xdr:spPr>
          <a:xfrm>
            <a:off x="77478" y="329546"/>
            <a:ext cx="352893" cy="345662"/>
          </a:xfrm>
          <a:prstGeom prst="rect">
            <a:avLst/>
          </a:prstGeom>
        </xdr:spPr>
      </xdr:pic>
      <xdr:pic macro="[0]!Navigate_GoBack">
        <xdr:nvPicPr>
          <xdr:cNvPr id="386" name="Picture 385" descr="Silver-Back-Button.png"/>
          <xdr:cNvPicPr>
            <a:picLocks noChangeAspect="1"/>
          </xdr:cNvPicPr>
        </xdr:nvPicPr>
        <xdr:blipFill>
          <a:blip xmlns:r="http://schemas.openxmlformats.org/officeDocument/2006/relationships" r:embed="rId4" cstate="print"/>
          <a:stretch>
            <a:fillRect/>
          </a:stretch>
        </xdr:blipFill>
        <xdr:spPr>
          <a:xfrm>
            <a:off x="483517" y="329545"/>
            <a:ext cx="341556" cy="344887"/>
          </a:xfrm>
          <a:prstGeom prst="rect">
            <a:avLst/>
          </a:prstGeom>
        </xdr:spPr>
      </xdr:pic>
      <xdr:sp macro="[0]!LBChanger" textlink="lang!C6">
        <xdr:nvSpPr>
          <xdr:cNvPr id="387" name="Definiciones"/>
          <xdr:cNvSpPr/>
        </xdr:nvSpPr>
        <xdr:spPr>
          <a:xfrm>
            <a:off x="4072587" y="322717"/>
            <a:ext cx="321614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388" name="1. Map1"/>
          <xdr:cNvSpPr/>
        </xdr:nvSpPr>
        <xdr:spPr>
          <a:xfrm>
            <a:off x="7280131" y="322717"/>
            <a:ext cx="3214783" cy="367756"/>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chemeClr val="bg1"/>
                </a:solidFill>
                <a:latin typeface="Arial" pitchFamily="34" charset="0"/>
                <a:ea typeface="Karla" pitchFamily="2" charset="0"/>
                <a:cs typeface="Arial" pitchFamily="34" charset="0"/>
              </a:rPr>
              <a:pPr algn="ctr"/>
              <a:t>VISUALIZACIÓN</a:t>
            </a:fld>
            <a:endParaRPr lang="en-GB" sz="1800" b="1">
              <a:solidFill>
                <a:schemeClr val="bg1"/>
              </a:solidFill>
              <a:latin typeface="Arial" pitchFamily="34" charset="0"/>
              <a:ea typeface="Karla" pitchFamily="2" charset="0"/>
              <a:cs typeface="Arial" pitchFamily="34" charset="0"/>
            </a:endParaRPr>
          </a:p>
        </xdr:txBody>
      </xdr:sp>
      <xdr:sp macro="[0]!LBChanger" textlink="lang!C8">
        <xdr:nvSpPr>
          <xdr:cNvPr id="389" name="DataDisplay"/>
          <xdr:cNvSpPr/>
        </xdr:nvSpPr>
        <xdr:spPr>
          <a:xfrm>
            <a:off x="10491091" y="322717"/>
            <a:ext cx="321478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390" name="header"/>
          <xdr:cNvSpPr/>
        </xdr:nvSpPr>
        <xdr:spPr>
          <a:xfrm>
            <a:off x="3389" y="9525"/>
            <a:ext cx="13709207"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11">
        <xdr:nvSpPr>
          <xdr:cNvPr id="394" name="1. Map"/>
          <xdr:cNvSpPr/>
        </xdr:nvSpPr>
        <xdr:spPr>
          <a:xfrm>
            <a:off x="6723422" y="692150"/>
            <a:ext cx="2161609"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EF358F-DED7-4FEC-88EC-24018384C608}" type="TxLink">
              <a:rPr lang="en-US" sz="1200" b="1" i="0" u="none" strike="noStrike">
                <a:solidFill>
                  <a:schemeClr val="bg1"/>
                </a:solidFill>
                <a:latin typeface="Calibri"/>
                <a:cs typeface="DilleniaUPC" pitchFamily="18" charset="-34"/>
              </a:rPr>
              <a:pPr algn="ctr"/>
              <a:t>MAPA</a:t>
            </a:fld>
            <a:endParaRPr lang="en-GB" sz="1200" b="1">
              <a:solidFill>
                <a:schemeClr val="bg1"/>
              </a:solidFill>
              <a:latin typeface="+mn-lt"/>
              <a:cs typeface="DilleniaUPC" pitchFamily="18" charset="-34"/>
            </a:endParaRPr>
          </a:p>
        </xdr:txBody>
      </xdr:sp>
      <xdr:sp macro="[0]!LBChanger" textlink="lang!C12">
        <xdr:nvSpPr>
          <xdr:cNvPr id="395" name="3DPlot"/>
          <xdr:cNvSpPr/>
        </xdr:nvSpPr>
        <xdr:spPr>
          <a:xfrm>
            <a:off x="8890324" y="694271"/>
            <a:ext cx="2162669" cy="270257"/>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EB77AE1-0F80-4815-91D0-1B8789161D23}" type="TxLink">
              <a:rPr lang="en-US" sz="1200" b="1" i="0" u="none" strike="noStrike">
                <a:solidFill>
                  <a:srgbClr val="004770"/>
                </a:solidFill>
                <a:latin typeface="Calibri"/>
                <a:cs typeface="DilleniaUPC" pitchFamily="18" charset="-34"/>
              </a:rPr>
              <a:pPr algn="ctr"/>
              <a:t>GRÁFICO 3D</a:t>
            </a:fld>
            <a:endParaRPr lang="en-GB" sz="1400" b="1">
              <a:solidFill>
                <a:srgbClr val="004770"/>
              </a:solidFill>
              <a:latin typeface="+mn-lt"/>
              <a:cs typeface="DilleniaUPC" pitchFamily="18" charset="-34"/>
            </a:endParaRPr>
          </a:p>
        </xdr:txBody>
      </xdr:sp>
    </xdr:grpSp>
    <xdr:clientData/>
  </xdr:twoCellAnchor>
  <xdr:twoCellAnchor editAs="oneCell">
    <xdr:from>
      <xdr:col>1</xdr:col>
      <xdr:colOff>22225</xdr:colOff>
      <xdr:row>22</xdr:row>
      <xdr:rowOff>41275</xdr:rowOff>
    </xdr:from>
    <xdr:to>
      <xdr:col>4</xdr:col>
      <xdr:colOff>807975</xdr:colOff>
      <xdr:row>33</xdr:row>
      <xdr:rowOff>22975</xdr:rowOff>
    </xdr:to>
    <xdr:grpSp>
      <xdr:nvGrpSpPr>
        <xdr:cNvPr id="42" name="gLeg2" hidden="1"/>
        <xdr:cNvGrpSpPr/>
      </xdr:nvGrpSpPr>
      <xdr:grpSpPr>
        <a:xfrm>
          <a:off x="200819" y="5268119"/>
          <a:ext cx="3297969" cy="2077200"/>
          <a:chOff x="5895975" y="8134350"/>
          <a:chExt cx="3276600" cy="2076450"/>
        </a:xfrm>
      </xdr:grpSpPr>
      <xdr:sp macro="" textlink="">
        <xdr:nvSpPr>
          <xdr:cNvPr id="43" name="Rectangle 42" hidden="1"/>
          <xdr:cNvSpPr/>
        </xdr:nvSpPr>
        <xdr:spPr>
          <a:xfrm>
            <a:off x="5895975" y="8134350"/>
            <a:ext cx="3276600" cy="2076450"/>
          </a:xfrm>
          <a:prstGeom prst="rect">
            <a:avLst/>
          </a:prstGeom>
          <a:solidFill>
            <a:schemeClr val="bg1">
              <a:alpha val="73000"/>
            </a:schemeClr>
          </a:solidFill>
          <a:ln w="9525">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lang!C149">
        <xdr:nvSpPr>
          <xdr:cNvPr id="44" name="leg1_title" hidden="1"/>
          <xdr:cNvSpPr txBox="1"/>
        </xdr:nvSpPr>
        <xdr:spPr>
          <a:xfrm>
            <a:off x="6048375" y="8229601"/>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698D030B-453B-4CA4-856C-221A12A0117F}" type="TxLink">
              <a:rPr lang="en-US" sz="1100" b="0" i="0" u="none" strike="noStrike">
                <a:solidFill>
                  <a:srgbClr val="000000"/>
                </a:solidFill>
                <a:latin typeface="Calibri"/>
                <a:cs typeface="Calibri"/>
              </a:rPr>
              <a:pPr/>
              <a:t>Color del círculo representa el cuartil</a:t>
            </a:fld>
            <a:endParaRPr lang="en-GB" sz="1100"/>
          </a:p>
        </xdr:txBody>
      </xdr:sp>
      <xdr:sp macro="" textlink="">
        <xdr:nvSpPr>
          <xdr:cNvPr id="45" name="leg2_txt_q1" hidden="1"/>
          <xdr:cNvSpPr txBox="1"/>
        </xdr:nvSpPr>
        <xdr:spPr>
          <a:xfrm>
            <a:off x="6502400" y="8572499"/>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76 hasta 100</a:t>
            </a:r>
          </a:p>
        </xdr:txBody>
      </xdr:sp>
      <xdr:sp macro="" textlink="">
        <xdr:nvSpPr>
          <xdr:cNvPr id="46" name="leg1_small_circle" hidden="1"/>
          <xdr:cNvSpPr>
            <a:spLocks noChangeAspect="1"/>
          </xdr:cNvSpPr>
        </xdr:nvSpPr>
        <xdr:spPr bwMode="auto">
          <a:xfrm>
            <a:off x="6121400" y="8597900"/>
            <a:ext cx="252000" cy="252000"/>
          </a:xfrm>
          <a:prstGeom prst="ellipse">
            <a:avLst/>
          </a:prstGeom>
          <a:solidFill>
            <a:srgbClr val="002451"/>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47" name="leg1_small_circle" hidden="1"/>
          <xdr:cNvSpPr>
            <a:spLocks noChangeAspect="1"/>
          </xdr:cNvSpPr>
        </xdr:nvSpPr>
        <xdr:spPr bwMode="auto">
          <a:xfrm>
            <a:off x="6121401" y="9741949"/>
            <a:ext cx="252000" cy="252000"/>
          </a:xfrm>
          <a:prstGeom prst="ellipse">
            <a:avLst/>
          </a:prstGeom>
          <a:solidFill>
            <a:schemeClr val="tx2">
              <a:lumMod val="20000"/>
              <a:lumOff val="80000"/>
            </a:schemeClr>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48" name="leg1_small_circle" hidden="1"/>
          <xdr:cNvSpPr>
            <a:spLocks noChangeAspect="1"/>
          </xdr:cNvSpPr>
        </xdr:nvSpPr>
        <xdr:spPr bwMode="auto">
          <a:xfrm>
            <a:off x="6121400" y="9359900"/>
            <a:ext cx="252000" cy="252000"/>
          </a:xfrm>
          <a:prstGeom prst="ellipse">
            <a:avLst/>
          </a:prstGeom>
          <a:solidFill>
            <a:srgbClr val="00B0F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49" name="leg1_small_circle" hidden="1"/>
          <xdr:cNvSpPr>
            <a:spLocks noChangeAspect="1"/>
          </xdr:cNvSpPr>
        </xdr:nvSpPr>
        <xdr:spPr bwMode="auto">
          <a:xfrm>
            <a:off x="6121400" y="8985250"/>
            <a:ext cx="252000" cy="252000"/>
          </a:xfrm>
          <a:prstGeom prst="ellipse">
            <a:avLst/>
          </a:prstGeom>
          <a:solidFill>
            <a:srgbClr val="0070C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50" name="leg2_txt_q2" hidden="1"/>
          <xdr:cNvSpPr txBox="1"/>
        </xdr:nvSpPr>
        <xdr:spPr>
          <a:xfrm>
            <a:off x="6502400" y="8953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51 hasta 75</a:t>
            </a:r>
          </a:p>
        </xdr:txBody>
      </xdr:sp>
      <xdr:sp macro="" textlink="">
        <xdr:nvSpPr>
          <xdr:cNvPr id="51" name="leg2_txt_q3" hidden="1"/>
          <xdr:cNvSpPr txBox="1"/>
        </xdr:nvSpPr>
        <xdr:spPr>
          <a:xfrm>
            <a:off x="6502400" y="9334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26 hasta 50</a:t>
            </a:r>
          </a:p>
        </xdr:txBody>
      </xdr:sp>
      <xdr:sp macro="" textlink="">
        <xdr:nvSpPr>
          <xdr:cNvPr id="52" name="leg2_txt_q4" hidden="1"/>
          <xdr:cNvSpPr txBox="1"/>
        </xdr:nvSpPr>
        <xdr:spPr>
          <a:xfrm>
            <a:off x="6502400" y="97536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0 hasta 25</a:t>
            </a:r>
          </a:p>
        </xdr:txBody>
      </xdr:sp>
    </xdr:grpSp>
    <xdr:clientData/>
  </xdr:twoCellAnchor>
  <xdr:twoCellAnchor editAs="oneCell">
    <xdr:from>
      <xdr:col>1</xdr:col>
      <xdr:colOff>359403</xdr:colOff>
      <xdr:row>12</xdr:row>
      <xdr:rowOff>39265</xdr:rowOff>
    </xdr:from>
    <xdr:to>
      <xdr:col>1</xdr:col>
      <xdr:colOff>700111</xdr:colOff>
      <xdr:row>13</xdr:row>
      <xdr:rowOff>180526</xdr:rowOff>
    </xdr:to>
    <xdr:pic macro="[0]!Generate_PDF">
      <xdr:nvPicPr>
        <xdr:cNvPr id="1330" name="exp_pdf" descr="Export current view as PDF"/>
        <xdr:cNvPicPr>
          <a:picLocks noChangeAspect="1"/>
        </xdr:cNvPicPr>
      </xdr:nvPicPr>
      <xdr:blipFill>
        <a:blip xmlns:r="http://schemas.openxmlformats.org/officeDocument/2006/relationships" r:embed="rId5" cstate="print"/>
        <a:srcRect/>
        <a:stretch>
          <a:fillRect/>
        </a:stretch>
      </xdr:blipFill>
      <xdr:spPr bwMode="auto">
        <a:xfrm>
          <a:off x="613403" y="3373015"/>
          <a:ext cx="340708" cy="331761"/>
        </a:xfrm>
        <a:prstGeom prst="rect">
          <a:avLst/>
        </a:prstGeom>
        <a:noFill/>
        <a:ln w="9525">
          <a:noFill/>
          <a:miter lim="800000"/>
          <a:headEnd/>
          <a:tailEnd/>
        </a:ln>
      </xdr:spPr>
    </xdr:pic>
    <xdr:clientData fPrintsWithSheet="0"/>
  </xdr:twoCellAnchor>
  <xdr:twoCellAnchor editAs="oneCell">
    <xdr:from>
      <xdr:col>0</xdr:col>
      <xdr:colOff>243416</xdr:colOff>
      <xdr:row>11</xdr:row>
      <xdr:rowOff>148159</xdr:rowOff>
    </xdr:from>
    <xdr:to>
      <xdr:col>1</xdr:col>
      <xdr:colOff>339724</xdr:colOff>
      <xdr:row>14</xdr:row>
      <xdr:rowOff>13556</xdr:rowOff>
    </xdr:to>
    <xdr:pic macro="[0]!Generate_XL">
      <xdr:nvPicPr>
        <xdr:cNvPr id="1332" name="exp_xl" descr="excel-wbg.jpg"/>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xmlns="">
                <a14:imgLayer r:embed="rId7">
                  <a14:imgEffect>
                    <a14:backgroundRemoval t="10000" b="90000" l="10000" r="90000"/>
                  </a14:imgEffect>
                </a14:imgLayer>
              </a14:imgProps>
            </a:ext>
          </a:extLst>
        </a:blip>
        <a:stretch>
          <a:fillRect/>
        </a:stretch>
      </xdr:blipFill>
      <xdr:spPr>
        <a:xfrm>
          <a:off x="243416" y="3291409"/>
          <a:ext cx="353483" cy="436897"/>
        </a:xfrm>
        <a:prstGeom prst="rect">
          <a:avLst/>
        </a:prstGeom>
      </xdr:spPr>
    </xdr:pic>
    <xdr:clientData fPrintsWithSheet="0"/>
  </xdr:twoCellAnchor>
  <xdr:twoCellAnchor editAs="oneCell">
    <xdr:from>
      <xdr:col>0</xdr:col>
      <xdr:colOff>107158</xdr:colOff>
      <xdr:row>33</xdr:row>
      <xdr:rowOff>142875</xdr:rowOff>
    </xdr:from>
    <xdr:to>
      <xdr:col>2</xdr:col>
      <xdr:colOff>523876</xdr:colOff>
      <xdr:row>36</xdr:row>
      <xdr:rowOff>55554</xdr:rowOff>
    </xdr:to>
    <xdr:sp macro="" textlink="_WeightProfile">
      <xdr:nvSpPr>
        <xdr:cNvPr id="1341" name="Text Box 6"/>
        <xdr:cNvSpPr txBox="1">
          <a:spLocks noChangeArrowheads="1"/>
        </xdr:cNvSpPr>
      </xdr:nvSpPr>
      <xdr:spPr bwMode="auto">
        <a:xfrm>
          <a:off x="107158" y="7465219"/>
          <a:ext cx="1797843" cy="484179"/>
        </a:xfrm>
        <a:prstGeom prst="rect">
          <a:avLst/>
        </a:prstGeom>
        <a:noFill/>
        <a:ln w="9525">
          <a:noFill/>
          <a:miter lim="800000"/>
          <a:headEnd/>
          <a:tailEnd/>
        </a:ln>
      </xdr:spPr>
      <xdr:txBody>
        <a:bodyPr vertOverflow="clip" wrap="square" lIns="108000" tIns="27432" rIns="0" bIns="0" anchor="ctr" upright="1"/>
        <a:lstStyle/>
        <a:p>
          <a:pPr algn="l" rtl="0">
            <a:defRPr sz="1000"/>
          </a:pPr>
          <a:fld id="{6B3CEEA7-E132-459A-8C8C-F76B64C58034}" type="TxLink">
            <a:rPr lang="en-US" sz="1000" b="0" i="1" u="none" strike="noStrike" baseline="0">
              <a:solidFill>
                <a:schemeClr val="tx1">
                  <a:lumMod val="65000"/>
                  <a:lumOff val="35000"/>
                </a:schemeClr>
              </a:solidFill>
              <a:latin typeface="+mn-lt"/>
              <a:cs typeface="Calibri"/>
            </a:rPr>
            <a:pPr algn="l" rtl="0">
              <a:defRPr sz="1000"/>
            </a:pPr>
            <a:t> </a:t>
          </a:fld>
          <a:endParaRPr lang="en-GB" sz="1000" b="0" i="1" u="none" strike="noStrike" baseline="0">
            <a:solidFill>
              <a:schemeClr val="tx1">
                <a:lumMod val="65000"/>
                <a:lumOff val="35000"/>
              </a:schemeClr>
            </a:solidFill>
            <a:latin typeface="+mn-lt"/>
          </a:endParaRPr>
        </a:p>
      </xdr:txBody>
    </xdr:sp>
    <xdr:clientData/>
  </xdr:twoCellAnchor>
  <xdr:twoCellAnchor editAs="oneCell">
    <xdr:from>
      <xdr:col>4</xdr:col>
      <xdr:colOff>1131094</xdr:colOff>
      <xdr:row>10</xdr:row>
      <xdr:rowOff>41050</xdr:rowOff>
    </xdr:from>
    <xdr:to>
      <xdr:col>10</xdr:col>
      <xdr:colOff>1110684</xdr:colOff>
      <xdr:row>37</xdr:row>
      <xdr:rowOff>163888</xdr:rowOff>
    </xdr:to>
    <xdr:sp macro="" textlink="">
      <xdr:nvSpPr>
        <xdr:cNvPr id="191" name="border"/>
        <xdr:cNvSpPr>
          <a:spLocks noChangeAspect="1" noChangeArrowheads="1"/>
        </xdr:cNvSpPr>
      </xdr:nvSpPr>
      <xdr:spPr bwMode="auto">
        <a:xfrm>
          <a:off x="3821907" y="2981894"/>
          <a:ext cx="5004027" cy="5266338"/>
        </a:xfrm>
        <a:prstGeom prst="rect">
          <a:avLst/>
        </a:prstGeom>
        <a:solidFill>
          <a:sysClr val="window" lastClr="FFFFFF"/>
        </a:solidFill>
        <a:ln w="9525">
          <a:noFill/>
          <a:miter lim="800000"/>
          <a:headEnd/>
          <a:tailEnd/>
        </a:ln>
      </xdr:spPr>
    </xdr:sp>
    <xdr:clientData/>
  </xdr:twoCellAnchor>
  <xdr:twoCellAnchor editAs="oneCell">
    <xdr:from>
      <xdr:col>4</xdr:col>
      <xdr:colOff>570364</xdr:colOff>
      <xdr:row>9</xdr:row>
      <xdr:rowOff>4366</xdr:rowOff>
    </xdr:from>
    <xdr:to>
      <xdr:col>9</xdr:col>
      <xdr:colOff>457232</xdr:colOff>
      <xdr:row>36</xdr:row>
      <xdr:rowOff>73913</xdr:rowOff>
    </xdr:to>
    <xdr:grpSp>
      <xdr:nvGrpSpPr>
        <xdr:cNvPr id="178" name="Group 177"/>
        <xdr:cNvGrpSpPr/>
      </xdr:nvGrpSpPr>
      <xdr:grpSpPr>
        <a:xfrm>
          <a:off x="3261177" y="2754710"/>
          <a:ext cx="4411243" cy="5213047"/>
          <a:chOff x="2905646" y="4243876"/>
          <a:chExt cx="2646467" cy="3143291"/>
        </a:xfrm>
      </xdr:grpSpPr>
      <xdr:sp macro="" textlink="">
        <xdr:nvSpPr>
          <xdr:cNvPr id="179" name="Freeform 25"/>
          <xdr:cNvSpPr>
            <a:spLocks noChangeAspect="1"/>
          </xdr:cNvSpPr>
        </xdr:nvSpPr>
        <xdr:spPr bwMode="auto">
          <a:xfrm>
            <a:off x="4335934" y="7260514"/>
            <a:ext cx="66207" cy="92111"/>
          </a:xfrm>
          <a:custGeom>
            <a:avLst/>
            <a:gdLst>
              <a:gd name="T0" fmla="*/ 81099 w 28"/>
              <a:gd name="T1" fmla="*/ 116977 h 45"/>
              <a:gd name="T2" fmla="*/ 77143 w 28"/>
              <a:gd name="T3" fmla="*/ 113204 h 45"/>
              <a:gd name="T4" fmla="*/ 77143 w 28"/>
              <a:gd name="T5" fmla="*/ 122638 h 45"/>
              <a:gd name="T6" fmla="*/ 53407 w 28"/>
              <a:gd name="T7" fmla="*/ 116977 h 45"/>
              <a:gd name="T8" fmla="*/ 25714 w 28"/>
              <a:gd name="T9" fmla="*/ 113204 h 45"/>
              <a:gd name="T10" fmla="*/ 9890 w 28"/>
              <a:gd name="T11" fmla="*/ 116977 h 45"/>
              <a:gd name="T12" fmla="*/ 1978 w 28"/>
              <a:gd name="T13" fmla="*/ 103770 h 45"/>
              <a:gd name="T14" fmla="*/ 1978 w 28"/>
              <a:gd name="T15" fmla="*/ 92450 h 45"/>
              <a:gd name="T16" fmla="*/ 11868 w 28"/>
              <a:gd name="T17" fmla="*/ 99997 h 45"/>
              <a:gd name="T18" fmla="*/ 25714 w 28"/>
              <a:gd name="T19" fmla="*/ 98110 h 45"/>
              <a:gd name="T20" fmla="*/ 25714 w 28"/>
              <a:gd name="T21" fmla="*/ 92450 h 45"/>
              <a:gd name="T22" fmla="*/ 37583 w 28"/>
              <a:gd name="T23" fmla="*/ 90563 h 45"/>
              <a:gd name="T24" fmla="*/ 53407 w 28"/>
              <a:gd name="T25" fmla="*/ 99997 h 45"/>
              <a:gd name="T26" fmla="*/ 65275 w 28"/>
              <a:gd name="T27" fmla="*/ 99997 h 45"/>
              <a:gd name="T28" fmla="*/ 65275 w 28"/>
              <a:gd name="T29" fmla="*/ 94337 h 45"/>
              <a:gd name="T30" fmla="*/ 37583 w 28"/>
              <a:gd name="T31" fmla="*/ 81130 h 45"/>
              <a:gd name="T32" fmla="*/ 23736 w 28"/>
              <a:gd name="T33" fmla="*/ 71696 h 45"/>
              <a:gd name="T34" fmla="*/ 29671 w 28"/>
              <a:gd name="T35" fmla="*/ 64149 h 45"/>
              <a:gd name="T36" fmla="*/ 51429 w 28"/>
              <a:gd name="T37" fmla="*/ 52829 h 45"/>
              <a:gd name="T38" fmla="*/ 45495 w 28"/>
              <a:gd name="T39" fmla="*/ 41508 h 45"/>
              <a:gd name="T40" fmla="*/ 17802 w 28"/>
              <a:gd name="T41" fmla="*/ 52829 h 45"/>
              <a:gd name="T42" fmla="*/ 9890 w 28"/>
              <a:gd name="T43" fmla="*/ 32074 h 45"/>
              <a:gd name="T44" fmla="*/ 21758 w 28"/>
              <a:gd name="T45" fmla="*/ 24528 h 45"/>
              <a:gd name="T46" fmla="*/ 11868 w 28"/>
              <a:gd name="T47" fmla="*/ 13207 h 45"/>
              <a:gd name="T48" fmla="*/ 21758 w 28"/>
              <a:gd name="T49" fmla="*/ 15094 h 45"/>
              <a:gd name="T50" fmla="*/ 29671 w 28"/>
              <a:gd name="T51" fmla="*/ 15094 h 45"/>
              <a:gd name="T52" fmla="*/ 37583 w 28"/>
              <a:gd name="T53" fmla="*/ 0 h 45"/>
              <a:gd name="T54" fmla="*/ 53407 w 28"/>
              <a:gd name="T55" fmla="*/ 11320 h 45"/>
              <a:gd name="T56" fmla="*/ 65275 w 28"/>
              <a:gd name="T57" fmla="*/ 9434 h 45"/>
              <a:gd name="T58" fmla="*/ 81099 w 28"/>
              <a:gd name="T59" fmla="*/ 116977 h 45"/>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8"/>
              <a:gd name="T91" fmla="*/ 0 h 45"/>
              <a:gd name="T92" fmla="*/ 28 w 28"/>
              <a:gd name="T93" fmla="*/ 45 h 45"/>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8" h="45">
                <a:moveTo>
                  <a:pt x="28" y="43"/>
                </a:moveTo>
                <a:cubicBezTo>
                  <a:pt x="28" y="43"/>
                  <a:pt x="27" y="41"/>
                  <a:pt x="26" y="42"/>
                </a:cubicBezTo>
                <a:cubicBezTo>
                  <a:pt x="25" y="42"/>
                  <a:pt x="27" y="45"/>
                  <a:pt x="26" y="45"/>
                </a:cubicBezTo>
                <a:cubicBezTo>
                  <a:pt x="23" y="45"/>
                  <a:pt x="21" y="44"/>
                  <a:pt x="18" y="43"/>
                </a:cubicBezTo>
                <a:cubicBezTo>
                  <a:pt x="15" y="43"/>
                  <a:pt x="12" y="42"/>
                  <a:pt x="9" y="42"/>
                </a:cubicBezTo>
                <a:cubicBezTo>
                  <a:pt x="7" y="42"/>
                  <a:pt x="4" y="44"/>
                  <a:pt x="3" y="43"/>
                </a:cubicBezTo>
                <a:cubicBezTo>
                  <a:pt x="1" y="42"/>
                  <a:pt x="2" y="40"/>
                  <a:pt x="1" y="38"/>
                </a:cubicBezTo>
                <a:cubicBezTo>
                  <a:pt x="1" y="37"/>
                  <a:pt x="0" y="35"/>
                  <a:pt x="1" y="34"/>
                </a:cubicBezTo>
                <a:cubicBezTo>
                  <a:pt x="2" y="34"/>
                  <a:pt x="3" y="37"/>
                  <a:pt x="4" y="37"/>
                </a:cubicBezTo>
                <a:cubicBezTo>
                  <a:pt x="6" y="37"/>
                  <a:pt x="8" y="37"/>
                  <a:pt x="9" y="36"/>
                </a:cubicBezTo>
                <a:cubicBezTo>
                  <a:pt x="10" y="35"/>
                  <a:pt x="9" y="34"/>
                  <a:pt x="9" y="34"/>
                </a:cubicBezTo>
                <a:cubicBezTo>
                  <a:pt x="10" y="33"/>
                  <a:pt x="12" y="33"/>
                  <a:pt x="13" y="33"/>
                </a:cubicBezTo>
                <a:cubicBezTo>
                  <a:pt x="15" y="34"/>
                  <a:pt x="16" y="36"/>
                  <a:pt x="18" y="37"/>
                </a:cubicBezTo>
                <a:cubicBezTo>
                  <a:pt x="19" y="38"/>
                  <a:pt x="21" y="38"/>
                  <a:pt x="22" y="37"/>
                </a:cubicBezTo>
                <a:cubicBezTo>
                  <a:pt x="23" y="37"/>
                  <a:pt x="23" y="35"/>
                  <a:pt x="22" y="35"/>
                </a:cubicBezTo>
                <a:cubicBezTo>
                  <a:pt x="19" y="33"/>
                  <a:pt x="16" y="32"/>
                  <a:pt x="13" y="30"/>
                </a:cubicBezTo>
                <a:cubicBezTo>
                  <a:pt x="11" y="29"/>
                  <a:pt x="9" y="28"/>
                  <a:pt x="8" y="27"/>
                </a:cubicBezTo>
                <a:cubicBezTo>
                  <a:pt x="8" y="25"/>
                  <a:pt x="9" y="24"/>
                  <a:pt x="10" y="23"/>
                </a:cubicBezTo>
                <a:cubicBezTo>
                  <a:pt x="12" y="21"/>
                  <a:pt x="15" y="21"/>
                  <a:pt x="17" y="19"/>
                </a:cubicBezTo>
                <a:cubicBezTo>
                  <a:pt x="18" y="18"/>
                  <a:pt x="17" y="15"/>
                  <a:pt x="16" y="15"/>
                </a:cubicBezTo>
                <a:cubicBezTo>
                  <a:pt x="12" y="15"/>
                  <a:pt x="9" y="20"/>
                  <a:pt x="6" y="19"/>
                </a:cubicBezTo>
                <a:cubicBezTo>
                  <a:pt x="3" y="18"/>
                  <a:pt x="3" y="14"/>
                  <a:pt x="3" y="12"/>
                </a:cubicBezTo>
                <a:cubicBezTo>
                  <a:pt x="3" y="10"/>
                  <a:pt x="7" y="11"/>
                  <a:pt x="7" y="9"/>
                </a:cubicBezTo>
                <a:cubicBezTo>
                  <a:pt x="7" y="7"/>
                  <a:pt x="4" y="6"/>
                  <a:pt x="4" y="5"/>
                </a:cubicBezTo>
                <a:cubicBezTo>
                  <a:pt x="4" y="4"/>
                  <a:pt x="6" y="6"/>
                  <a:pt x="7" y="6"/>
                </a:cubicBezTo>
                <a:cubicBezTo>
                  <a:pt x="8" y="6"/>
                  <a:pt x="9" y="7"/>
                  <a:pt x="10" y="6"/>
                </a:cubicBezTo>
                <a:cubicBezTo>
                  <a:pt x="12" y="4"/>
                  <a:pt x="11" y="1"/>
                  <a:pt x="13" y="0"/>
                </a:cubicBezTo>
                <a:cubicBezTo>
                  <a:pt x="15" y="0"/>
                  <a:pt x="16" y="4"/>
                  <a:pt x="18" y="4"/>
                </a:cubicBezTo>
                <a:cubicBezTo>
                  <a:pt x="19" y="4"/>
                  <a:pt x="20" y="4"/>
                  <a:pt x="22" y="3"/>
                </a:cubicBezTo>
                <a:cubicBezTo>
                  <a:pt x="24" y="16"/>
                  <a:pt x="26" y="30"/>
                  <a:pt x="28" y="43"/>
                </a:cubicBezTo>
                <a:close/>
              </a:path>
            </a:pathLst>
          </a:custGeom>
          <a:solidFill>
            <a:schemeClr val="bg1">
              <a:lumMod val="95000"/>
            </a:schemeClr>
          </a:solidFill>
          <a:ln w="3175" cap="rnd">
            <a:solidFill>
              <a:srgbClr val="A5A5A5"/>
            </a:solidFill>
            <a:round/>
            <a:headEnd/>
            <a:tailEnd/>
          </a:ln>
        </xdr:spPr>
      </xdr:sp>
      <xdr:sp macro="" textlink="">
        <xdr:nvSpPr>
          <xdr:cNvPr id="180" name="Freeform 159"/>
          <xdr:cNvSpPr>
            <a:spLocks noChangeAspect="1"/>
          </xdr:cNvSpPr>
        </xdr:nvSpPr>
        <xdr:spPr bwMode="auto">
          <a:xfrm>
            <a:off x="5519010" y="4877140"/>
            <a:ext cx="11035" cy="11514"/>
          </a:xfrm>
          <a:custGeom>
            <a:avLst/>
            <a:gdLst>
              <a:gd name="T0" fmla="*/ 3819 w 5"/>
              <a:gd name="T1" fmla="*/ 0 h 4"/>
              <a:gd name="T2" fmla="*/ 13366 w 5"/>
              <a:gd name="T3" fmla="*/ 7861 h 4"/>
              <a:gd name="T4" fmla="*/ 3819 w 5"/>
              <a:gd name="T5" fmla="*/ 11791 h 4"/>
              <a:gd name="T6" fmla="*/ 0 w 5"/>
              <a:gd name="T7" fmla="*/ 7861 h 4"/>
              <a:gd name="T8" fmla="*/ 3819 w 5"/>
              <a:gd name="T9" fmla="*/ 0 h 4"/>
              <a:gd name="T10" fmla="*/ 0 60000 65536"/>
              <a:gd name="T11" fmla="*/ 0 60000 65536"/>
              <a:gd name="T12" fmla="*/ 0 60000 65536"/>
              <a:gd name="T13" fmla="*/ 0 60000 65536"/>
              <a:gd name="T14" fmla="*/ 0 60000 65536"/>
              <a:gd name="T15" fmla="*/ 0 w 5"/>
              <a:gd name="T16" fmla="*/ 0 h 4"/>
              <a:gd name="T17" fmla="*/ 5 w 5"/>
              <a:gd name="T18" fmla="*/ 4 h 4"/>
            </a:gdLst>
            <a:ahLst/>
            <a:cxnLst>
              <a:cxn ang="T10">
                <a:pos x="T0" y="T1"/>
              </a:cxn>
              <a:cxn ang="T11">
                <a:pos x="T2" y="T3"/>
              </a:cxn>
              <a:cxn ang="T12">
                <a:pos x="T4" y="T5"/>
              </a:cxn>
              <a:cxn ang="T13">
                <a:pos x="T6" y="T7"/>
              </a:cxn>
              <a:cxn ang="T14">
                <a:pos x="T8" y="T9"/>
              </a:cxn>
            </a:cxnLst>
            <a:rect l="T15" t="T16" r="T17" b="T18"/>
            <a:pathLst>
              <a:path w="5" h="4">
                <a:moveTo>
                  <a:pt x="2" y="0"/>
                </a:moveTo>
                <a:cubicBezTo>
                  <a:pt x="3" y="0"/>
                  <a:pt x="5" y="1"/>
                  <a:pt x="5" y="2"/>
                </a:cubicBezTo>
                <a:cubicBezTo>
                  <a:pt x="5" y="4"/>
                  <a:pt x="3" y="4"/>
                  <a:pt x="2" y="4"/>
                </a:cubicBezTo>
                <a:cubicBezTo>
                  <a:pt x="1" y="4"/>
                  <a:pt x="0" y="3"/>
                  <a:pt x="0" y="2"/>
                </a:cubicBezTo>
                <a:cubicBezTo>
                  <a:pt x="0" y="1"/>
                  <a:pt x="1" y="0"/>
                  <a:pt x="2" y="0"/>
                </a:cubicBezTo>
                <a:close/>
              </a:path>
            </a:pathLst>
          </a:custGeom>
          <a:solidFill>
            <a:schemeClr val="bg1">
              <a:lumMod val="95000"/>
            </a:schemeClr>
          </a:solidFill>
          <a:ln w="3175" cap="rnd">
            <a:solidFill>
              <a:srgbClr val="A5A5A5"/>
            </a:solidFill>
            <a:round/>
            <a:headEnd/>
            <a:tailEnd/>
          </a:ln>
        </xdr:spPr>
      </xdr:sp>
      <xdr:sp macro="" textlink="">
        <xdr:nvSpPr>
          <xdr:cNvPr id="181" name="Freeform 167"/>
          <xdr:cNvSpPr>
            <a:spLocks noChangeAspect="1"/>
          </xdr:cNvSpPr>
        </xdr:nvSpPr>
        <xdr:spPr bwMode="auto">
          <a:xfrm>
            <a:off x="5481001" y="4888654"/>
            <a:ext cx="0" cy="0"/>
          </a:xfrm>
          <a:custGeom>
            <a:avLst/>
            <a:gdLst>
              <a:gd name="T0" fmla="*/ 2122 w 3"/>
              <a:gd name="T1" fmla="*/ 0 h 2"/>
              <a:gd name="T2" fmla="*/ 10608 w 3"/>
              <a:gd name="T3" fmla="*/ 7075 h 2"/>
              <a:gd name="T4" fmla="*/ 8487 w 3"/>
              <a:gd name="T5" fmla="*/ 9434 h 2"/>
              <a:gd name="T6" fmla="*/ 0 w 3"/>
              <a:gd name="T7" fmla="*/ 9434 h 2"/>
              <a:gd name="T8" fmla="*/ 2122 w 3"/>
              <a:gd name="T9" fmla="*/ 0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0"/>
                </a:moveTo>
                <a:cubicBezTo>
                  <a:pt x="2" y="0"/>
                  <a:pt x="3" y="1"/>
                  <a:pt x="3" y="1"/>
                </a:cubicBezTo>
                <a:cubicBezTo>
                  <a:pt x="3" y="2"/>
                  <a:pt x="2" y="2"/>
                  <a:pt x="2" y="2"/>
                </a:cubicBezTo>
                <a:cubicBezTo>
                  <a:pt x="1" y="2"/>
                  <a:pt x="0" y="2"/>
                  <a:pt x="0" y="2"/>
                </a:cubicBezTo>
                <a:cubicBezTo>
                  <a:pt x="0" y="1"/>
                  <a:pt x="1" y="0"/>
                  <a:pt x="1" y="0"/>
                </a:cubicBezTo>
                <a:close/>
              </a:path>
            </a:pathLst>
          </a:custGeom>
          <a:solidFill>
            <a:schemeClr val="bg1">
              <a:lumMod val="95000"/>
            </a:schemeClr>
          </a:solidFill>
          <a:ln w="3175" cap="rnd">
            <a:solidFill>
              <a:srgbClr val="A5A5A5"/>
            </a:solidFill>
            <a:round/>
            <a:headEnd/>
            <a:tailEnd/>
          </a:ln>
        </xdr:spPr>
      </xdr:sp>
      <xdr:sp macro="" textlink="">
        <xdr:nvSpPr>
          <xdr:cNvPr id="182" name="Freeform 168"/>
          <xdr:cNvSpPr>
            <a:spLocks noChangeAspect="1"/>
          </xdr:cNvSpPr>
        </xdr:nvSpPr>
        <xdr:spPr bwMode="auto">
          <a:xfrm>
            <a:off x="5469967" y="4796543"/>
            <a:ext cx="11035" cy="11514"/>
          </a:xfrm>
          <a:custGeom>
            <a:avLst/>
            <a:gdLst>
              <a:gd name="T0" fmla="*/ 1909 w 5"/>
              <a:gd name="T1" fmla="*/ 1965 h 4"/>
              <a:gd name="T2" fmla="*/ 11456 w 5"/>
              <a:gd name="T3" fmla="*/ 1965 h 4"/>
              <a:gd name="T4" fmla="*/ 9547 w 5"/>
              <a:gd name="T5" fmla="*/ 11791 h 4"/>
              <a:gd name="T6" fmla="*/ 0 w 5"/>
              <a:gd name="T7" fmla="*/ 9826 h 4"/>
              <a:gd name="T8" fmla="*/ 1909 w 5"/>
              <a:gd name="T9" fmla="*/ 1965 h 4"/>
              <a:gd name="T10" fmla="*/ 0 60000 65536"/>
              <a:gd name="T11" fmla="*/ 0 60000 65536"/>
              <a:gd name="T12" fmla="*/ 0 60000 65536"/>
              <a:gd name="T13" fmla="*/ 0 60000 65536"/>
              <a:gd name="T14" fmla="*/ 0 60000 65536"/>
              <a:gd name="T15" fmla="*/ 0 w 5"/>
              <a:gd name="T16" fmla="*/ 0 h 4"/>
              <a:gd name="T17" fmla="*/ 5 w 5"/>
              <a:gd name="T18" fmla="*/ 4 h 4"/>
            </a:gdLst>
            <a:ahLst/>
            <a:cxnLst>
              <a:cxn ang="T10">
                <a:pos x="T0" y="T1"/>
              </a:cxn>
              <a:cxn ang="T11">
                <a:pos x="T2" y="T3"/>
              </a:cxn>
              <a:cxn ang="T12">
                <a:pos x="T4" y="T5"/>
              </a:cxn>
              <a:cxn ang="T13">
                <a:pos x="T6" y="T7"/>
              </a:cxn>
              <a:cxn ang="T14">
                <a:pos x="T8" y="T9"/>
              </a:cxn>
            </a:cxnLst>
            <a:rect l="T15" t="T16" r="T17" b="T18"/>
            <a:pathLst>
              <a:path w="5" h="4">
                <a:moveTo>
                  <a:pt x="1" y="1"/>
                </a:moveTo>
                <a:cubicBezTo>
                  <a:pt x="2" y="0"/>
                  <a:pt x="4" y="1"/>
                  <a:pt x="4" y="1"/>
                </a:cubicBezTo>
                <a:cubicBezTo>
                  <a:pt x="5" y="2"/>
                  <a:pt x="4" y="4"/>
                  <a:pt x="3" y="4"/>
                </a:cubicBezTo>
                <a:cubicBezTo>
                  <a:pt x="2" y="4"/>
                  <a:pt x="0" y="4"/>
                  <a:pt x="0" y="3"/>
                </a:cubicBezTo>
                <a:cubicBezTo>
                  <a:pt x="0" y="3"/>
                  <a:pt x="0" y="1"/>
                  <a:pt x="1" y="1"/>
                </a:cubicBezTo>
                <a:close/>
              </a:path>
            </a:pathLst>
          </a:custGeom>
          <a:solidFill>
            <a:schemeClr val="bg1">
              <a:lumMod val="95000"/>
            </a:schemeClr>
          </a:solidFill>
          <a:ln w="3175" cap="rnd">
            <a:solidFill>
              <a:srgbClr val="A5A5A5"/>
            </a:solidFill>
            <a:round/>
            <a:headEnd/>
            <a:tailEnd/>
          </a:ln>
        </xdr:spPr>
      </xdr:sp>
      <xdr:sp macro="" textlink="">
        <xdr:nvSpPr>
          <xdr:cNvPr id="183" name="Freeform 647"/>
          <xdr:cNvSpPr>
            <a:spLocks noChangeAspect="1"/>
          </xdr:cNvSpPr>
        </xdr:nvSpPr>
        <xdr:spPr bwMode="auto">
          <a:xfrm>
            <a:off x="4137313" y="4727460"/>
            <a:ext cx="11035" cy="11514"/>
          </a:xfrm>
          <a:custGeom>
            <a:avLst/>
            <a:gdLst>
              <a:gd name="T0" fmla="*/ 11456 w 5"/>
              <a:gd name="T1" fmla="*/ 3145 h 4"/>
              <a:gd name="T2" fmla="*/ 13366 w 5"/>
              <a:gd name="T3" fmla="*/ 6289 h 4"/>
              <a:gd name="T4" fmla="*/ 3819 w 5"/>
              <a:gd name="T5" fmla="*/ 4717 h 4"/>
              <a:gd name="T6" fmla="*/ 1909 w 5"/>
              <a:gd name="T7" fmla="*/ 0 h 4"/>
              <a:gd name="T8" fmla="*/ 11456 w 5"/>
              <a:gd name="T9" fmla="*/ 3145 h 4"/>
              <a:gd name="T10" fmla="*/ 0 60000 65536"/>
              <a:gd name="T11" fmla="*/ 0 60000 65536"/>
              <a:gd name="T12" fmla="*/ 0 60000 65536"/>
              <a:gd name="T13" fmla="*/ 0 60000 65536"/>
              <a:gd name="T14" fmla="*/ 0 60000 65536"/>
              <a:gd name="T15" fmla="*/ 0 w 5"/>
              <a:gd name="T16" fmla="*/ 0 h 4"/>
              <a:gd name="T17" fmla="*/ 5 w 5"/>
              <a:gd name="T18" fmla="*/ 4 h 4"/>
            </a:gdLst>
            <a:ahLst/>
            <a:cxnLst>
              <a:cxn ang="T10">
                <a:pos x="T0" y="T1"/>
              </a:cxn>
              <a:cxn ang="T11">
                <a:pos x="T2" y="T3"/>
              </a:cxn>
              <a:cxn ang="T12">
                <a:pos x="T4" y="T5"/>
              </a:cxn>
              <a:cxn ang="T13">
                <a:pos x="T6" y="T7"/>
              </a:cxn>
              <a:cxn ang="T14">
                <a:pos x="T8" y="T9"/>
              </a:cxn>
            </a:cxnLst>
            <a:rect l="T15" t="T16" r="T17" b="T18"/>
            <a:pathLst>
              <a:path w="5" h="4">
                <a:moveTo>
                  <a:pt x="4" y="2"/>
                </a:moveTo>
                <a:cubicBezTo>
                  <a:pt x="4" y="2"/>
                  <a:pt x="5" y="3"/>
                  <a:pt x="5" y="4"/>
                </a:cubicBezTo>
                <a:cubicBezTo>
                  <a:pt x="4" y="4"/>
                  <a:pt x="3" y="3"/>
                  <a:pt x="2" y="3"/>
                </a:cubicBezTo>
                <a:cubicBezTo>
                  <a:pt x="1" y="2"/>
                  <a:pt x="0" y="1"/>
                  <a:pt x="1" y="0"/>
                </a:cubicBezTo>
                <a:cubicBezTo>
                  <a:pt x="2" y="0"/>
                  <a:pt x="3" y="1"/>
                  <a:pt x="4" y="2"/>
                </a:cubicBezTo>
                <a:close/>
              </a:path>
            </a:pathLst>
          </a:custGeom>
          <a:solidFill>
            <a:schemeClr val="bg1">
              <a:lumMod val="95000"/>
            </a:schemeClr>
          </a:solidFill>
          <a:ln w="3175" cap="rnd">
            <a:solidFill>
              <a:srgbClr val="A5A5A5"/>
            </a:solidFill>
            <a:round/>
            <a:headEnd/>
            <a:tailEnd/>
          </a:ln>
        </xdr:spPr>
      </xdr:sp>
      <xdr:sp macro="" textlink="">
        <xdr:nvSpPr>
          <xdr:cNvPr id="184" name="Freeform 651"/>
          <xdr:cNvSpPr>
            <a:spLocks noChangeAspect="1"/>
          </xdr:cNvSpPr>
        </xdr:nvSpPr>
        <xdr:spPr bwMode="auto">
          <a:xfrm>
            <a:off x="3038059" y="4347502"/>
            <a:ext cx="11035" cy="11514"/>
          </a:xfrm>
          <a:custGeom>
            <a:avLst/>
            <a:gdLst>
              <a:gd name="T0" fmla="*/ 11139 w 6"/>
              <a:gd name="T1" fmla="*/ 9172 h 6"/>
              <a:gd name="T2" fmla="*/ 12995 w 6"/>
              <a:gd name="T3" fmla="*/ 14675 h 6"/>
              <a:gd name="T4" fmla="*/ 3713 w 6"/>
              <a:gd name="T5" fmla="*/ 11006 h 6"/>
              <a:gd name="T6" fmla="*/ 1857 w 6"/>
              <a:gd name="T7" fmla="*/ 0 h 6"/>
              <a:gd name="T8" fmla="*/ 11139 w 6"/>
              <a:gd name="T9" fmla="*/ 9172 h 6"/>
              <a:gd name="T10" fmla="*/ 0 60000 65536"/>
              <a:gd name="T11" fmla="*/ 0 60000 65536"/>
              <a:gd name="T12" fmla="*/ 0 60000 65536"/>
              <a:gd name="T13" fmla="*/ 0 60000 65536"/>
              <a:gd name="T14" fmla="*/ 0 60000 65536"/>
              <a:gd name="T15" fmla="*/ 0 w 6"/>
              <a:gd name="T16" fmla="*/ 0 h 6"/>
              <a:gd name="T17" fmla="*/ 6 w 6"/>
              <a:gd name="T18" fmla="*/ 6 h 6"/>
            </a:gdLst>
            <a:ahLst/>
            <a:cxnLst>
              <a:cxn ang="T10">
                <a:pos x="T0" y="T1"/>
              </a:cxn>
              <a:cxn ang="T11">
                <a:pos x="T2" y="T3"/>
              </a:cxn>
              <a:cxn ang="T12">
                <a:pos x="T4" y="T5"/>
              </a:cxn>
              <a:cxn ang="T13">
                <a:pos x="T6" y="T7"/>
              </a:cxn>
              <a:cxn ang="T14">
                <a:pos x="T8" y="T9"/>
              </a:cxn>
            </a:cxnLst>
            <a:rect l="T15" t="T16" r="T17" b="T18"/>
            <a:pathLst>
              <a:path w="6" h="6">
                <a:moveTo>
                  <a:pt x="4" y="3"/>
                </a:moveTo>
                <a:cubicBezTo>
                  <a:pt x="5" y="4"/>
                  <a:pt x="6" y="6"/>
                  <a:pt x="5" y="6"/>
                </a:cubicBezTo>
                <a:cubicBezTo>
                  <a:pt x="4" y="6"/>
                  <a:pt x="3" y="5"/>
                  <a:pt x="2" y="4"/>
                </a:cubicBezTo>
                <a:cubicBezTo>
                  <a:pt x="2" y="2"/>
                  <a:pt x="0" y="0"/>
                  <a:pt x="1" y="0"/>
                </a:cubicBezTo>
                <a:cubicBezTo>
                  <a:pt x="2" y="0"/>
                  <a:pt x="3" y="2"/>
                  <a:pt x="4" y="3"/>
                </a:cubicBezTo>
                <a:close/>
              </a:path>
            </a:pathLst>
          </a:custGeom>
          <a:solidFill>
            <a:schemeClr val="bg1">
              <a:lumMod val="95000"/>
            </a:schemeClr>
          </a:solidFill>
          <a:ln w="3175" cap="rnd">
            <a:solidFill>
              <a:srgbClr val="A5A5A5"/>
            </a:solidFill>
            <a:round/>
            <a:headEnd/>
            <a:tailEnd/>
          </a:ln>
        </xdr:spPr>
      </xdr:sp>
      <xdr:sp macro="" textlink="">
        <xdr:nvSpPr>
          <xdr:cNvPr id="185" name="Freeform 652"/>
          <xdr:cNvSpPr>
            <a:spLocks noChangeAspect="1"/>
          </xdr:cNvSpPr>
        </xdr:nvSpPr>
        <xdr:spPr bwMode="auto">
          <a:xfrm>
            <a:off x="2993922" y="4393557"/>
            <a:ext cx="0" cy="11514"/>
          </a:xfrm>
          <a:custGeom>
            <a:avLst/>
            <a:gdLst>
              <a:gd name="T0" fmla="*/ 1591 w 1"/>
              <a:gd name="T1" fmla="*/ 9434 h 5"/>
              <a:gd name="T2" fmla="*/ 1591 w 1"/>
              <a:gd name="T3" fmla="*/ 13208 h 5"/>
              <a:gd name="T4" fmla="*/ 0 w 1"/>
              <a:gd name="T5" fmla="*/ 9434 h 5"/>
              <a:gd name="T6" fmla="*/ 1591 w 1"/>
              <a:gd name="T7" fmla="*/ 1887 h 5"/>
              <a:gd name="T8" fmla="*/ 1591 w 1"/>
              <a:gd name="T9" fmla="*/ 9434 h 5"/>
              <a:gd name="T10" fmla="*/ 0 60000 65536"/>
              <a:gd name="T11" fmla="*/ 0 60000 65536"/>
              <a:gd name="T12" fmla="*/ 0 60000 65536"/>
              <a:gd name="T13" fmla="*/ 0 60000 65536"/>
              <a:gd name="T14" fmla="*/ 0 60000 65536"/>
              <a:gd name="T15" fmla="*/ 0 w 1"/>
              <a:gd name="T16" fmla="*/ 0 h 5"/>
              <a:gd name="T17" fmla="*/ 1 w 1"/>
              <a:gd name="T18" fmla="*/ 5 h 5"/>
            </a:gdLst>
            <a:ahLst/>
            <a:cxnLst>
              <a:cxn ang="T10">
                <a:pos x="T0" y="T1"/>
              </a:cxn>
              <a:cxn ang="T11">
                <a:pos x="T2" y="T3"/>
              </a:cxn>
              <a:cxn ang="T12">
                <a:pos x="T4" y="T5"/>
              </a:cxn>
              <a:cxn ang="T13">
                <a:pos x="T6" y="T7"/>
              </a:cxn>
              <a:cxn ang="T14">
                <a:pos x="T8" y="T9"/>
              </a:cxn>
            </a:cxnLst>
            <a:rect l="T15" t="T16" r="T17" b="T18"/>
            <a:pathLst>
              <a:path w="1" h="5">
                <a:moveTo>
                  <a:pt x="1" y="3"/>
                </a:moveTo>
                <a:cubicBezTo>
                  <a:pt x="1" y="4"/>
                  <a:pt x="1" y="5"/>
                  <a:pt x="1" y="5"/>
                </a:cubicBezTo>
                <a:cubicBezTo>
                  <a:pt x="0" y="5"/>
                  <a:pt x="0" y="4"/>
                  <a:pt x="0" y="3"/>
                </a:cubicBezTo>
                <a:cubicBezTo>
                  <a:pt x="0" y="2"/>
                  <a:pt x="0" y="0"/>
                  <a:pt x="1" y="1"/>
                </a:cubicBezTo>
                <a:cubicBezTo>
                  <a:pt x="1" y="1"/>
                  <a:pt x="1" y="2"/>
                  <a:pt x="1" y="3"/>
                </a:cubicBezTo>
                <a:close/>
              </a:path>
            </a:pathLst>
          </a:custGeom>
          <a:solidFill>
            <a:schemeClr val="bg1">
              <a:lumMod val="95000"/>
            </a:schemeClr>
          </a:solidFill>
          <a:ln w="3175" cap="rnd">
            <a:solidFill>
              <a:srgbClr val="A5A5A5"/>
            </a:solidFill>
            <a:round/>
            <a:headEnd/>
            <a:tailEnd/>
          </a:ln>
        </xdr:spPr>
      </xdr:sp>
      <xdr:sp macro="" textlink="">
        <xdr:nvSpPr>
          <xdr:cNvPr id="186" name="Freeform 653"/>
          <xdr:cNvSpPr>
            <a:spLocks noChangeAspect="1"/>
          </xdr:cNvSpPr>
        </xdr:nvSpPr>
        <xdr:spPr bwMode="auto">
          <a:xfrm>
            <a:off x="2905646" y="4359015"/>
            <a:ext cx="0" cy="11514"/>
          </a:xfrm>
          <a:custGeom>
            <a:avLst/>
            <a:gdLst>
              <a:gd name="T0" fmla="*/ 12728 w 1"/>
              <a:gd name="T1" fmla="*/ 9434 h 5"/>
              <a:gd name="T2" fmla="*/ 0 w 1"/>
              <a:gd name="T3" fmla="*/ 13208 h 5"/>
              <a:gd name="T4" fmla="*/ 0 w 1"/>
              <a:gd name="T5" fmla="*/ 9434 h 5"/>
              <a:gd name="T6" fmla="*/ 12728 w 1"/>
              <a:gd name="T7" fmla="*/ 0 h 5"/>
              <a:gd name="T8" fmla="*/ 12728 w 1"/>
              <a:gd name="T9" fmla="*/ 9434 h 5"/>
              <a:gd name="T10" fmla="*/ 0 60000 65536"/>
              <a:gd name="T11" fmla="*/ 0 60000 65536"/>
              <a:gd name="T12" fmla="*/ 0 60000 65536"/>
              <a:gd name="T13" fmla="*/ 0 60000 65536"/>
              <a:gd name="T14" fmla="*/ 0 60000 65536"/>
              <a:gd name="T15" fmla="*/ 0 w 1"/>
              <a:gd name="T16" fmla="*/ 0 h 5"/>
              <a:gd name="T17" fmla="*/ 1 w 1"/>
              <a:gd name="T18" fmla="*/ 5 h 5"/>
            </a:gdLst>
            <a:ahLst/>
            <a:cxnLst>
              <a:cxn ang="T10">
                <a:pos x="T0" y="T1"/>
              </a:cxn>
              <a:cxn ang="T11">
                <a:pos x="T2" y="T3"/>
              </a:cxn>
              <a:cxn ang="T12">
                <a:pos x="T4" y="T5"/>
              </a:cxn>
              <a:cxn ang="T13">
                <a:pos x="T6" y="T7"/>
              </a:cxn>
              <a:cxn ang="T14">
                <a:pos x="T8" y="T9"/>
              </a:cxn>
            </a:cxnLst>
            <a:rect l="T15" t="T16" r="T17" b="T18"/>
            <a:pathLst>
              <a:path w="1" h="5">
                <a:moveTo>
                  <a:pt x="1" y="3"/>
                </a:moveTo>
                <a:cubicBezTo>
                  <a:pt x="1" y="4"/>
                  <a:pt x="1" y="5"/>
                  <a:pt x="0" y="5"/>
                </a:cubicBezTo>
                <a:cubicBezTo>
                  <a:pt x="0" y="5"/>
                  <a:pt x="0" y="4"/>
                  <a:pt x="0" y="3"/>
                </a:cubicBezTo>
                <a:cubicBezTo>
                  <a:pt x="0" y="2"/>
                  <a:pt x="0" y="0"/>
                  <a:pt x="1" y="0"/>
                </a:cubicBezTo>
                <a:cubicBezTo>
                  <a:pt x="1" y="1"/>
                  <a:pt x="1" y="2"/>
                  <a:pt x="1" y="3"/>
                </a:cubicBezTo>
                <a:close/>
              </a:path>
            </a:pathLst>
          </a:custGeom>
          <a:solidFill>
            <a:schemeClr val="bg1">
              <a:lumMod val="95000"/>
            </a:schemeClr>
          </a:solidFill>
          <a:ln w="3175" cap="rnd">
            <a:solidFill>
              <a:srgbClr val="A5A5A5"/>
            </a:solidFill>
            <a:round/>
            <a:headEnd/>
            <a:tailEnd/>
          </a:ln>
        </xdr:spPr>
      </xdr:sp>
      <xdr:sp macro="" textlink="">
        <xdr:nvSpPr>
          <xdr:cNvPr id="187" name="Freeform 654"/>
          <xdr:cNvSpPr>
            <a:spLocks noChangeAspect="1"/>
          </xdr:cNvSpPr>
        </xdr:nvSpPr>
        <xdr:spPr bwMode="auto">
          <a:xfrm>
            <a:off x="2905646" y="4255391"/>
            <a:ext cx="11035" cy="11514"/>
          </a:xfrm>
          <a:custGeom>
            <a:avLst/>
            <a:gdLst>
              <a:gd name="T0" fmla="*/ 7956 w 4"/>
              <a:gd name="T1" fmla="*/ 9434 h 5"/>
              <a:gd name="T2" fmla="*/ 0 w 4"/>
              <a:gd name="T3" fmla="*/ 11321 h 5"/>
              <a:gd name="T4" fmla="*/ 1989 w 4"/>
              <a:gd name="T5" fmla="*/ 3774 h 5"/>
              <a:gd name="T6" fmla="*/ 9945 w 4"/>
              <a:gd name="T7" fmla="*/ 1887 h 5"/>
              <a:gd name="T8" fmla="*/ 7956 w 4"/>
              <a:gd name="T9" fmla="*/ 9434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2" y="3"/>
                </a:moveTo>
                <a:cubicBezTo>
                  <a:pt x="1" y="4"/>
                  <a:pt x="0" y="5"/>
                  <a:pt x="0" y="4"/>
                </a:cubicBezTo>
                <a:cubicBezTo>
                  <a:pt x="0" y="4"/>
                  <a:pt x="0" y="3"/>
                  <a:pt x="1" y="2"/>
                </a:cubicBezTo>
                <a:cubicBezTo>
                  <a:pt x="1" y="2"/>
                  <a:pt x="3" y="0"/>
                  <a:pt x="3" y="1"/>
                </a:cubicBezTo>
                <a:cubicBezTo>
                  <a:pt x="4" y="2"/>
                  <a:pt x="2" y="3"/>
                  <a:pt x="2" y="3"/>
                </a:cubicBezTo>
                <a:close/>
              </a:path>
            </a:pathLst>
          </a:custGeom>
          <a:solidFill>
            <a:schemeClr val="bg1">
              <a:lumMod val="95000"/>
            </a:schemeClr>
          </a:solidFill>
          <a:ln w="3175" cap="rnd">
            <a:solidFill>
              <a:srgbClr val="A5A5A5"/>
            </a:solidFill>
            <a:round/>
            <a:headEnd/>
            <a:tailEnd/>
          </a:ln>
        </xdr:spPr>
      </xdr:sp>
      <xdr:sp macro="" textlink="">
        <xdr:nvSpPr>
          <xdr:cNvPr id="188" name="Freeform 680"/>
          <xdr:cNvSpPr>
            <a:spLocks noChangeAspect="1"/>
          </xdr:cNvSpPr>
        </xdr:nvSpPr>
        <xdr:spPr bwMode="auto">
          <a:xfrm>
            <a:off x="3758720" y="4819571"/>
            <a:ext cx="11035" cy="11514"/>
          </a:xfrm>
          <a:custGeom>
            <a:avLst/>
            <a:gdLst>
              <a:gd name="T0" fmla="*/ 9547 w 5"/>
              <a:gd name="T1" fmla="*/ 2096 h 3"/>
              <a:gd name="T2" fmla="*/ 13366 w 5"/>
              <a:gd name="T3" fmla="*/ 2096 h 3"/>
              <a:gd name="T4" fmla="*/ 9547 w 5"/>
              <a:gd name="T5" fmla="*/ 8385 h 3"/>
              <a:gd name="T6" fmla="*/ 0 w 5"/>
              <a:gd name="T7" fmla="*/ 10482 h 3"/>
              <a:gd name="T8" fmla="*/ 9547 w 5"/>
              <a:gd name="T9" fmla="*/ 2096 h 3"/>
              <a:gd name="T10" fmla="*/ 0 60000 65536"/>
              <a:gd name="T11" fmla="*/ 0 60000 65536"/>
              <a:gd name="T12" fmla="*/ 0 60000 65536"/>
              <a:gd name="T13" fmla="*/ 0 60000 65536"/>
              <a:gd name="T14" fmla="*/ 0 60000 65536"/>
              <a:gd name="T15" fmla="*/ 0 w 5"/>
              <a:gd name="T16" fmla="*/ 0 h 3"/>
              <a:gd name="T17" fmla="*/ 5 w 5"/>
              <a:gd name="T18" fmla="*/ 3 h 3"/>
            </a:gdLst>
            <a:ahLst/>
            <a:cxnLst>
              <a:cxn ang="T10">
                <a:pos x="T0" y="T1"/>
              </a:cxn>
              <a:cxn ang="T11">
                <a:pos x="T2" y="T3"/>
              </a:cxn>
              <a:cxn ang="T12">
                <a:pos x="T4" y="T5"/>
              </a:cxn>
              <a:cxn ang="T13">
                <a:pos x="T6" y="T7"/>
              </a:cxn>
              <a:cxn ang="T14">
                <a:pos x="T8" y="T9"/>
              </a:cxn>
            </a:cxnLst>
            <a:rect l="T15" t="T16" r="T17" b="T18"/>
            <a:pathLst>
              <a:path w="5" h="3">
                <a:moveTo>
                  <a:pt x="3" y="1"/>
                </a:moveTo>
                <a:cubicBezTo>
                  <a:pt x="3" y="1"/>
                  <a:pt x="4" y="0"/>
                  <a:pt x="5" y="1"/>
                </a:cubicBezTo>
                <a:cubicBezTo>
                  <a:pt x="5" y="1"/>
                  <a:pt x="4" y="2"/>
                  <a:pt x="3" y="2"/>
                </a:cubicBezTo>
                <a:cubicBezTo>
                  <a:pt x="2" y="3"/>
                  <a:pt x="1" y="3"/>
                  <a:pt x="0" y="3"/>
                </a:cubicBezTo>
                <a:cubicBezTo>
                  <a:pt x="0" y="2"/>
                  <a:pt x="2" y="1"/>
                  <a:pt x="3" y="1"/>
                </a:cubicBezTo>
                <a:close/>
              </a:path>
            </a:pathLst>
          </a:custGeom>
          <a:solidFill>
            <a:schemeClr val="bg1">
              <a:lumMod val="95000"/>
            </a:schemeClr>
          </a:solidFill>
          <a:ln w="3175" cap="rnd">
            <a:solidFill>
              <a:srgbClr val="A5A5A5"/>
            </a:solidFill>
            <a:round/>
            <a:headEnd/>
            <a:tailEnd/>
          </a:ln>
        </xdr:spPr>
      </xdr:sp>
      <xdr:sp macro="" textlink="">
        <xdr:nvSpPr>
          <xdr:cNvPr id="189" name="Freeform 681"/>
          <xdr:cNvSpPr>
            <a:spLocks noChangeAspect="1"/>
          </xdr:cNvSpPr>
        </xdr:nvSpPr>
        <xdr:spPr bwMode="auto">
          <a:xfrm>
            <a:off x="3758720" y="4692918"/>
            <a:ext cx="11035" cy="0"/>
          </a:xfrm>
          <a:custGeom>
            <a:avLst/>
            <a:gdLst>
              <a:gd name="T0" fmla="*/ 7956 w 4"/>
              <a:gd name="T1" fmla="*/ 1572 h 3"/>
              <a:gd name="T2" fmla="*/ 11934 w 4"/>
              <a:gd name="T3" fmla="*/ 0 h 3"/>
              <a:gd name="T4" fmla="*/ 7956 w 4"/>
              <a:gd name="T5" fmla="*/ 3145 h 3"/>
              <a:gd name="T6" fmla="*/ 0 w 4"/>
              <a:gd name="T7" fmla="*/ 4717 h 3"/>
              <a:gd name="T8" fmla="*/ 7956 w 4"/>
              <a:gd name="T9" fmla="*/ 1572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1"/>
                </a:moveTo>
                <a:cubicBezTo>
                  <a:pt x="2" y="0"/>
                  <a:pt x="3" y="0"/>
                  <a:pt x="4" y="0"/>
                </a:cubicBezTo>
                <a:cubicBezTo>
                  <a:pt x="4" y="1"/>
                  <a:pt x="3" y="2"/>
                  <a:pt x="2" y="2"/>
                </a:cubicBezTo>
                <a:cubicBezTo>
                  <a:pt x="2" y="3"/>
                  <a:pt x="0" y="3"/>
                  <a:pt x="0" y="3"/>
                </a:cubicBezTo>
                <a:cubicBezTo>
                  <a:pt x="0" y="2"/>
                  <a:pt x="1" y="1"/>
                  <a:pt x="2" y="1"/>
                </a:cubicBezTo>
                <a:close/>
              </a:path>
            </a:pathLst>
          </a:custGeom>
          <a:solidFill>
            <a:schemeClr val="bg1">
              <a:lumMod val="95000"/>
            </a:schemeClr>
          </a:solidFill>
          <a:ln w="3175" cap="rnd">
            <a:solidFill>
              <a:srgbClr val="A5A5A5"/>
            </a:solidFill>
            <a:round/>
            <a:headEnd/>
            <a:tailEnd/>
          </a:ln>
        </xdr:spPr>
      </xdr:sp>
      <xdr:sp macro="" textlink="">
        <xdr:nvSpPr>
          <xdr:cNvPr id="190" name="Freeform 682"/>
          <xdr:cNvSpPr>
            <a:spLocks noChangeAspect="1"/>
          </xdr:cNvSpPr>
        </xdr:nvSpPr>
        <xdr:spPr bwMode="auto">
          <a:xfrm>
            <a:off x="3725617" y="4785029"/>
            <a:ext cx="11035" cy="0"/>
          </a:xfrm>
          <a:custGeom>
            <a:avLst/>
            <a:gdLst>
              <a:gd name="T0" fmla="*/ 8487 w 3"/>
              <a:gd name="T1" fmla="*/ 1965 h 4"/>
              <a:gd name="T2" fmla="*/ 10608 w 3"/>
              <a:gd name="T3" fmla="*/ 1965 h 4"/>
              <a:gd name="T4" fmla="*/ 8487 w 3"/>
              <a:gd name="T5" fmla="*/ 7861 h 4"/>
              <a:gd name="T6" fmla="*/ 2122 w 3"/>
              <a:gd name="T7" fmla="*/ 9826 h 4"/>
              <a:gd name="T8" fmla="*/ 8487 w 3"/>
              <a:gd name="T9" fmla="*/ 1965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2" y="1"/>
                </a:moveTo>
                <a:cubicBezTo>
                  <a:pt x="2" y="1"/>
                  <a:pt x="3" y="0"/>
                  <a:pt x="3" y="1"/>
                </a:cubicBezTo>
                <a:cubicBezTo>
                  <a:pt x="3" y="1"/>
                  <a:pt x="3" y="2"/>
                  <a:pt x="2" y="2"/>
                </a:cubicBezTo>
                <a:cubicBezTo>
                  <a:pt x="2" y="3"/>
                  <a:pt x="1" y="4"/>
                  <a:pt x="1" y="3"/>
                </a:cubicBezTo>
                <a:cubicBezTo>
                  <a:pt x="0" y="3"/>
                  <a:pt x="1" y="2"/>
                  <a:pt x="2" y="1"/>
                </a:cubicBezTo>
                <a:close/>
              </a:path>
            </a:pathLst>
          </a:custGeom>
          <a:solidFill>
            <a:schemeClr val="bg1">
              <a:lumMod val="95000"/>
            </a:schemeClr>
          </a:solidFill>
          <a:ln w="3175" cap="rnd">
            <a:solidFill>
              <a:srgbClr val="A5A5A5"/>
            </a:solidFill>
            <a:round/>
            <a:headEnd/>
            <a:tailEnd/>
          </a:ln>
        </xdr:spPr>
      </xdr:sp>
      <xdr:sp macro="" textlink="">
        <xdr:nvSpPr>
          <xdr:cNvPr id="192" name="Freeform 684"/>
          <xdr:cNvSpPr>
            <a:spLocks noChangeAspect="1"/>
          </xdr:cNvSpPr>
        </xdr:nvSpPr>
        <xdr:spPr bwMode="auto">
          <a:xfrm>
            <a:off x="4468347" y="4888654"/>
            <a:ext cx="11035" cy="11514"/>
          </a:xfrm>
          <a:custGeom>
            <a:avLst/>
            <a:gdLst>
              <a:gd name="T0" fmla="*/ 9945 w 4"/>
              <a:gd name="T1" fmla="*/ 7829 h 5"/>
              <a:gd name="T2" fmla="*/ 11934 w 4"/>
              <a:gd name="T3" fmla="*/ 10961 h 5"/>
              <a:gd name="T4" fmla="*/ 7956 w 4"/>
              <a:gd name="T5" fmla="*/ 7829 h 5"/>
              <a:gd name="T6" fmla="*/ 1989 w 4"/>
              <a:gd name="T7" fmla="*/ 0 h 5"/>
              <a:gd name="T8" fmla="*/ 9945 w 4"/>
              <a:gd name="T9" fmla="*/ 7829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3" y="3"/>
                </a:moveTo>
                <a:cubicBezTo>
                  <a:pt x="4" y="4"/>
                  <a:pt x="4" y="5"/>
                  <a:pt x="4" y="5"/>
                </a:cubicBezTo>
                <a:cubicBezTo>
                  <a:pt x="3" y="5"/>
                  <a:pt x="2" y="4"/>
                  <a:pt x="2" y="3"/>
                </a:cubicBezTo>
                <a:cubicBezTo>
                  <a:pt x="1" y="2"/>
                  <a:pt x="0" y="1"/>
                  <a:pt x="1" y="0"/>
                </a:cubicBezTo>
                <a:cubicBezTo>
                  <a:pt x="2" y="0"/>
                  <a:pt x="3" y="2"/>
                  <a:pt x="3" y="3"/>
                </a:cubicBezTo>
                <a:close/>
              </a:path>
            </a:pathLst>
          </a:custGeom>
          <a:solidFill>
            <a:schemeClr val="bg1">
              <a:lumMod val="95000"/>
            </a:schemeClr>
          </a:solidFill>
          <a:ln w="3175" cap="rnd">
            <a:solidFill>
              <a:srgbClr val="A5A5A5"/>
            </a:solidFill>
            <a:round/>
            <a:headEnd/>
            <a:tailEnd/>
          </a:ln>
        </xdr:spPr>
      </xdr:sp>
      <xdr:sp macro="" textlink="">
        <xdr:nvSpPr>
          <xdr:cNvPr id="193" name="Freeform 685"/>
          <xdr:cNvSpPr>
            <a:spLocks noChangeAspect="1"/>
          </xdr:cNvSpPr>
        </xdr:nvSpPr>
        <xdr:spPr bwMode="auto">
          <a:xfrm>
            <a:off x="4457313" y="4819571"/>
            <a:ext cx="0" cy="23028"/>
          </a:xfrm>
          <a:custGeom>
            <a:avLst/>
            <a:gdLst>
              <a:gd name="T0" fmla="*/ 1591 w 1"/>
              <a:gd name="T1" fmla="*/ 11006 h 6"/>
              <a:gd name="T2" fmla="*/ 0 w 1"/>
              <a:gd name="T3" fmla="*/ 14675 h 6"/>
              <a:gd name="T4" fmla="*/ 0 w 1"/>
              <a:gd name="T5" fmla="*/ 9172 h 6"/>
              <a:gd name="T6" fmla="*/ 0 w 1"/>
              <a:gd name="T7" fmla="*/ 0 h 6"/>
              <a:gd name="T8" fmla="*/ 1591 w 1"/>
              <a:gd name="T9" fmla="*/ 11006 h 6"/>
              <a:gd name="T10" fmla="*/ 0 60000 65536"/>
              <a:gd name="T11" fmla="*/ 0 60000 65536"/>
              <a:gd name="T12" fmla="*/ 0 60000 65536"/>
              <a:gd name="T13" fmla="*/ 0 60000 65536"/>
              <a:gd name="T14" fmla="*/ 0 60000 65536"/>
              <a:gd name="T15" fmla="*/ 0 w 1"/>
              <a:gd name="T16" fmla="*/ 0 h 6"/>
              <a:gd name="T17" fmla="*/ 1 w 1"/>
              <a:gd name="T18" fmla="*/ 6 h 6"/>
            </a:gdLst>
            <a:ahLst/>
            <a:cxnLst>
              <a:cxn ang="T10">
                <a:pos x="T0" y="T1"/>
              </a:cxn>
              <a:cxn ang="T11">
                <a:pos x="T2" y="T3"/>
              </a:cxn>
              <a:cxn ang="T12">
                <a:pos x="T4" y="T5"/>
              </a:cxn>
              <a:cxn ang="T13">
                <a:pos x="T6" y="T7"/>
              </a:cxn>
              <a:cxn ang="T14">
                <a:pos x="T8" y="T9"/>
              </a:cxn>
            </a:cxnLst>
            <a:rect l="T15" t="T16" r="T17" b="T18"/>
            <a:pathLst>
              <a:path w="1" h="6">
                <a:moveTo>
                  <a:pt x="1" y="4"/>
                </a:moveTo>
                <a:cubicBezTo>
                  <a:pt x="1" y="5"/>
                  <a:pt x="1" y="6"/>
                  <a:pt x="0" y="6"/>
                </a:cubicBezTo>
                <a:cubicBezTo>
                  <a:pt x="0" y="6"/>
                  <a:pt x="0" y="4"/>
                  <a:pt x="0" y="3"/>
                </a:cubicBezTo>
                <a:cubicBezTo>
                  <a:pt x="0" y="2"/>
                  <a:pt x="0" y="0"/>
                  <a:pt x="0" y="0"/>
                </a:cubicBezTo>
                <a:cubicBezTo>
                  <a:pt x="1" y="1"/>
                  <a:pt x="1" y="3"/>
                  <a:pt x="1" y="4"/>
                </a:cubicBezTo>
                <a:close/>
              </a:path>
            </a:pathLst>
          </a:custGeom>
          <a:solidFill>
            <a:schemeClr val="bg1">
              <a:lumMod val="95000"/>
            </a:schemeClr>
          </a:solidFill>
          <a:ln w="3175" cap="rnd">
            <a:solidFill>
              <a:srgbClr val="A5A5A5"/>
            </a:solidFill>
            <a:round/>
            <a:headEnd/>
            <a:tailEnd/>
          </a:ln>
        </xdr:spPr>
      </xdr:sp>
      <xdr:sp macro="" textlink="">
        <xdr:nvSpPr>
          <xdr:cNvPr id="194" name="Freeform 686"/>
          <xdr:cNvSpPr>
            <a:spLocks noChangeAspect="1"/>
          </xdr:cNvSpPr>
        </xdr:nvSpPr>
        <xdr:spPr bwMode="auto">
          <a:xfrm>
            <a:off x="4479382" y="4911681"/>
            <a:ext cx="0" cy="11514"/>
          </a:xfrm>
          <a:custGeom>
            <a:avLst/>
            <a:gdLst>
              <a:gd name="T0" fmla="*/ 12728 w 1"/>
              <a:gd name="T1" fmla="*/ 9434 h 5"/>
              <a:gd name="T2" fmla="*/ 0 w 1"/>
              <a:gd name="T3" fmla="*/ 13208 h 5"/>
              <a:gd name="T4" fmla="*/ 0 w 1"/>
              <a:gd name="T5" fmla="*/ 9434 h 5"/>
              <a:gd name="T6" fmla="*/ 12728 w 1"/>
              <a:gd name="T7" fmla="*/ 0 h 5"/>
              <a:gd name="T8" fmla="*/ 12728 w 1"/>
              <a:gd name="T9" fmla="*/ 9434 h 5"/>
              <a:gd name="T10" fmla="*/ 0 60000 65536"/>
              <a:gd name="T11" fmla="*/ 0 60000 65536"/>
              <a:gd name="T12" fmla="*/ 0 60000 65536"/>
              <a:gd name="T13" fmla="*/ 0 60000 65536"/>
              <a:gd name="T14" fmla="*/ 0 60000 65536"/>
              <a:gd name="T15" fmla="*/ 0 w 1"/>
              <a:gd name="T16" fmla="*/ 0 h 5"/>
              <a:gd name="T17" fmla="*/ 1 w 1"/>
              <a:gd name="T18" fmla="*/ 5 h 5"/>
            </a:gdLst>
            <a:ahLst/>
            <a:cxnLst>
              <a:cxn ang="T10">
                <a:pos x="T0" y="T1"/>
              </a:cxn>
              <a:cxn ang="T11">
                <a:pos x="T2" y="T3"/>
              </a:cxn>
              <a:cxn ang="T12">
                <a:pos x="T4" y="T5"/>
              </a:cxn>
              <a:cxn ang="T13">
                <a:pos x="T6" y="T7"/>
              </a:cxn>
              <a:cxn ang="T14">
                <a:pos x="T8" y="T9"/>
              </a:cxn>
            </a:cxnLst>
            <a:rect l="T15" t="T16" r="T17" b="T18"/>
            <a:pathLst>
              <a:path w="1" h="5">
                <a:moveTo>
                  <a:pt x="1" y="3"/>
                </a:moveTo>
                <a:cubicBezTo>
                  <a:pt x="1" y="4"/>
                  <a:pt x="1" y="5"/>
                  <a:pt x="0" y="5"/>
                </a:cubicBezTo>
                <a:cubicBezTo>
                  <a:pt x="0" y="5"/>
                  <a:pt x="0" y="4"/>
                  <a:pt x="0" y="3"/>
                </a:cubicBezTo>
                <a:cubicBezTo>
                  <a:pt x="0" y="2"/>
                  <a:pt x="0" y="0"/>
                  <a:pt x="1" y="0"/>
                </a:cubicBezTo>
                <a:cubicBezTo>
                  <a:pt x="1" y="0"/>
                  <a:pt x="1" y="2"/>
                  <a:pt x="1" y="3"/>
                </a:cubicBezTo>
                <a:close/>
              </a:path>
            </a:pathLst>
          </a:custGeom>
          <a:solidFill>
            <a:schemeClr val="bg1">
              <a:lumMod val="95000"/>
            </a:schemeClr>
          </a:solidFill>
          <a:ln w="3175" cap="rnd">
            <a:solidFill>
              <a:srgbClr val="A5A5A5"/>
            </a:solidFill>
            <a:round/>
            <a:headEnd/>
            <a:tailEnd/>
          </a:ln>
        </xdr:spPr>
      </xdr:sp>
      <xdr:sp macro="" textlink="">
        <xdr:nvSpPr>
          <xdr:cNvPr id="195" name="Freeform 687"/>
          <xdr:cNvSpPr>
            <a:spLocks noChangeAspect="1"/>
          </xdr:cNvSpPr>
        </xdr:nvSpPr>
        <xdr:spPr bwMode="auto">
          <a:xfrm>
            <a:off x="4236624" y="4969251"/>
            <a:ext cx="22069" cy="11514"/>
          </a:xfrm>
          <a:custGeom>
            <a:avLst/>
            <a:gdLst>
              <a:gd name="T0" fmla="*/ 14852 w 6"/>
              <a:gd name="T1" fmla="*/ 1572 h 3"/>
              <a:gd name="T2" fmla="*/ 23338 w 6"/>
              <a:gd name="T3" fmla="*/ 4717 h 3"/>
              <a:gd name="T4" fmla="*/ 10608 w 6"/>
              <a:gd name="T5" fmla="*/ 4717 h 3"/>
              <a:gd name="T6" fmla="*/ 0 w 6"/>
              <a:gd name="T7" fmla="*/ 1572 h 3"/>
              <a:gd name="T8" fmla="*/ 14852 w 6"/>
              <a:gd name="T9" fmla="*/ 1572 h 3"/>
              <a:gd name="T10" fmla="*/ 0 60000 65536"/>
              <a:gd name="T11" fmla="*/ 0 60000 65536"/>
              <a:gd name="T12" fmla="*/ 0 60000 65536"/>
              <a:gd name="T13" fmla="*/ 0 60000 65536"/>
              <a:gd name="T14" fmla="*/ 0 60000 65536"/>
              <a:gd name="T15" fmla="*/ 0 w 6"/>
              <a:gd name="T16" fmla="*/ 0 h 3"/>
              <a:gd name="T17" fmla="*/ 6 w 6"/>
              <a:gd name="T18" fmla="*/ 3 h 3"/>
            </a:gdLst>
            <a:ahLst/>
            <a:cxnLst>
              <a:cxn ang="T10">
                <a:pos x="T0" y="T1"/>
              </a:cxn>
              <a:cxn ang="T11">
                <a:pos x="T2" y="T3"/>
              </a:cxn>
              <a:cxn ang="T12">
                <a:pos x="T4" y="T5"/>
              </a:cxn>
              <a:cxn ang="T13">
                <a:pos x="T6" y="T7"/>
              </a:cxn>
              <a:cxn ang="T14">
                <a:pos x="T8" y="T9"/>
              </a:cxn>
            </a:cxnLst>
            <a:rect l="T15" t="T16" r="T17" b="T18"/>
            <a:pathLst>
              <a:path w="6" h="3">
                <a:moveTo>
                  <a:pt x="4" y="1"/>
                </a:moveTo>
                <a:cubicBezTo>
                  <a:pt x="5" y="2"/>
                  <a:pt x="6" y="2"/>
                  <a:pt x="6" y="3"/>
                </a:cubicBezTo>
                <a:cubicBezTo>
                  <a:pt x="5" y="3"/>
                  <a:pt x="4" y="3"/>
                  <a:pt x="3" y="3"/>
                </a:cubicBezTo>
                <a:cubicBezTo>
                  <a:pt x="2" y="2"/>
                  <a:pt x="0" y="1"/>
                  <a:pt x="0" y="1"/>
                </a:cubicBezTo>
                <a:cubicBezTo>
                  <a:pt x="1" y="0"/>
                  <a:pt x="3" y="1"/>
                  <a:pt x="4" y="1"/>
                </a:cubicBezTo>
                <a:close/>
              </a:path>
            </a:pathLst>
          </a:custGeom>
          <a:solidFill>
            <a:schemeClr val="bg1">
              <a:lumMod val="95000"/>
            </a:schemeClr>
          </a:solidFill>
          <a:ln w="3175" cap="rnd">
            <a:solidFill>
              <a:srgbClr val="A5A5A5"/>
            </a:solidFill>
            <a:round/>
            <a:headEnd/>
            <a:tailEnd/>
          </a:ln>
        </xdr:spPr>
      </xdr:sp>
      <xdr:sp macro="" textlink="">
        <xdr:nvSpPr>
          <xdr:cNvPr id="196" name="Freeform 688"/>
          <xdr:cNvSpPr>
            <a:spLocks noChangeAspect="1"/>
          </xdr:cNvSpPr>
        </xdr:nvSpPr>
        <xdr:spPr bwMode="auto">
          <a:xfrm>
            <a:off x="4744209" y="5395265"/>
            <a:ext cx="11035" cy="11514"/>
          </a:xfrm>
          <a:custGeom>
            <a:avLst/>
            <a:gdLst>
              <a:gd name="T0" fmla="*/ 7956 w 4"/>
              <a:gd name="T1" fmla="*/ 11321 h 5"/>
              <a:gd name="T2" fmla="*/ 1989 w 4"/>
              <a:gd name="T3" fmla="*/ 13208 h 5"/>
              <a:gd name="T4" fmla="*/ 1989 w 4"/>
              <a:gd name="T5" fmla="*/ 9434 h 5"/>
              <a:gd name="T6" fmla="*/ 11934 w 4"/>
              <a:gd name="T7" fmla="*/ 1887 h 5"/>
              <a:gd name="T8" fmla="*/ 7956 w 4"/>
              <a:gd name="T9" fmla="*/ 11321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2" y="4"/>
                </a:moveTo>
                <a:cubicBezTo>
                  <a:pt x="2" y="4"/>
                  <a:pt x="1" y="5"/>
                  <a:pt x="1" y="5"/>
                </a:cubicBezTo>
                <a:cubicBezTo>
                  <a:pt x="0" y="4"/>
                  <a:pt x="1" y="3"/>
                  <a:pt x="1" y="3"/>
                </a:cubicBezTo>
                <a:cubicBezTo>
                  <a:pt x="2" y="2"/>
                  <a:pt x="3" y="0"/>
                  <a:pt x="4" y="1"/>
                </a:cubicBezTo>
                <a:cubicBezTo>
                  <a:pt x="4" y="2"/>
                  <a:pt x="3" y="3"/>
                  <a:pt x="2" y="4"/>
                </a:cubicBezTo>
                <a:close/>
              </a:path>
            </a:pathLst>
          </a:custGeom>
          <a:solidFill>
            <a:schemeClr val="bg1">
              <a:lumMod val="95000"/>
            </a:schemeClr>
          </a:solidFill>
          <a:ln w="3175" cap="rnd">
            <a:solidFill>
              <a:srgbClr val="A5A5A5"/>
            </a:solidFill>
            <a:round/>
            <a:headEnd/>
            <a:tailEnd/>
          </a:ln>
        </xdr:spPr>
      </xdr:sp>
      <xdr:sp macro="" textlink="">
        <xdr:nvSpPr>
          <xdr:cNvPr id="197" name="Freeform 689"/>
          <xdr:cNvSpPr>
            <a:spLocks noChangeAspect="1"/>
          </xdr:cNvSpPr>
        </xdr:nvSpPr>
        <xdr:spPr bwMode="auto">
          <a:xfrm>
            <a:off x="4744209" y="5395265"/>
            <a:ext cx="11035" cy="11514"/>
          </a:xfrm>
          <a:custGeom>
            <a:avLst/>
            <a:gdLst>
              <a:gd name="T0" fmla="*/ 9547 w 5"/>
              <a:gd name="T1" fmla="*/ 11006 h 6"/>
              <a:gd name="T2" fmla="*/ 1909 w 5"/>
              <a:gd name="T3" fmla="*/ 12840 h 6"/>
              <a:gd name="T4" fmla="*/ 3819 w 5"/>
              <a:gd name="T5" fmla="*/ 9172 h 6"/>
              <a:gd name="T6" fmla="*/ 11456 w 5"/>
              <a:gd name="T7" fmla="*/ 1834 h 6"/>
              <a:gd name="T8" fmla="*/ 9547 w 5"/>
              <a:gd name="T9" fmla="*/ 11006 h 6"/>
              <a:gd name="T10" fmla="*/ 0 60000 65536"/>
              <a:gd name="T11" fmla="*/ 0 60000 65536"/>
              <a:gd name="T12" fmla="*/ 0 60000 65536"/>
              <a:gd name="T13" fmla="*/ 0 60000 65536"/>
              <a:gd name="T14" fmla="*/ 0 60000 65536"/>
              <a:gd name="T15" fmla="*/ 0 w 5"/>
              <a:gd name="T16" fmla="*/ 0 h 6"/>
              <a:gd name="T17" fmla="*/ 5 w 5"/>
              <a:gd name="T18" fmla="*/ 6 h 6"/>
            </a:gdLst>
            <a:ahLst/>
            <a:cxnLst>
              <a:cxn ang="T10">
                <a:pos x="T0" y="T1"/>
              </a:cxn>
              <a:cxn ang="T11">
                <a:pos x="T2" y="T3"/>
              </a:cxn>
              <a:cxn ang="T12">
                <a:pos x="T4" y="T5"/>
              </a:cxn>
              <a:cxn ang="T13">
                <a:pos x="T6" y="T7"/>
              </a:cxn>
              <a:cxn ang="T14">
                <a:pos x="T8" y="T9"/>
              </a:cxn>
            </a:cxnLst>
            <a:rect l="T15" t="T16" r="T17" b="T18"/>
            <a:pathLst>
              <a:path w="5" h="6">
                <a:moveTo>
                  <a:pt x="3" y="4"/>
                </a:moveTo>
                <a:cubicBezTo>
                  <a:pt x="2" y="5"/>
                  <a:pt x="1" y="6"/>
                  <a:pt x="1" y="5"/>
                </a:cubicBezTo>
                <a:cubicBezTo>
                  <a:pt x="0" y="4"/>
                  <a:pt x="1" y="3"/>
                  <a:pt x="2" y="3"/>
                </a:cubicBezTo>
                <a:cubicBezTo>
                  <a:pt x="2" y="2"/>
                  <a:pt x="4" y="0"/>
                  <a:pt x="4" y="1"/>
                </a:cubicBezTo>
                <a:cubicBezTo>
                  <a:pt x="5" y="2"/>
                  <a:pt x="4" y="3"/>
                  <a:pt x="3" y="4"/>
                </a:cubicBezTo>
                <a:close/>
              </a:path>
            </a:pathLst>
          </a:custGeom>
          <a:solidFill>
            <a:schemeClr val="bg1">
              <a:lumMod val="95000"/>
            </a:schemeClr>
          </a:solidFill>
          <a:ln w="3175" cap="rnd">
            <a:solidFill>
              <a:srgbClr val="A5A5A5"/>
            </a:solidFill>
            <a:round/>
            <a:headEnd/>
            <a:tailEnd/>
          </a:ln>
        </xdr:spPr>
      </xdr:sp>
      <xdr:sp macro="" textlink="">
        <xdr:nvSpPr>
          <xdr:cNvPr id="198" name="Freeform 690"/>
          <xdr:cNvSpPr>
            <a:spLocks noChangeAspect="1"/>
          </xdr:cNvSpPr>
        </xdr:nvSpPr>
        <xdr:spPr bwMode="auto">
          <a:xfrm>
            <a:off x="4766279" y="5314667"/>
            <a:ext cx="0" cy="11514"/>
          </a:xfrm>
          <a:custGeom>
            <a:avLst/>
            <a:gdLst>
              <a:gd name="T0" fmla="*/ 4774 w 3"/>
              <a:gd name="T1" fmla="*/ 7861 h 4"/>
              <a:gd name="T2" fmla="*/ 4774 w 3"/>
              <a:gd name="T3" fmla="*/ 11791 h 4"/>
              <a:gd name="T4" fmla="*/ 1591 w 3"/>
              <a:gd name="T5" fmla="*/ 9826 h 4"/>
              <a:gd name="T6" fmla="*/ 0 w 3"/>
              <a:gd name="T7" fmla="*/ 0 h 4"/>
              <a:gd name="T8" fmla="*/ 4774 w 3"/>
              <a:gd name="T9" fmla="*/ 7861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3" y="2"/>
                </a:moveTo>
                <a:cubicBezTo>
                  <a:pt x="3" y="3"/>
                  <a:pt x="3" y="4"/>
                  <a:pt x="3" y="4"/>
                </a:cubicBezTo>
                <a:cubicBezTo>
                  <a:pt x="2" y="4"/>
                  <a:pt x="1" y="3"/>
                  <a:pt x="1" y="3"/>
                </a:cubicBezTo>
                <a:cubicBezTo>
                  <a:pt x="1" y="2"/>
                  <a:pt x="0" y="0"/>
                  <a:pt x="0" y="0"/>
                </a:cubicBezTo>
                <a:cubicBezTo>
                  <a:pt x="1" y="0"/>
                  <a:pt x="2" y="1"/>
                  <a:pt x="3" y="2"/>
                </a:cubicBezTo>
                <a:close/>
              </a:path>
            </a:pathLst>
          </a:custGeom>
          <a:solidFill>
            <a:schemeClr val="bg1">
              <a:lumMod val="95000"/>
            </a:schemeClr>
          </a:solidFill>
          <a:ln w="3175" cap="rnd">
            <a:solidFill>
              <a:srgbClr val="A5A5A5"/>
            </a:solidFill>
            <a:round/>
            <a:headEnd/>
            <a:tailEnd/>
          </a:ln>
        </xdr:spPr>
      </xdr:sp>
      <xdr:sp macro="" textlink="">
        <xdr:nvSpPr>
          <xdr:cNvPr id="199" name="Freeform 691"/>
          <xdr:cNvSpPr>
            <a:spLocks noChangeAspect="1"/>
          </xdr:cNvSpPr>
        </xdr:nvSpPr>
        <xdr:spPr bwMode="auto">
          <a:xfrm>
            <a:off x="3659411" y="5418293"/>
            <a:ext cx="11035" cy="0"/>
          </a:xfrm>
          <a:custGeom>
            <a:avLst/>
            <a:gdLst>
              <a:gd name="T0" fmla="*/ 7956 w 4"/>
              <a:gd name="T1" fmla="*/ 9826 h 4"/>
              <a:gd name="T2" fmla="*/ 0 w 4"/>
              <a:gd name="T3" fmla="*/ 9826 h 4"/>
              <a:gd name="T4" fmla="*/ 1989 w 4"/>
              <a:gd name="T5" fmla="*/ 7861 h 4"/>
              <a:gd name="T6" fmla="*/ 11934 w 4"/>
              <a:gd name="T7" fmla="*/ 1965 h 4"/>
              <a:gd name="T8" fmla="*/ 7956 w 4"/>
              <a:gd name="T9" fmla="*/ 9826 h 4"/>
              <a:gd name="T10" fmla="*/ 0 60000 65536"/>
              <a:gd name="T11" fmla="*/ 0 60000 65536"/>
              <a:gd name="T12" fmla="*/ 0 60000 65536"/>
              <a:gd name="T13" fmla="*/ 0 60000 65536"/>
              <a:gd name="T14" fmla="*/ 0 60000 65536"/>
              <a:gd name="T15" fmla="*/ 0 w 4"/>
              <a:gd name="T16" fmla="*/ 0 h 4"/>
              <a:gd name="T17" fmla="*/ 4 w 4"/>
              <a:gd name="T18" fmla="*/ 4 h 4"/>
            </a:gdLst>
            <a:ahLst/>
            <a:cxnLst>
              <a:cxn ang="T10">
                <a:pos x="T0" y="T1"/>
              </a:cxn>
              <a:cxn ang="T11">
                <a:pos x="T2" y="T3"/>
              </a:cxn>
              <a:cxn ang="T12">
                <a:pos x="T4" y="T5"/>
              </a:cxn>
              <a:cxn ang="T13">
                <a:pos x="T6" y="T7"/>
              </a:cxn>
              <a:cxn ang="T14">
                <a:pos x="T8" y="T9"/>
              </a:cxn>
            </a:cxnLst>
            <a:rect l="T15" t="T16" r="T17" b="T18"/>
            <a:pathLst>
              <a:path w="4" h="4">
                <a:moveTo>
                  <a:pt x="2" y="3"/>
                </a:moveTo>
                <a:cubicBezTo>
                  <a:pt x="1" y="3"/>
                  <a:pt x="0" y="4"/>
                  <a:pt x="0" y="3"/>
                </a:cubicBezTo>
                <a:cubicBezTo>
                  <a:pt x="0" y="3"/>
                  <a:pt x="1" y="2"/>
                  <a:pt x="1" y="2"/>
                </a:cubicBezTo>
                <a:cubicBezTo>
                  <a:pt x="2" y="1"/>
                  <a:pt x="4" y="0"/>
                  <a:pt x="4" y="1"/>
                </a:cubicBezTo>
                <a:cubicBezTo>
                  <a:pt x="4" y="2"/>
                  <a:pt x="3" y="3"/>
                  <a:pt x="2" y="3"/>
                </a:cubicBezTo>
                <a:close/>
              </a:path>
            </a:pathLst>
          </a:custGeom>
          <a:solidFill>
            <a:schemeClr val="bg1">
              <a:lumMod val="95000"/>
            </a:schemeClr>
          </a:solidFill>
          <a:ln w="3175" cap="rnd">
            <a:solidFill>
              <a:srgbClr val="A5A5A5"/>
            </a:solidFill>
            <a:round/>
            <a:headEnd/>
            <a:tailEnd/>
          </a:ln>
        </xdr:spPr>
      </xdr:sp>
      <xdr:sp macro="" textlink="">
        <xdr:nvSpPr>
          <xdr:cNvPr id="200" name="Freeform 692"/>
          <xdr:cNvSpPr>
            <a:spLocks noChangeAspect="1"/>
          </xdr:cNvSpPr>
        </xdr:nvSpPr>
        <xdr:spPr bwMode="auto">
          <a:xfrm>
            <a:off x="4192485" y="7030237"/>
            <a:ext cx="11035" cy="11514"/>
          </a:xfrm>
          <a:custGeom>
            <a:avLst/>
            <a:gdLst>
              <a:gd name="T0" fmla="*/ 9548 w 2"/>
              <a:gd name="T1" fmla="*/ 9434 h 5"/>
              <a:gd name="T2" fmla="*/ 9548 w 2"/>
              <a:gd name="T3" fmla="*/ 13208 h 5"/>
              <a:gd name="T4" fmla="*/ 0 w 2"/>
              <a:gd name="T5" fmla="*/ 9434 h 5"/>
              <a:gd name="T6" fmla="*/ 0 w 2"/>
              <a:gd name="T7" fmla="*/ 0 h 5"/>
              <a:gd name="T8" fmla="*/ 9548 w 2"/>
              <a:gd name="T9" fmla="*/ 9434 h 5"/>
              <a:gd name="T10" fmla="*/ 0 60000 65536"/>
              <a:gd name="T11" fmla="*/ 0 60000 65536"/>
              <a:gd name="T12" fmla="*/ 0 60000 65536"/>
              <a:gd name="T13" fmla="*/ 0 60000 65536"/>
              <a:gd name="T14" fmla="*/ 0 60000 65536"/>
              <a:gd name="T15" fmla="*/ 0 w 2"/>
              <a:gd name="T16" fmla="*/ 0 h 5"/>
              <a:gd name="T17" fmla="*/ 2 w 2"/>
              <a:gd name="T18" fmla="*/ 5 h 5"/>
            </a:gdLst>
            <a:ahLst/>
            <a:cxnLst>
              <a:cxn ang="T10">
                <a:pos x="T0" y="T1"/>
              </a:cxn>
              <a:cxn ang="T11">
                <a:pos x="T2" y="T3"/>
              </a:cxn>
              <a:cxn ang="T12">
                <a:pos x="T4" y="T5"/>
              </a:cxn>
              <a:cxn ang="T13">
                <a:pos x="T6" y="T7"/>
              </a:cxn>
              <a:cxn ang="T14">
                <a:pos x="T8" y="T9"/>
              </a:cxn>
            </a:cxnLst>
            <a:rect l="T15" t="T16" r="T17" b="T18"/>
            <a:pathLst>
              <a:path w="2" h="5">
                <a:moveTo>
                  <a:pt x="2" y="3"/>
                </a:moveTo>
                <a:cubicBezTo>
                  <a:pt x="2" y="4"/>
                  <a:pt x="2" y="5"/>
                  <a:pt x="2" y="5"/>
                </a:cubicBezTo>
                <a:cubicBezTo>
                  <a:pt x="1" y="5"/>
                  <a:pt x="0" y="4"/>
                  <a:pt x="0" y="3"/>
                </a:cubicBezTo>
                <a:cubicBezTo>
                  <a:pt x="0" y="2"/>
                  <a:pt x="0" y="0"/>
                  <a:pt x="0" y="0"/>
                </a:cubicBezTo>
                <a:cubicBezTo>
                  <a:pt x="1" y="0"/>
                  <a:pt x="2" y="2"/>
                  <a:pt x="2" y="3"/>
                </a:cubicBezTo>
                <a:close/>
              </a:path>
            </a:pathLst>
          </a:custGeom>
          <a:solidFill>
            <a:schemeClr val="bg1">
              <a:lumMod val="95000"/>
            </a:schemeClr>
          </a:solidFill>
          <a:ln w="3175" cap="rnd">
            <a:solidFill>
              <a:srgbClr val="A5A5A5"/>
            </a:solidFill>
            <a:round/>
            <a:headEnd/>
            <a:tailEnd/>
          </a:ln>
        </xdr:spPr>
      </xdr:sp>
      <xdr:sp macro="" textlink="">
        <xdr:nvSpPr>
          <xdr:cNvPr id="201" name="Freeform 693"/>
          <xdr:cNvSpPr>
            <a:spLocks noChangeAspect="1"/>
          </xdr:cNvSpPr>
        </xdr:nvSpPr>
        <xdr:spPr bwMode="auto">
          <a:xfrm>
            <a:off x="4192485" y="6972667"/>
            <a:ext cx="11035" cy="0"/>
          </a:xfrm>
          <a:custGeom>
            <a:avLst/>
            <a:gdLst>
              <a:gd name="T0" fmla="*/ 7956 w 4"/>
              <a:gd name="T1" fmla="*/ 4717 h 3"/>
              <a:gd name="T2" fmla="*/ 0 w 4"/>
              <a:gd name="T3" fmla="*/ 4717 h 3"/>
              <a:gd name="T4" fmla="*/ 1989 w 4"/>
              <a:gd name="T5" fmla="*/ 1572 h 3"/>
              <a:gd name="T6" fmla="*/ 11934 w 4"/>
              <a:gd name="T7" fmla="*/ 1572 h 3"/>
              <a:gd name="T8" fmla="*/ 7956 w 4"/>
              <a:gd name="T9" fmla="*/ 4717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3"/>
                </a:moveTo>
                <a:cubicBezTo>
                  <a:pt x="1" y="3"/>
                  <a:pt x="0" y="3"/>
                  <a:pt x="0" y="3"/>
                </a:cubicBezTo>
                <a:cubicBezTo>
                  <a:pt x="0" y="2"/>
                  <a:pt x="1" y="1"/>
                  <a:pt x="1" y="1"/>
                </a:cubicBezTo>
                <a:cubicBezTo>
                  <a:pt x="2" y="1"/>
                  <a:pt x="4" y="0"/>
                  <a:pt x="4" y="1"/>
                </a:cubicBezTo>
                <a:cubicBezTo>
                  <a:pt x="4" y="2"/>
                  <a:pt x="3" y="2"/>
                  <a:pt x="2" y="3"/>
                </a:cubicBezTo>
                <a:close/>
              </a:path>
            </a:pathLst>
          </a:custGeom>
          <a:solidFill>
            <a:schemeClr val="bg1">
              <a:lumMod val="95000"/>
            </a:schemeClr>
          </a:solidFill>
          <a:ln w="3175" cap="rnd">
            <a:solidFill>
              <a:srgbClr val="A5A5A5"/>
            </a:solidFill>
            <a:round/>
            <a:headEnd/>
            <a:tailEnd/>
          </a:ln>
        </xdr:spPr>
      </xdr:sp>
      <xdr:sp macro="" textlink="">
        <xdr:nvSpPr>
          <xdr:cNvPr id="202" name="Freeform 694"/>
          <xdr:cNvSpPr>
            <a:spLocks noChangeAspect="1"/>
          </xdr:cNvSpPr>
        </xdr:nvSpPr>
        <xdr:spPr bwMode="auto">
          <a:xfrm>
            <a:off x="4181451" y="6972667"/>
            <a:ext cx="11035" cy="0"/>
          </a:xfrm>
          <a:custGeom>
            <a:avLst/>
            <a:gdLst>
              <a:gd name="T0" fmla="*/ 3819 w 5"/>
              <a:gd name="T1" fmla="*/ 11321 h 5"/>
              <a:gd name="T2" fmla="*/ 0 w 5"/>
              <a:gd name="T3" fmla="*/ 11321 h 5"/>
              <a:gd name="T4" fmla="*/ 3819 w 5"/>
              <a:gd name="T5" fmla="*/ 3774 h 5"/>
              <a:gd name="T6" fmla="*/ 13366 w 5"/>
              <a:gd name="T7" fmla="*/ 1887 h 5"/>
              <a:gd name="T8" fmla="*/ 3819 w 5"/>
              <a:gd name="T9" fmla="*/ 11321 h 5"/>
              <a:gd name="T10" fmla="*/ 0 60000 65536"/>
              <a:gd name="T11" fmla="*/ 0 60000 65536"/>
              <a:gd name="T12" fmla="*/ 0 60000 65536"/>
              <a:gd name="T13" fmla="*/ 0 60000 65536"/>
              <a:gd name="T14" fmla="*/ 0 60000 65536"/>
              <a:gd name="T15" fmla="*/ 0 w 5"/>
              <a:gd name="T16" fmla="*/ 0 h 5"/>
              <a:gd name="T17" fmla="*/ 5 w 5"/>
              <a:gd name="T18" fmla="*/ 5 h 5"/>
            </a:gdLst>
            <a:ahLst/>
            <a:cxnLst>
              <a:cxn ang="T10">
                <a:pos x="T0" y="T1"/>
              </a:cxn>
              <a:cxn ang="T11">
                <a:pos x="T2" y="T3"/>
              </a:cxn>
              <a:cxn ang="T12">
                <a:pos x="T4" y="T5"/>
              </a:cxn>
              <a:cxn ang="T13">
                <a:pos x="T6" y="T7"/>
              </a:cxn>
              <a:cxn ang="T14">
                <a:pos x="T8" y="T9"/>
              </a:cxn>
            </a:cxnLst>
            <a:rect l="T15" t="T16" r="T17" b="T18"/>
            <a:pathLst>
              <a:path w="5" h="5">
                <a:moveTo>
                  <a:pt x="2" y="4"/>
                </a:moveTo>
                <a:cubicBezTo>
                  <a:pt x="2" y="4"/>
                  <a:pt x="0" y="5"/>
                  <a:pt x="0" y="4"/>
                </a:cubicBezTo>
                <a:cubicBezTo>
                  <a:pt x="0" y="3"/>
                  <a:pt x="1" y="2"/>
                  <a:pt x="2" y="2"/>
                </a:cubicBezTo>
                <a:cubicBezTo>
                  <a:pt x="3" y="1"/>
                  <a:pt x="5" y="0"/>
                  <a:pt x="5" y="1"/>
                </a:cubicBezTo>
                <a:cubicBezTo>
                  <a:pt x="5" y="2"/>
                  <a:pt x="4" y="3"/>
                  <a:pt x="2" y="4"/>
                </a:cubicBezTo>
                <a:close/>
              </a:path>
            </a:pathLst>
          </a:custGeom>
          <a:solidFill>
            <a:schemeClr val="bg1">
              <a:lumMod val="95000"/>
            </a:schemeClr>
          </a:solidFill>
          <a:ln w="3175" cap="rnd">
            <a:solidFill>
              <a:srgbClr val="A5A5A5"/>
            </a:solidFill>
            <a:round/>
            <a:headEnd/>
            <a:tailEnd/>
          </a:ln>
        </xdr:spPr>
      </xdr:sp>
      <xdr:sp macro="" textlink="">
        <xdr:nvSpPr>
          <xdr:cNvPr id="203" name="Freeform 695"/>
          <xdr:cNvSpPr>
            <a:spLocks noChangeAspect="1"/>
          </xdr:cNvSpPr>
        </xdr:nvSpPr>
        <xdr:spPr bwMode="auto">
          <a:xfrm>
            <a:off x="4192485" y="7122348"/>
            <a:ext cx="11035" cy="11514"/>
          </a:xfrm>
          <a:custGeom>
            <a:avLst/>
            <a:gdLst>
              <a:gd name="T0" fmla="*/ 9945 w 4"/>
              <a:gd name="T1" fmla="*/ 9434 h 5"/>
              <a:gd name="T2" fmla="*/ 9945 w 4"/>
              <a:gd name="T3" fmla="*/ 13208 h 5"/>
              <a:gd name="T4" fmla="*/ 1989 w 4"/>
              <a:gd name="T5" fmla="*/ 9434 h 5"/>
              <a:gd name="T6" fmla="*/ 1989 w 4"/>
              <a:gd name="T7" fmla="*/ 1887 h 5"/>
              <a:gd name="T8" fmla="*/ 9945 w 4"/>
              <a:gd name="T9" fmla="*/ 9434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3" y="3"/>
                </a:moveTo>
                <a:cubicBezTo>
                  <a:pt x="3" y="3"/>
                  <a:pt x="4" y="4"/>
                  <a:pt x="3" y="5"/>
                </a:cubicBezTo>
                <a:cubicBezTo>
                  <a:pt x="2" y="5"/>
                  <a:pt x="2" y="4"/>
                  <a:pt x="1" y="3"/>
                </a:cubicBezTo>
                <a:cubicBezTo>
                  <a:pt x="1" y="2"/>
                  <a:pt x="0" y="1"/>
                  <a:pt x="1" y="1"/>
                </a:cubicBezTo>
                <a:cubicBezTo>
                  <a:pt x="2" y="0"/>
                  <a:pt x="2" y="2"/>
                  <a:pt x="3" y="3"/>
                </a:cubicBezTo>
                <a:close/>
              </a:path>
            </a:pathLst>
          </a:custGeom>
          <a:solidFill>
            <a:schemeClr val="bg1">
              <a:lumMod val="95000"/>
            </a:schemeClr>
          </a:solidFill>
          <a:ln w="3175" cap="rnd">
            <a:solidFill>
              <a:srgbClr val="A5A5A5"/>
            </a:solidFill>
            <a:round/>
            <a:headEnd/>
            <a:tailEnd/>
          </a:ln>
        </xdr:spPr>
      </xdr:sp>
      <xdr:sp macro="" textlink="">
        <xdr:nvSpPr>
          <xdr:cNvPr id="204" name="Freeform 696"/>
          <xdr:cNvSpPr>
            <a:spLocks noChangeAspect="1"/>
          </xdr:cNvSpPr>
        </xdr:nvSpPr>
        <xdr:spPr bwMode="auto">
          <a:xfrm>
            <a:off x="4203520" y="7202945"/>
            <a:ext cx="11035" cy="11514"/>
          </a:xfrm>
          <a:custGeom>
            <a:avLst/>
            <a:gdLst>
              <a:gd name="T0" fmla="*/ 8487 w 3"/>
              <a:gd name="T1" fmla="*/ 9434 h 5"/>
              <a:gd name="T2" fmla="*/ 0 w 3"/>
              <a:gd name="T3" fmla="*/ 11321 h 5"/>
              <a:gd name="T4" fmla="*/ 2122 w 3"/>
              <a:gd name="T5" fmla="*/ 3774 h 5"/>
              <a:gd name="T6" fmla="*/ 8487 w 3"/>
              <a:gd name="T7" fmla="*/ 0 h 5"/>
              <a:gd name="T8" fmla="*/ 8487 w 3"/>
              <a:gd name="T9" fmla="*/ 9434 h 5"/>
              <a:gd name="T10" fmla="*/ 0 60000 65536"/>
              <a:gd name="T11" fmla="*/ 0 60000 65536"/>
              <a:gd name="T12" fmla="*/ 0 60000 65536"/>
              <a:gd name="T13" fmla="*/ 0 60000 65536"/>
              <a:gd name="T14" fmla="*/ 0 60000 65536"/>
              <a:gd name="T15" fmla="*/ 0 w 3"/>
              <a:gd name="T16" fmla="*/ 0 h 5"/>
              <a:gd name="T17" fmla="*/ 3 w 3"/>
              <a:gd name="T18" fmla="*/ 5 h 5"/>
            </a:gdLst>
            <a:ahLst/>
            <a:cxnLst>
              <a:cxn ang="T10">
                <a:pos x="T0" y="T1"/>
              </a:cxn>
              <a:cxn ang="T11">
                <a:pos x="T2" y="T3"/>
              </a:cxn>
              <a:cxn ang="T12">
                <a:pos x="T4" y="T5"/>
              </a:cxn>
              <a:cxn ang="T13">
                <a:pos x="T6" y="T7"/>
              </a:cxn>
              <a:cxn ang="T14">
                <a:pos x="T8" y="T9"/>
              </a:cxn>
            </a:cxnLst>
            <a:rect l="T15" t="T16" r="T17" b="T18"/>
            <a:pathLst>
              <a:path w="3" h="5">
                <a:moveTo>
                  <a:pt x="2" y="3"/>
                </a:moveTo>
                <a:cubicBezTo>
                  <a:pt x="1" y="4"/>
                  <a:pt x="1" y="5"/>
                  <a:pt x="0" y="4"/>
                </a:cubicBezTo>
                <a:cubicBezTo>
                  <a:pt x="0" y="4"/>
                  <a:pt x="0" y="3"/>
                  <a:pt x="1" y="2"/>
                </a:cubicBezTo>
                <a:cubicBezTo>
                  <a:pt x="1" y="1"/>
                  <a:pt x="2" y="0"/>
                  <a:pt x="2" y="0"/>
                </a:cubicBezTo>
                <a:cubicBezTo>
                  <a:pt x="3" y="1"/>
                  <a:pt x="2" y="2"/>
                  <a:pt x="2" y="3"/>
                </a:cubicBezTo>
                <a:close/>
              </a:path>
            </a:pathLst>
          </a:custGeom>
          <a:solidFill>
            <a:schemeClr val="bg1">
              <a:lumMod val="95000"/>
            </a:schemeClr>
          </a:solidFill>
          <a:ln w="3175" cap="rnd">
            <a:solidFill>
              <a:srgbClr val="A5A5A5"/>
            </a:solidFill>
            <a:round/>
            <a:headEnd/>
            <a:tailEnd/>
          </a:ln>
        </xdr:spPr>
      </xdr:sp>
      <xdr:sp macro="" textlink="">
        <xdr:nvSpPr>
          <xdr:cNvPr id="205" name="Freeform 697"/>
          <xdr:cNvSpPr>
            <a:spLocks noChangeAspect="1"/>
          </xdr:cNvSpPr>
        </xdr:nvSpPr>
        <xdr:spPr bwMode="auto">
          <a:xfrm>
            <a:off x="4192485" y="7156890"/>
            <a:ext cx="0" cy="0"/>
          </a:xfrm>
          <a:custGeom>
            <a:avLst/>
            <a:gdLst>
              <a:gd name="T0" fmla="*/ 4774 w 3"/>
              <a:gd name="T1" fmla="*/ 7861 h 4"/>
              <a:gd name="T2" fmla="*/ 4774 w 3"/>
              <a:gd name="T3" fmla="*/ 11791 h 4"/>
              <a:gd name="T4" fmla="*/ 1591 w 3"/>
              <a:gd name="T5" fmla="*/ 7861 h 4"/>
              <a:gd name="T6" fmla="*/ 1591 w 3"/>
              <a:gd name="T7" fmla="*/ 0 h 4"/>
              <a:gd name="T8" fmla="*/ 4774 w 3"/>
              <a:gd name="T9" fmla="*/ 7861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3" y="2"/>
                </a:moveTo>
                <a:cubicBezTo>
                  <a:pt x="3" y="3"/>
                  <a:pt x="3" y="4"/>
                  <a:pt x="3" y="4"/>
                </a:cubicBezTo>
                <a:cubicBezTo>
                  <a:pt x="2" y="4"/>
                  <a:pt x="2" y="3"/>
                  <a:pt x="1" y="2"/>
                </a:cubicBezTo>
                <a:cubicBezTo>
                  <a:pt x="1" y="1"/>
                  <a:pt x="0" y="0"/>
                  <a:pt x="1" y="0"/>
                </a:cubicBezTo>
                <a:cubicBezTo>
                  <a:pt x="2"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06" name="Freeform 698"/>
          <xdr:cNvSpPr>
            <a:spLocks noChangeAspect="1"/>
          </xdr:cNvSpPr>
        </xdr:nvSpPr>
        <xdr:spPr bwMode="auto">
          <a:xfrm>
            <a:off x="4225589" y="7179917"/>
            <a:ext cx="0" cy="11514"/>
          </a:xfrm>
          <a:custGeom>
            <a:avLst/>
            <a:gdLst>
              <a:gd name="T0" fmla="*/ 4774 w 4"/>
              <a:gd name="T1" fmla="*/ 9434 h 5"/>
              <a:gd name="T2" fmla="*/ 4774 w 4"/>
              <a:gd name="T3" fmla="*/ 13208 h 5"/>
              <a:gd name="T4" fmla="*/ 3183 w 4"/>
              <a:gd name="T5" fmla="*/ 9434 h 5"/>
              <a:gd name="T6" fmla="*/ 1591 w 4"/>
              <a:gd name="T7" fmla="*/ 1887 h 5"/>
              <a:gd name="T8" fmla="*/ 4774 w 4"/>
              <a:gd name="T9" fmla="*/ 9434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3" y="3"/>
                </a:moveTo>
                <a:cubicBezTo>
                  <a:pt x="3" y="3"/>
                  <a:pt x="4" y="4"/>
                  <a:pt x="3" y="5"/>
                </a:cubicBezTo>
                <a:cubicBezTo>
                  <a:pt x="3" y="5"/>
                  <a:pt x="2" y="4"/>
                  <a:pt x="2" y="3"/>
                </a:cubicBezTo>
                <a:cubicBezTo>
                  <a:pt x="1" y="2"/>
                  <a:pt x="0" y="1"/>
                  <a:pt x="1" y="1"/>
                </a:cubicBezTo>
                <a:cubicBezTo>
                  <a:pt x="2" y="0"/>
                  <a:pt x="2" y="2"/>
                  <a:pt x="3" y="3"/>
                </a:cubicBezTo>
                <a:close/>
              </a:path>
            </a:pathLst>
          </a:custGeom>
          <a:solidFill>
            <a:schemeClr val="bg1">
              <a:lumMod val="95000"/>
            </a:schemeClr>
          </a:solidFill>
          <a:ln w="3175" cap="rnd">
            <a:solidFill>
              <a:srgbClr val="A5A5A5"/>
            </a:solidFill>
            <a:round/>
            <a:headEnd/>
            <a:tailEnd/>
          </a:ln>
        </xdr:spPr>
      </xdr:sp>
      <xdr:sp macro="" textlink="">
        <xdr:nvSpPr>
          <xdr:cNvPr id="207" name="Freeform 699"/>
          <xdr:cNvSpPr>
            <a:spLocks noChangeAspect="1"/>
          </xdr:cNvSpPr>
        </xdr:nvSpPr>
        <xdr:spPr bwMode="auto">
          <a:xfrm>
            <a:off x="4214555" y="7202945"/>
            <a:ext cx="11035" cy="11514"/>
          </a:xfrm>
          <a:custGeom>
            <a:avLst/>
            <a:gdLst>
              <a:gd name="T0" fmla="*/ 7956 w 4"/>
              <a:gd name="T1" fmla="*/ 8385 h 3"/>
              <a:gd name="T2" fmla="*/ 0 w 4"/>
              <a:gd name="T3" fmla="*/ 8385 h 3"/>
              <a:gd name="T4" fmla="*/ 7956 w 4"/>
              <a:gd name="T5" fmla="*/ 2096 h 3"/>
              <a:gd name="T6" fmla="*/ 11934 w 4"/>
              <a:gd name="T7" fmla="*/ 0 h 3"/>
              <a:gd name="T8" fmla="*/ 7956 w 4"/>
              <a:gd name="T9" fmla="*/ 8385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2"/>
                </a:moveTo>
                <a:cubicBezTo>
                  <a:pt x="1" y="2"/>
                  <a:pt x="0" y="3"/>
                  <a:pt x="0" y="2"/>
                </a:cubicBezTo>
                <a:cubicBezTo>
                  <a:pt x="0" y="2"/>
                  <a:pt x="1" y="1"/>
                  <a:pt x="2" y="1"/>
                </a:cubicBezTo>
                <a:cubicBezTo>
                  <a:pt x="2" y="0"/>
                  <a:pt x="4" y="0"/>
                  <a:pt x="4" y="0"/>
                </a:cubicBezTo>
                <a:cubicBezTo>
                  <a:pt x="4" y="1"/>
                  <a:pt x="3" y="2"/>
                  <a:pt x="2" y="2"/>
                </a:cubicBezTo>
                <a:close/>
              </a:path>
            </a:pathLst>
          </a:custGeom>
          <a:solidFill>
            <a:schemeClr val="bg1">
              <a:lumMod val="95000"/>
            </a:schemeClr>
          </a:solidFill>
          <a:ln w="3175" cap="rnd">
            <a:solidFill>
              <a:srgbClr val="A5A5A5"/>
            </a:solidFill>
            <a:round/>
            <a:headEnd/>
            <a:tailEnd/>
          </a:ln>
        </xdr:spPr>
      </xdr:sp>
      <xdr:sp macro="" textlink="">
        <xdr:nvSpPr>
          <xdr:cNvPr id="208" name="Freeform 700"/>
          <xdr:cNvSpPr>
            <a:spLocks noChangeAspect="1"/>
          </xdr:cNvSpPr>
        </xdr:nvSpPr>
        <xdr:spPr bwMode="auto">
          <a:xfrm>
            <a:off x="4214555" y="7214459"/>
            <a:ext cx="11035" cy="23028"/>
          </a:xfrm>
          <a:custGeom>
            <a:avLst/>
            <a:gdLst>
              <a:gd name="T0" fmla="*/ 7161 w 2"/>
              <a:gd name="T1" fmla="*/ 17295 h 9"/>
              <a:gd name="T2" fmla="*/ 0 w 2"/>
              <a:gd name="T3" fmla="*/ 24982 h 9"/>
              <a:gd name="T4" fmla="*/ 0 w 2"/>
              <a:gd name="T5" fmla="*/ 13452 h 9"/>
              <a:gd name="T6" fmla="*/ 7161 w 2"/>
              <a:gd name="T7" fmla="*/ 1922 h 9"/>
              <a:gd name="T8" fmla="*/ 7161 w 2"/>
              <a:gd name="T9" fmla="*/ 17295 h 9"/>
              <a:gd name="T10" fmla="*/ 0 60000 65536"/>
              <a:gd name="T11" fmla="*/ 0 60000 65536"/>
              <a:gd name="T12" fmla="*/ 0 60000 65536"/>
              <a:gd name="T13" fmla="*/ 0 60000 65536"/>
              <a:gd name="T14" fmla="*/ 0 60000 65536"/>
              <a:gd name="T15" fmla="*/ 0 w 2"/>
              <a:gd name="T16" fmla="*/ 0 h 9"/>
              <a:gd name="T17" fmla="*/ 2 w 2"/>
              <a:gd name="T18" fmla="*/ 9 h 9"/>
            </a:gdLst>
            <a:ahLst/>
            <a:cxnLst>
              <a:cxn ang="T10">
                <a:pos x="T0" y="T1"/>
              </a:cxn>
              <a:cxn ang="T11">
                <a:pos x="T2" y="T3"/>
              </a:cxn>
              <a:cxn ang="T12">
                <a:pos x="T4" y="T5"/>
              </a:cxn>
              <a:cxn ang="T13">
                <a:pos x="T6" y="T7"/>
              </a:cxn>
              <a:cxn ang="T14">
                <a:pos x="T8" y="T9"/>
              </a:cxn>
            </a:cxnLst>
            <a:rect l="T15" t="T16" r="T17" b="T18"/>
            <a:pathLst>
              <a:path w="2" h="9">
                <a:moveTo>
                  <a:pt x="1" y="6"/>
                </a:moveTo>
                <a:cubicBezTo>
                  <a:pt x="1" y="7"/>
                  <a:pt x="1" y="9"/>
                  <a:pt x="0" y="9"/>
                </a:cubicBezTo>
                <a:cubicBezTo>
                  <a:pt x="0" y="8"/>
                  <a:pt x="0" y="6"/>
                  <a:pt x="0" y="5"/>
                </a:cubicBezTo>
                <a:cubicBezTo>
                  <a:pt x="0" y="3"/>
                  <a:pt x="1" y="0"/>
                  <a:pt x="1" y="1"/>
                </a:cubicBezTo>
                <a:cubicBezTo>
                  <a:pt x="2" y="1"/>
                  <a:pt x="2" y="4"/>
                  <a:pt x="1" y="6"/>
                </a:cubicBezTo>
                <a:close/>
              </a:path>
            </a:pathLst>
          </a:custGeom>
          <a:solidFill>
            <a:schemeClr val="bg1">
              <a:lumMod val="95000"/>
            </a:schemeClr>
          </a:solidFill>
          <a:ln w="3175" cap="rnd">
            <a:solidFill>
              <a:srgbClr val="A5A5A5"/>
            </a:solidFill>
            <a:round/>
            <a:headEnd/>
            <a:tailEnd/>
          </a:ln>
        </xdr:spPr>
      </xdr:sp>
      <xdr:sp macro="" textlink="">
        <xdr:nvSpPr>
          <xdr:cNvPr id="209" name="Freeform 701"/>
          <xdr:cNvSpPr>
            <a:spLocks noChangeAspect="1"/>
          </xdr:cNvSpPr>
        </xdr:nvSpPr>
        <xdr:spPr bwMode="auto">
          <a:xfrm>
            <a:off x="4225589" y="7225973"/>
            <a:ext cx="0" cy="11514"/>
          </a:xfrm>
          <a:custGeom>
            <a:avLst/>
            <a:gdLst>
              <a:gd name="T0" fmla="*/ 1591 w 1"/>
              <a:gd name="T1" fmla="*/ 11006 h 6"/>
              <a:gd name="T2" fmla="*/ 0 w 1"/>
              <a:gd name="T3" fmla="*/ 14675 h 6"/>
              <a:gd name="T4" fmla="*/ 0 w 1"/>
              <a:gd name="T5" fmla="*/ 9172 h 6"/>
              <a:gd name="T6" fmla="*/ 0 w 1"/>
              <a:gd name="T7" fmla="*/ 0 h 6"/>
              <a:gd name="T8" fmla="*/ 1591 w 1"/>
              <a:gd name="T9" fmla="*/ 11006 h 6"/>
              <a:gd name="T10" fmla="*/ 0 60000 65536"/>
              <a:gd name="T11" fmla="*/ 0 60000 65536"/>
              <a:gd name="T12" fmla="*/ 0 60000 65536"/>
              <a:gd name="T13" fmla="*/ 0 60000 65536"/>
              <a:gd name="T14" fmla="*/ 0 60000 65536"/>
              <a:gd name="T15" fmla="*/ 0 w 1"/>
              <a:gd name="T16" fmla="*/ 0 h 6"/>
              <a:gd name="T17" fmla="*/ 1 w 1"/>
              <a:gd name="T18" fmla="*/ 6 h 6"/>
            </a:gdLst>
            <a:ahLst/>
            <a:cxnLst>
              <a:cxn ang="T10">
                <a:pos x="T0" y="T1"/>
              </a:cxn>
              <a:cxn ang="T11">
                <a:pos x="T2" y="T3"/>
              </a:cxn>
              <a:cxn ang="T12">
                <a:pos x="T4" y="T5"/>
              </a:cxn>
              <a:cxn ang="T13">
                <a:pos x="T6" y="T7"/>
              </a:cxn>
              <a:cxn ang="T14">
                <a:pos x="T8" y="T9"/>
              </a:cxn>
            </a:cxnLst>
            <a:rect l="T15" t="T16" r="T17" b="T18"/>
            <a:pathLst>
              <a:path w="1" h="6">
                <a:moveTo>
                  <a:pt x="1" y="4"/>
                </a:moveTo>
                <a:cubicBezTo>
                  <a:pt x="1" y="5"/>
                  <a:pt x="1" y="6"/>
                  <a:pt x="0" y="6"/>
                </a:cubicBezTo>
                <a:cubicBezTo>
                  <a:pt x="0" y="6"/>
                  <a:pt x="0" y="4"/>
                  <a:pt x="0" y="3"/>
                </a:cubicBezTo>
                <a:cubicBezTo>
                  <a:pt x="0" y="2"/>
                  <a:pt x="0" y="0"/>
                  <a:pt x="0" y="0"/>
                </a:cubicBezTo>
                <a:cubicBezTo>
                  <a:pt x="1" y="0"/>
                  <a:pt x="1" y="3"/>
                  <a:pt x="1" y="4"/>
                </a:cubicBezTo>
                <a:close/>
              </a:path>
            </a:pathLst>
          </a:custGeom>
          <a:solidFill>
            <a:schemeClr val="bg1">
              <a:lumMod val="95000"/>
            </a:schemeClr>
          </a:solidFill>
          <a:ln w="3175" cap="rnd">
            <a:solidFill>
              <a:srgbClr val="A5A5A5"/>
            </a:solidFill>
            <a:round/>
            <a:headEnd/>
            <a:tailEnd/>
          </a:ln>
        </xdr:spPr>
      </xdr:sp>
      <xdr:sp macro="" textlink="">
        <xdr:nvSpPr>
          <xdr:cNvPr id="210" name="Freeform 702"/>
          <xdr:cNvSpPr>
            <a:spLocks noChangeAspect="1"/>
          </xdr:cNvSpPr>
        </xdr:nvSpPr>
        <xdr:spPr bwMode="auto">
          <a:xfrm>
            <a:off x="4247658" y="7237486"/>
            <a:ext cx="0" cy="11514"/>
          </a:xfrm>
          <a:custGeom>
            <a:avLst/>
            <a:gdLst>
              <a:gd name="T0" fmla="*/ 4774 w 4"/>
              <a:gd name="T1" fmla="*/ 3145 h 4"/>
              <a:gd name="T2" fmla="*/ 6365 w 4"/>
              <a:gd name="T3" fmla="*/ 4717 h 4"/>
              <a:gd name="T4" fmla="*/ 3183 w 4"/>
              <a:gd name="T5" fmla="*/ 4717 h 4"/>
              <a:gd name="T6" fmla="*/ 1591 w 4"/>
              <a:gd name="T7" fmla="*/ 0 h 4"/>
              <a:gd name="T8" fmla="*/ 4774 w 4"/>
              <a:gd name="T9" fmla="*/ 3145 h 4"/>
              <a:gd name="T10" fmla="*/ 0 60000 65536"/>
              <a:gd name="T11" fmla="*/ 0 60000 65536"/>
              <a:gd name="T12" fmla="*/ 0 60000 65536"/>
              <a:gd name="T13" fmla="*/ 0 60000 65536"/>
              <a:gd name="T14" fmla="*/ 0 60000 65536"/>
              <a:gd name="T15" fmla="*/ 0 w 4"/>
              <a:gd name="T16" fmla="*/ 0 h 4"/>
              <a:gd name="T17" fmla="*/ 4 w 4"/>
              <a:gd name="T18" fmla="*/ 4 h 4"/>
            </a:gdLst>
            <a:ahLst/>
            <a:cxnLst>
              <a:cxn ang="T10">
                <a:pos x="T0" y="T1"/>
              </a:cxn>
              <a:cxn ang="T11">
                <a:pos x="T2" y="T3"/>
              </a:cxn>
              <a:cxn ang="T12">
                <a:pos x="T4" y="T5"/>
              </a:cxn>
              <a:cxn ang="T13">
                <a:pos x="T6" y="T7"/>
              </a:cxn>
              <a:cxn ang="T14">
                <a:pos x="T8" y="T9"/>
              </a:cxn>
            </a:cxnLst>
            <a:rect l="T15" t="T16" r="T17" b="T18"/>
            <a:pathLst>
              <a:path w="4" h="4">
                <a:moveTo>
                  <a:pt x="3" y="2"/>
                </a:moveTo>
                <a:cubicBezTo>
                  <a:pt x="4" y="2"/>
                  <a:pt x="4" y="3"/>
                  <a:pt x="4" y="3"/>
                </a:cubicBezTo>
                <a:cubicBezTo>
                  <a:pt x="3" y="4"/>
                  <a:pt x="2" y="3"/>
                  <a:pt x="2" y="3"/>
                </a:cubicBezTo>
                <a:cubicBezTo>
                  <a:pt x="1" y="2"/>
                  <a:pt x="0" y="1"/>
                  <a:pt x="1" y="0"/>
                </a:cubicBezTo>
                <a:cubicBezTo>
                  <a:pt x="1"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11" name="Freeform 703"/>
          <xdr:cNvSpPr>
            <a:spLocks noChangeAspect="1"/>
          </xdr:cNvSpPr>
        </xdr:nvSpPr>
        <xdr:spPr bwMode="auto">
          <a:xfrm>
            <a:off x="4236624" y="7225973"/>
            <a:ext cx="11035" cy="11514"/>
          </a:xfrm>
          <a:custGeom>
            <a:avLst/>
            <a:gdLst>
              <a:gd name="T0" fmla="*/ 9547 w 5"/>
              <a:gd name="T1" fmla="*/ 3145 h 4"/>
              <a:gd name="T2" fmla="*/ 11456 w 5"/>
              <a:gd name="T3" fmla="*/ 6289 h 4"/>
              <a:gd name="T4" fmla="*/ 3819 w 5"/>
              <a:gd name="T5" fmla="*/ 4717 h 4"/>
              <a:gd name="T6" fmla="*/ 1909 w 5"/>
              <a:gd name="T7" fmla="*/ 1572 h 4"/>
              <a:gd name="T8" fmla="*/ 9547 w 5"/>
              <a:gd name="T9" fmla="*/ 3145 h 4"/>
              <a:gd name="T10" fmla="*/ 0 60000 65536"/>
              <a:gd name="T11" fmla="*/ 0 60000 65536"/>
              <a:gd name="T12" fmla="*/ 0 60000 65536"/>
              <a:gd name="T13" fmla="*/ 0 60000 65536"/>
              <a:gd name="T14" fmla="*/ 0 60000 65536"/>
              <a:gd name="T15" fmla="*/ 0 w 5"/>
              <a:gd name="T16" fmla="*/ 0 h 4"/>
              <a:gd name="T17" fmla="*/ 5 w 5"/>
              <a:gd name="T18" fmla="*/ 4 h 4"/>
            </a:gdLst>
            <a:ahLst/>
            <a:cxnLst>
              <a:cxn ang="T10">
                <a:pos x="T0" y="T1"/>
              </a:cxn>
              <a:cxn ang="T11">
                <a:pos x="T2" y="T3"/>
              </a:cxn>
              <a:cxn ang="T12">
                <a:pos x="T4" y="T5"/>
              </a:cxn>
              <a:cxn ang="T13">
                <a:pos x="T6" y="T7"/>
              </a:cxn>
              <a:cxn ang="T14">
                <a:pos x="T8" y="T9"/>
              </a:cxn>
            </a:cxnLst>
            <a:rect l="T15" t="T16" r="T17" b="T18"/>
            <a:pathLst>
              <a:path w="5" h="4">
                <a:moveTo>
                  <a:pt x="3" y="2"/>
                </a:moveTo>
                <a:cubicBezTo>
                  <a:pt x="4" y="2"/>
                  <a:pt x="5" y="3"/>
                  <a:pt x="4" y="4"/>
                </a:cubicBezTo>
                <a:cubicBezTo>
                  <a:pt x="4" y="4"/>
                  <a:pt x="3" y="3"/>
                  <a:pt x="2" y="3"/>
                </a:cubicBezTo>
                <a:cubicBezTo>
                  <a:pt x="1" y="2"/>
                  <a:pt x="0" y="1"/>
                  <a:pt x="1" y="1"/>
                </a:cubicBezTo>
                <a:cubicBezTo>
                  <a:pt x="1" y="0"/>
                  <a:pt x="3" y="1"/>
                  <a:pt x="3" y="2"/>
                </a:cubicBezTo>
                <a:close/>
              </a:path>
            </a:pathLst>
          </a:custGeom>
          <a:solidFill>
            <a:schemeClr val="bg1">
              <a:lumMod val="95000"/>
            </a:schemeClr>
          </a:solidFill>
          <a:ln w="3175" cap="rnd">
            <a:solidFill>
              <a:srgbClr val="A5A5A5"/>
            </a:solidFill>
            <a:round/>
            <a:headEnd/>
            <a:tailEnd/>
          </a:ln>
        </xdr:spPr>
      </xdr:sp>
      <xdr:sp macro="" textlink="">
        <xdr:nvSpPr>
          <xdr:cNvPr id="212" name="Freeform 704"/>
          <xdr:cNvSpPr>
            <a:spLocks noChangeAspect="1"/>
          </xdr:cNvSpPr>
        </xdr:nvSpPr>
        <xdr:spPr bwMode="auto">
          <a:xfrm>
            <a:off x="4225589" y="7214459"/>
            <a:ext cx="11035" cy="11514"/>
          </a:xfrm>
          <a:custGeom>
            <a:avLst/>
            <a:gdLst>
              <a:gd name="T0" fmla="*/ 9945 w 4"/>
              <a:gd name="T1" fmla="*/ 7861 h 4"/>
              <a:gd name="T2" fmla="*/ 11934 w 4"/>
              <a:gd name="T3" fmla="*/ 9826 h 4"/>
              <a:gd name="T4" fmla="*/ 7956 w 4"/>
              <a:gd name="T5" fmla="*/ 7861 h 4"/>
              <a:gd name="T6" fmla="*/ 1989 w 4"/>
              <a:gd name="T7" fmla="*/ 0 h 4"/>
              <a:gd name="T8" fmla="*/ 9945 w 4"/>
              <a:gd name="T9" fmla="*/ 7861 h 4"/>
              <a:gd name="T10" fmla="*/ 0 60000 65536"/>
              <a:gd name="T11" fmla="*/ 0 60000 65536"/>
              <a:gd name="T12" fmla="*/ 0 60000 65536"/>
              <a:gd name="T13" fmla="*/ 0 60000 65536"/>
              <a:gd name="T14" fmla="*/ 0 60000 65536"/>
              <a:gd name="T15" fmla="*/ 0 w 4"/>
              <a:gd name="T16" fmla="*/ 0 h 4"/>
              <a:gd name="T17" fmla="*/ 4 w 4"/>
              <a:gd name="T18" fmla="*/ 4 h 4"/>
            </a:gdLst>
            <a:ahLst/>
            <a:cxnLst>
              <a:cxn ang="T10">
                <a:pos x="T0" y="T1"/>
              </a:cxn>
              <a:cxn ang="T11">
                <a:pos x="T2" y="T3"/>
              </a:cxn>
              <a:cxn ang="T12">
                <a:pos x="T4" y="T5"/>
              </a:cxn>
              <a:cxn ang="T13">
                <a:pos x="T6" y="T7"/>
              </a:cxn>
              <a:cxn ang="T14">
                <a:pos x="T8" y="T9"/>
              </a:cxn>
            </a:cxnLst>
            <a:rect l="T15" t="T16" r="T17" b="T18"/>
            <a:pathLst>
              <a:path w="4" h="4">
                <a:moveTo>
                  <a:pt x="3" y="2"/>
                </a:moveTo>
                <a:cubicBezTo>
                  <a:pt x="4" y="2"/>
                  <a:pt x="4" y="3"/>
                  <a:pt x="4" y="3"/>
                </a:cubicBezTo>
                <a:cubicBezTo>
                  <a:pt x="4" y="4"/>
                  <a:pt x="3" y="3"/>
                  <a:pt x="2" y="2"/>
                </a:cubicBezTo>
                <a:cubicBezTo>
                  <a:pt x="1" y="2"/>
                  <a:pt x="0" y="1"/>
                  <a:pt x="1" y="0"/>
                </a:cubicBezTo>
                <a:cubicBezTo>
                  <a:pt x="1"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13" name="Freeform 705"/>
          <xdr:cNvSpPr>
            <a:spLocks noChangeAspect="1"/>
          </xdr:cNvSpPr>
        </xdr:nvSpPr>
        <xdr:spPr bwMode="auto">
          <a:xfrm>
            <a:off x="4269727" y="7329597"/>
            <a:ext cx="11035" cy="11514"/>
          </a:xfrm>
          <a:custGeom>
            <a:avLst/>
            <a:gdLst>
              <a:gd name="T0" fmla="*/ 3819 w 5"/>
              <a:gd name="T1" fmla="*/ 3145 h 2"/>
              <a:gd name="T2" fmla="*/ 0 w 5"/>
              <a:gd name="T3" fmla="*/ 1573 h 2"/>
              <a:gd name="T4" fmla="*/ 3819 w 5"/>
              <a:gd name="T5" fmla="*/ 0 h 2"/>
              <a:gd name="T6" fmla="*/ 13366 w 5"/>
              <a:gd name="T7" fmla="*/ 1573 h 2"/>
              <a:gd name="T8" fmla="*/ 3819 w 5"/>
              <a:gd name="T9" fmla="*/ 3145 h 2"/>
              <a:gd name="T10" fmla="*/ 0 60000 65536"/>
              <a:gd name="T11" fmla="*/ 0 60000 65536"/>
              <a:gd name="T12" fmla="*/ 0 60000 65536"/>
              <a:gd name="T13" fmla="*/ 0 60000 65536"/>
              <a:gd name="T14" fmla="*/ 0 60000 65536"/>
              <a:gd name="T15" fmla="*/ 0 w 5"/>
              <a:gd name="T16" fmla="*/ 0 h 2"/>
              <a:gd name="T17" fmla="*/ 5 w 5"/>
              <a:gd name="T18" fmla="*/ 2 h 2"/>
            </a:gdLst>
            <a:ahLst/>
            <a:cxnLst>
              <a:cxn ang="T10">
                <a:pos x="T0" y="T1"/>
              </a:cxn>
              <a:cxn ang="T11">
                <a:pos x="T2" y="T3"/>
              </a:cxn>
              <a:cxn ang="T12">
                <a:pos x="T4" y="T5"/>
              </a:cxn>
              <a:cxn ang="T13">
                <a:pos x="T6" y="T7"/>
              </a:cxn>
              <a:cxn ang="T14">
                <a:pos x="T8" y="T9"/>
              </a:cxn>
            </a:cxnLst>
            <a:rect l="T15" t="T16" r="T17" b="T18"/>
            <a:pathLst>
              <a:path w="5" h="2">
                <a:moveTo>
                  <a:pt x="2" y="2"/>
                </a:moveTo>
                <a:cubicBezTo>
                  <a:pt x="1" y="2"/>
                  <a:pt x="0" y="1"/>
                  <a:pt x="0" y="1"/>
                </a:cubicBezTo>
                <a:cubicBezTo>
                  <a:pt x="0" y="0"/>
                  <a:pt x="1" y="0"/>
                  <a:pt x="2" y="0"/>
                </a:cubicBezTo>
                <a:cubicBezTo>
                  <a:pt x="3" y="0"/>
                  <a:pt x="5" y="0"/>
                  <a:pt x="5" y="1"/>
                </a:cubicBezTo>
                <a:cubicBezTo>
                  <a:pt x="4" y="2"/>
                  <a:pt x="3" y="2"/>
                  <a:pt x="2" y="2"/>
                </a:cubicBezTo>
                <a:close/>
              </a:path>
            </a:pathLst>
          </a:custGeom>
          <a:solidFill>
            <a:schemeClr val="bg1">
              <a:lumMod val="95000"/>
            </a:schemeClr>
          </a:solidFill>
          <a:ln w="3175" cap="rnd">
            <a:solidFill>
              <a:srgbClr val="A5A5A5"/>
            </a:solidFill>
            <a:round/>
            <a:headEnd/>
            <a:tailEnd/>
          </a:ln>
        </xdr:spPr>
      </xdr:sp>
      <xdr:sp macro="" textlink="">
        <xdr:nvSpPr>
          <xdr:cNvPr id="214" name="Freeform 720"/>
          <xdr:cNvSpPr>
            <a:spLocks noChangeAspect="1"/>
          </xdr:cNvSpPr>
        </xdr:nvSpPr>
        <xdr:spPr bwMode="auto">
          <a:xfrm>
            <a:off x="3071163" y="4359015"/>
            <a:ext cx="0" cy="11514"/>
          </a:xfrm>
          <a:custGeom>
            <a:avLst/>
            <a:gdLst>
              <a:gd name="T0" fmla="*/ 3182 w 2"/>
              <a:gd name="T1" fmla="*/ 9434 h 5"/>
              <a:gd name="T2" fmla="*/ 1591 w 2"/>
              <a:gd name="T3" fmla="*/ 13208 h 5"/>
              <a:gd name="T4" fmla="*/ 0 w 2"/>
              <a:gd name="T5" fmla="*/ 9434 h 5"/>
              <a:gd name="T6" fmla="*/ 1591 w 2"/>
              <a:gd name="T7" fmla="*/ 0 h 5"/>
              <a:gd name="T8" fmla="*/ 3182 w 2"/>
              <a:gd name="T9" fmla="*/ 9434 h 5"/>
              <a:gd name="T10" fmla="*/ 0 60000 65536"/>
              <a:gd name="T11" fmla="*/ 0 60000 65536"/>
              <a:gd name="T12" fmla="*/ 0 60000 65536"/>
              <a:gd name="T13" fmla="*/ 0 60000 65536"/>
              <a:gd name="T14" fmla="*/ 0 60000 65536"/>
              <a:gd name="T15" fmla="*/ 0 w 2"/>
              <a:gd name="T16" fmla="*/ 0 h 5"/>
              <a:gd name="T17" fmla="*/ 2 w 2"/>
              <a:gd name="T18" fmla="*/ 5 h 5"/>
            </a:gdLst>
            <a:ahLst/>
            <a:cxnLst>
              <a:cxn ang="T10">
                <a:pos x="T0" y="T1"/>
              </a:cxn>
              <a:cxn ang="T11">
                <a:pos x="T2" y="T3"/>
              </a:cxn>
              <a:cxn ang="T12">
                <a:pos x="T4" y="T5"/>
              </a:cxn>
              <a:cxn ang="T13">
                <a:pos x="T6" y="T7"/>
              </a:cxn>
              <a:cxn ang="T14">
                <a:pos x="T8" y="T9"/>
              </a:cxn>
            </a:cxnLst>
            <a:rect l="T15" t="T16" r="T17" b="T18"/>
            <a:pathLst>
              <a:path w="2" h="5">
                <a:moveTo>
                  <a:pt x="2" y="3"/>
                </a:moveTo>
                <a:cubicBezTo>
                  <a:pt x="2" y="4"/>
                  <a:pt x="1" y="5"/>
                  <a:pt x="1" y="5"/>
                </a:cubicBezTo>
                <a:cubicBezTo>
                  <a:pt x="0" y="5"/>
                  <a:pt x="0" y="4"/>
                  <a:pt x="0" y="3"/>
                </a:cubicBezTo>
                <a:cubicBezTo>
                  <a:pt x="0" y="2"/>
                  <a:pt x="0" y="0"/>
                  <a:pt x="1" y="0"/>
                </a:cubicBezTo>
                <a:cubicBezTo>
                  <a:pt x="2" y="1"/>
                  <a:pt x="2" y="2"/>
                  <a:pt x="2" y="3"/>
                </a:cubicBezTo>
                <a:close/>
              </a:path>
            </a:pathLst>
          </a:custGeom>
          <a:solidFill>
            <a:schemeClr val="bg1">
              <a:lumMod val="95000"/>
            </a:schemeClr>
          </a:solidFill>
          <a:ln w="3175" cap="rnd">
            <a:solidFill>
              <a:srgbClr val="A5A5A5"/>
            </a:solidFill>
            <a:round/>
            <a:headEnd/>
            <a:tailEnd/>
          </a:ln>
        </xdr:spPr>
      </xdr:sp>
      <xdr:sp macro="" textlink="">
        <xdr:nvSpPr>
          <xdr:cNvPr id="215" name="Freeform 741"/>
          <xdr:cNvSpPr>
            <a:spLocks noChangeAspect="1"/>
          </xdr:cNvSpPr>
        </xdr:nvSpPr>
        <xdr:spPr bwMode="auto">
          <a:xfrm>
            <a:off x="4457313" y="4819571"/>
            <a:ext cx="11035" cy="11514"/>
          </a:xfrm>
          <a:custGeom>
            <a:avLst/>
            <a:gdLst>
              <a:gd name="T0" fmla="*/ 10608 w 3"/>
              <a:gd name="T1" fmla="*/ 7861 h 4"/>
              <a:gd name="T2" fmla="*/ 10608 w 3"/>
              <a:gd name="T3" fmla="*/ 9826 h 4"/>
              <a:gd name="T4" fmla="*/ 2122 w 3"/>
              <a:gd name="T5" fmla="*/ 9826 h 4"/>
              <a:gd name="T6" fmla="*/ 2122 w 3"/>
              <a:gd name="T7" fmla="*/ 1965 h 4"/>
              <a:gd name="T8" fmla="*/ 10608 w 3"/>
              <a:gd name="T9" fmla="*/ 7861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3" y="2"/>
                </a:moveTo>
                <a:cubicBezTo>
                  <a:pt x="3" y="2"/>
                  <a:pt x="3" y="3"/>
                  <a:pt x="3" y="3"/>
                </a:cubicBezTo>
                <a:cubicBezTo>
                  <a:pt x="2" y="4"/>
                  <a:pt x="2" y="3"/>
                  <a:pt x="1" y="3"/>
                </a:cubicBezTo>
                <a:cubicBezTo>
                  <a:pt x="1" y="3"/>
                  <a:pt x="0" y="2"/>
                  <a:pt x="1" y="1"/>
                </a:cubicBezTo>
                <a:cubicBezTo>
                  <a:pt x="1"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16" name="Freeform 742"/>
          <xdr:cNvSpPr>
            <a:spLocks noChangeAspect="1"/>
          </xdr:cNvSpPr>
        </xdr:nvSpPr>
        <xdr:spPr bwMode="auto">
          <a:xfrm>
            <a:off x="4457313" y="4865626"/>
            <a:ext cx="11035" cy="11514"/>
          </a:xfrm>
          <a:custGeom>
            <a:avLst/>
            <a:gdLst>
              <a:gd name="T0" fmla="*/ 4774 w 3"/>
              <a:gd name="T1" fmla="*/ 7861 h 4"/>
              <a:gd name="T2" fmla="*/ 3183 w 3"/>
              <a:gd name="T3" fmla="*/ 11791 h 4"/>
              <a:gd name="T4" fmla="*/ 0 w 3"/>
              <a:gd name="T5" fmla="*/ 7861 h 4"/>
              <a:gd name="T6" fmla="*/ 1591 w 3"/>
              <a:gd name="T7" fmla="*/ 0 h 4"/>
              <a:gd name="T8" fmla="*/ 4774 w 3"/>
              <a:gd name="T9" fmla="*/ 7861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3" y="2"/>
                </a:moveTo>
                <a:cubicBezTo>
                  <a:pt x="3" y="3"/>
                  <a:pt x="3" y="4"/>
                  <a:pt x="2" y="4"/>
                </a:cubicBezTo>
                <a:cubicBezTo>
                  <a:pt x="1" y="4"/>
                  <a:pt x="1" y="3"/>
                  <a:pt x="0" y="2"/>
                </a:cubicBezTo>
                <a:cubicBezTo>
                  <a:pt x="0" y="2"/>
                  <a:pt x="0" y="0"/>
                  <a:pt x="1" y="0"/>
                </a:cubicBezTo>
                <a:cubicBezTo>
                  <a:pt x="2"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17" name="Freeform 744"/>
          <xdr:cNvSpPr>
            <a:spLocks noChangeAspect="1"/>
          </xdr:cNvSpPr>
        </xdr:nvSpPr>
        <xdr:spPr bwMode="auto">
          <a:xfrm>
            <a:off x="4269727" y="4969251"/>
            <a:ext cx="0" cy="11514"/>
          </a:xfrm>
          <a:custGeom>
            <a:avLst/>
            <a:gdLst>
              <a:gd name="T0" fmla="*/ 4774 w 3"/>
              <a:gd name="T1" fmla="*/ 8385 h 3"/>
              <a:gd name="T2" fmla="*/ 1591 w 3"/>
              <a:gd name="T3" fmla="*/ 10482 h 3"/>
              <a:gd name="T4" fmla="*/ 0 w 3"/>
              <a:gd name="T5" fmla="*/ 2096 h 3"/>
              <a:gd name="T6" fmla="*/ 3183 w 3"/>
              <a:gd name="T7" fmla="*/ 2096 h 3"/>
              <a:gd name="T8" fmla="*/ 4774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3" y="2"/>
                </a:moveTo>
                <a:cubicBezTo>
                  <a:pt x="3" y="3"/>
                  <a:pt x="2" y="3"/>
                  <a:pt x="1" y="3"/>
                </a:cubicBezTo>
                <a:cubicBezTo>
                  <a:pt x="0" y="2"/>
                  <a:pt x="0" y="2"/>
                  <a:pt x="0" y="1"/>
                </a:cubicBezTo>
                <a:cubicBezTo>
                  <a:pt x="0" y="1"/>
                  <a:pt x="0" y="0"/>
                  <a:pt x="2" y="1"/>
                </a:cubicBezTo>
                <a:cubicBezTo>
                  <a:pt x="3" y="1"/>
                  <a:pt x="3" y="2"/>
                  <a:pt x="3" y="2"/>
                </a:cubicBezTo>
                <a:close/>
              </a:path>
            </a:pathLst>
          </a:custGeom>
          <a:solidFill>
            <a:schemeClr val="bg1">
              <a:lumMod val="95000"/>
            </a:schemeClr>
          </a:solidFill>
          <a:ln w="3175" cap="rnd">
            <a:solidFill>
              <a:srgbClr val="A5A5A5"/>
            </a:solidFill>
            <a:round/>
            <a:headEnd/>
            <a:tailEnd/>
          </a:ln>
        </xdr:spPr>
      </xdr:sp>
      <xdr:sp macro="" textlink="">
        <xdr:nvSpPr>
          <xdr:cNvPr id="218" name="Freeform 745"/>
          <xdr:cNvSpPr>
            <a:spLocks noChangeAspect="1"/>
          </xdr:cNvSpPr>
        </xdr:nvSpPr>
        <xdr:spPr bwMode="auto">
          <a:xfrm>
            <a:off x="4788348" y="5395265"/>
            <a:ext cx="11035" cy="0"/>
          </a:xfrm>
          <a:custGeom>
            <a:avLst/>
            <a:gdLst>
              <a:gd name="T0" fmla="*/ 3819 w 5"/>
              <a:gd name="T1" fmla="*/ 4717 h 3"/>
              <a:gd name="T2" fmla="*/ 0 w 5"/>
              <a:gd name="T3" fmla="*/ 3145 h 3"/>
              <a:gd name="T4" fmla="*/ 3819 w 5"/>
              <a:gd name="T5" fmla="*/ 0 h 3"/>
              <a:gd name="T6" fmla="*/ 13366 w 5"/>
              <a:gd name="T7" fmla="*/ 1572 h 3"/>
              <a:gd name="T8" fmla="*/ 3819 w 5"/>
              <a:gd name="T9" fmla="*/ 4717 h 3"/>
              <a:gd name="T10" fmla="*/ 0 60000 65536"/>
              <a:gd name="T11" fmla="*/ 0 60000 65536"/>
              <a:gd name="T12" fmla="*/ 0 60000 65536"/>
              <a:gd name="T13" fmla="*/ 0 60000 65536"/>
              <a:gd name="T14" fmla="*/ 0 60000 65536"/>
              <a:gd name="T15" fmla="*/ 0 w 5"/>
              <a:gd name="T16" fmla="*/ 0 h 3"/>
              <a:gd name="T17" fmla="*/ 5 w 5"/>
              <a:gd name="T18" fmla="*/ 3 h 3"/>
            </a:gdLst>
            <a:ahLst/>
            <a:cxnLst>
              <a:cxn ang="T10">
                <a:pos x="T0" y="T1"/>
              </a:cxn>
              <a:cxn ang="T11">
                <a:pos x="T2" y="T3"/>
              </a:cxn>
              <a:cxn ang="T12">
                <a:pos x="T4" y="T5"/>
              </a:cxn>
              <a:cxn ang="T13">
                <a:pos x="T6" y="T7"/>
              </a:cxn>
              <a:cxn ang="T14">
                <a:pos x="T8" y="T9"/>
              </a:cxn>
            </a:cxnLst>
            <a:rect l="T15" t="T16" r="T17" b="T18"/>
            <a:pathLst>
              <a:path w="5" h="3">
                <a:moveTo>
                  <a:pt x="2" y="3"/>
                </a:moveTo>
                <a:cubicBezTo>
                  <a:pt x="2" y="3"/>
                  <a:pt x="0" y="3"/>
                  <a:pt x="0" y="2"/>
                </a:cubicBezTo>
                <a:cubicBezTo>
                  <a:pt x="0" y="1"/>
                  <a:pt x="1" y="0"/>
                  <a:pt x="2" y="0"/>
                </a:cubicBezTo>
                <a:cubicBezTo>
                  <a:pt x="3" y="0"/>
                  <a:pt x="5" y="0"/>
                  <a:pt x="5" y="1"/>
                </a:cubicBezTo>
                <a:cubicBezTo>
                  <a:pt x="5" y="2"/>
                  <a:pt x="3" y="3"/>
                  <a:pt x="2" y="3"/>
                </a:cubicBezTo>
                <a:close/>
              </a:path>
            </a:pathLst>
          </a:custGeom>
          <a:solidFill>
            <a:schemeClr val="bg1">
              <a:lumMod val="95000"/>
            </a:schemeClr>
          </a:solidFill>
          <a:ln w="3175" cap="rnd">
            <a:solidFill>
              <a:srgbClr val="A5A5A5"/>
            </a:solidFill>
            <a:round/>
            <a:headEnd/>
            <a:tailEnd/>
          </a:ln>
        </xdr:spPr>
      </xdr:sp>
      <xdr:sp macro="" textlink="">
        <xdr:nvSpPr>
          <xdr:cNvPr id="219" name="Freeform 746"/>
          <xdr:cNvSpPr>
            <a:spLocks noChangeAspect="1"/>
          </xdr:cNvSpPr>
        </xdr:nvSpPr>
        <xdr:spPr bwMode="auto">
          <a:xfrm>
            <a:off x="3637341" y="5406779"/>
            <a:ext cx="0" cy="11514"/>
          </a:xfrm>
          <a:custGeom>
            <a:avLst/>
            <a:gdLst>
              <a:gd name="T0" fmla="*/ 10608 w 3"/>
              <a:gd name="T1" fmla="*/ 8385 h 3"/>
              <a:gd name="T2" fmla="*/ 2122 w 3"/>
              <a:gd name="T3" fmla="*/ 10482 h 3"/>
              <a:gd name="T4" fmla="*/ 0 w 3"/>
              <a:gd name="T5" fmla="*/ 8385 h 3"/>
              <a:gd name="T6" fmla="*/ 8487 w 3"/>
              <a:gd name="T7" fmla="*/ 0 h 3"/>
              <a:gd name="T8" fmla="*/ 10608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3" y="2"/>
                </a:moveTo>
                <a:cubicBezTo>
                  <a:pt x="3" y="2"/>
                  <a:pt x="3" y="3"/>
                  <a:pt x="1" y="3"/>
                </a:cubicBezTo>
                <a:cubicBezTo>
                  <a:pt x="0" y="3"/>
                  <a:pt x="0" y="2"/>
                  <a:pt x="0" y="2"/>
                </a:cubicBezTo>
                <a:cubicBezTo>
                  <a:pt x="0" y="1"/>
                  <a:pt x="0" y="0"/>
                  <a:pt x="2" y="0"/>
                </a:cubicBezTo>
                <a:cubicBezTo>
                  <a:pt x="3" y="0"/>
                  <a:pt x="3" y="1"/>
                  <a:pt x="3" y="2"/>
                </a:cubicBezTo>
                <a:close/>
              </a:path>
            </a:pathLst>
          </a:custGeom>
          <a:solidFill>
            <a:schemeClr val="bg1">
              <a:lumMod val="95000"/>
            </a:schemeClr>
          </a:solidFill>
          <a:ln w="3175" cap="rnd">
            <a:solidFill>
              <a:srgbClr val="A5A5A5"/>
            </a:solidFill>
            <a:round/>
            <a:headEnd/>
            <a:tailEnd/>
          </a:ln>
        </xdr:spPr>
      </xdr:sp>
      <xdr:sp macro="" textlink="">
        <xdr:nvSpPr>
          <xdr:cNvPr id="220" name="Freeform 747"/>
          <xdr:cNvSpPr>
            <a:spLocks noChangeAspect="1"/>
          </xdr:cNvSpPr>
        </xdr:nvSpPr>
        <xdr:spPr bwMode="auto">
          <a:xfrm>
            <a:off x="4192485" y="7168403"/>
            <a:ext cx="11035" cy="0"/>
          </a:xfrm>
          <a:custGeom>
            <a:avLst/>
            <a:gdLst>
              <a:gd name="T0" fmla="*/ 7956 w 4"/>
              <a:gd name="T1" fmla="*/ 3145 h 3"/>
              <a:gd name="T2" fmla="*/ 1989 w 4"/>
              <a:gd name="T3" fmla="*/ 4717 h 3"/>
              <a:gd name="T4" fmla="*/ 1989 w 4"/>
              <a:gd name="T5" fmla="*/ 1572 h 3"/>
              <a:gd name="T6" fmla="*/ 9945 w 4"/>
              <a:gd name="T7" fmla="*/ 0 h 3"/>
              <a:gd name="T8" fmla="*/ 7956 w 4"/>
              <a:gd name="T9" fmla="*/ 3145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2"/>
                </a:moveTo>
                <a:cubicBezTo>
                  <a:pt x="2" y="3"/>
                  <a:pt x="1" y="3"/>
                  <a:pt x="1" y="3"/>
                </a:cubicBezTo>
                <a:cubicBezTo>
                  <a:pt x="0" y="2"/>
                  <a:pt x="1" y="1"/>
                  <a:pt x="1" y="1"/>
                </a:cubicBezTo>
                <a:cubicBezTo>
                  <a:pt x="1" y="0"/>
                  <a:pt x="2" y="0"/>
                  <a:pt x="3" y="0"/>
                </a:cubicBezTo>
                <a:cubicBezTo>
                  <a:pt x="4" y="1"/>
                  <a:pt x="3" y="2"/>
                  <a:pt x="2" y="2"/>
                </a:cubicBezTo>
                <a:close/>
              </a:path>
            </a:pathLst>
          </a:custGeom>
          <a:solidFill>
            <a:schemeClr val="bg1">
              <a:lumMod val="95000"/>
            </a:schemeClr>
          </a:solidFill>
          <a:ln w="3175" cap="rnd">
            <a:solidFill>
              <a:srgbClr val="A5A5A5"/>
            </a:solidFill>
            <a:round/>
            <a:headEnd/>
            <a:tailEnd/>
          </a:ln>
        </xdr:spPr>
      </xdr:sp>
      <xdr:sp macro="" textlink="">
        <xdr:nvSpPr>
          <xdr:cNvPr id="221" name="Freeform 748"/>
          <xdr:cNvSpPr>
            <a:spLocks noChangeAspect="1"/>
          </xdr:cNvSpPr>
        </xdr:nvSpPr>
        <xdr:spPr bwMode="auto">
          <a:xfrm>
            <a:off x="4203520" y="7168403"/>
            <a:ext cx="0" cy="11514"/>
          </a:xfrm>
          <a:custGeom>
            <a:avLst/>
            <a:gdLst>
              <a:gd name="T0" fmla="*/ 3182 w 2"/>
              <a:gd name="T1" fmla="*/ 9434 h 5"/>
              <a:gd name="T2" fmla="*/ 1591 w 2"/>
              <a:gd name="T3" fmla="*/ 13208 h 5"/>
              <a:gd name="T4" fmla="*/ 0 w 2"/>
              <a:gd name="T5" fmla="*/ 9434 h 5"/>
              <a:gd name="T6" fmla="*/ 1591 w 2"/>
              <a:gd name="T7" fmla="*/ 0 h 5"/>
              <a:gd name="T8" fmla="*/ 3182 w 2"/>
              <a:gd name="T9" fmla="*/ 9434 h 5"/>
              <a:gd name="T10" fmla="*/ 0 60000 65536"/>
              <a:gd name="T11" fmla="*/ 0 60000 65536"/>
              <a:gd name="T12" fmla="*/ 0 60000 65536"/>
              <a:gd name="T13" fmla="*/ 0 60000 65536"/>
              <a:gd name="T14" fmla="*/ 0 60000 65536"/>
              <a:gd name="T15" fmla="*/ 0 w 2"/>
              <a:gd name="T16" fmla="*/ 0 h 5"/>
              <a:gd name="T17" fmla="*/ 2 w 2"/>
              <a:gd name="T18" fmla="*/ 5 h 5"/>
            </a:gdLst>
            <a:ahLst/>
            <a:cxnLst>
              <a:cxn ang="T10">
                <a:pos x="T0" y="T1"/>
              </a:cxn>
              <a:cxn ang="T11">
                <a:pos x="T2" y="T3"/>
              </a:cxn>
              <a:cxn ang="T12">
                <a:pos x="T4" y="T5"/>
              </a:cxn>
              <a:cxn ang="T13">
                <a:pos x="T6" y="T7"/>
              </a:cxn>
              <a:cxn ang="T14">
                <a:pos x="T8" y="T9"/>
              </a:cxn>
            </a:cxnLst>
            <a:rect l="T15" t="T16" r="T17" b="T18"/>
            <a:pathLst>
              <a:path w="2" h="5">
                <a:moveTo>
                  <a:pt x="2" y="3"/>
                </a:moveTo>
                <a:cubicBezTo>
                  <a:pt x="1" y="4"/>
                  <a:pt x="1" y="5"/>
                  <a:pt x="1" y="5"/>
                </a:cubicBezTo>
                <a:cubicBezTo>
                  <a:pt x="0" y="5"/>
                  <a:pt x="0" y="4"/>
                  <a:pt x="0" y="3"/>
                </a:cubicBezTo>
                <a:cubicBezTo>
                  <a:pt x="0" y="2"/>
                  <a:pt x="0" y="0"/>
                  <a:pt x="1" y="0"/>
                </a:cubicBezTo>
                <a:cubicBezTo>
                  <a:pt x="2" y="1"/>
                  <a:pt x="2" y="2"/>
                  <a:pt x="2" y="3"/>
                </a:cubicBezTo>
                <a:close/>
              </a:path>
            </a:pathLst>
          </a:custGeom>
          <a:solidFill>
            <a:schemeClr val="bg1">
              <a:lumMod val="95000"/>
            </a:schemeClr>
          </a:solidFill>
          <a:ln w="3175" cap="rnd">
            <a:solidFill>
              <a:srgbClr val="A5A5A5"/>
            </a:solidFill>
            <a:round/>
            <a:headEnd/>
            <a:tailEnd/>
          </a:ln>
        </xdr:spPr>
      </xdr:sp>
      <xdr:sp macro="" textlink="">
        <xdr:nvSpPr>
          <xdr:cNvPr id="222" name="Freeform 749"/>
          <xdr:cNvSpPr>
            <a:spLocks noChangeAspect="1"/>
          </xdr:cNvSpPr>
        </xdr:nvSpPr>
        <xdr:spPr bwMode="auto">
          <a:xfrm>
            <a:off x="4247658" y="7249001"/>
            <a:ext cx="11035" cy="11514"/>
          </a:xfrm>
          <a:custGeom>
            <a:avLst/>
            <a:gdLst>
              <a:gd name="T0" fmla="*/ 9548 w 2"/>
              <a:gd name="T1" fmla="*/ 9826 h 4"/>
              <a:gd name="T2" fmla="*/ 7161 w 2"/>
              <a:gd name="T3" fmla="*/ 11791 h 4"/>
              <a:gd name="T4" fmla="*/ 0 w 2"/>
              <a:gd name="T5" fmla="*/ 7861 h 4"/>
              <a:gd name="T6" fmla="*/ 7161 w 2"/>
              <a:gd name="T7" fmla="*/ 0 h 4"/>
              <a:gd name="T8" fmla="*/ 9548 w 2"/>
              <a:gd name="T9" fmla="*/ 9826 h 4"/>
              <a:gd name="T10" fmla="*/ 0 60000 65536"/>
              <a:gd name="T11" fmla="*/ 0 60000 65536"/>
              <a:gd name="T12" fmla="*/ 0 60000 65536"/>
              <a:gd name="T13" fmla="*/ 0 60000 65536"/>
              <a:gd name="T14" fmla="*/ 0 60000 65536"/>
              <a:gd name="T15" fmla="*/ 0 w 2"/>
              <a:gd name="T16" fmla="*/ 0 h 4"/>
              <a:gd name="T17" fmla="*/ 2 w 2"/>
              <a:gd name="T18" fmla="*/ 4 h 4"/>
            </a:gdLst>
            <a:ahLst/>
            <a:cxnLst>
              <a:cxn ang="T10">
                <a:pos x="T0" y="T1"/>
              </a:cxn>
              <a:cxn ang="T11">
                <a:pos x="T2" y="T3"/>
              </a:cxn>
              <a:cxn ang="T12">
                <a:pos x="T4" y="T5"/>
              </a:cxn>
              <a:cxn ang="T13">
                <a:pos x="T6" y="T7"/>
              </a:cxn>
              <a:cxn ang="T14">
                <a:pos x="T8" y="T9"/>
              </a:cxn>
            </a:cxnLst>
            <a:rect l="T15" t="T16" r="T17" b="T18"/>
            <a:pathLst>
              <a:path w="2" h="4">
                <a:moveTo>
                  <a:pt x="2" y="3"/>
                </a:moveTo>
                <a:cubicBezTo>
                  <a:pt x="2" y="3"/>
                  <a:pt x="2" y="4"/>
                  <a:pt x="1" y="4"/>
                </a:cubicBezTo>
                <a:cubicBezTo>
                  <a:pt x="0" y="4"/>
                  <a:pt x="0" y="3"/>
                  <a:pt x="0" y="2"/>
                </a:cubicBezTo>
                <a:cubicBezTo>
                  <a:pt x="0" y="1"/>
                  <a:pt x="0" y="0"/>
                  <a:pt x="1" y="0"/>
                </a:cubicBezTo>
                <a:cubicBezTo>
                  <a:pt x="2" y="0"/>
                  <a:pt x="2" y="2"/>
                  <a:pt x="2" y="3"/>
                </a:cubicBezTo>
                <a:close/>
              </a:path>
            </a:pathLst>
          </a:custGeom>
          <a:solidFill>
            <a:schemeClr val="bg1">
              <a:lumMod val="95000"/>
            </a:schemeClr>
          </a:solidFill>
          <a:ln w="3175" cap="rnd">
            <a:solidFill>
              <a:srgbClr val="A5A5A5"/>
            </a:solidFill>
            <a:round/>
            <a:headEnd/>
            <a:tailEnd/>
          </a:ln>
        </xdr:spPr>
      </xdr:sp>
      <xdr:sp macro="" textlink="">
        <xdr:nvSpPr>
          <xdr:cNvPr id="223" name="Freeform 750"/>
          <xdr:cNvSpPr>
            <a:spLocks noChangeAspect="1"/>
          </xdr:cNvSpPr>
        </xdr:nvSpPr>
        <xdr:spPr bwMode="auto">
          <a:xfrm>
            <a:off x="4435244" y="7387167"/>
            <a:ext cx="11035" cy="0"/>
          </a:xfrm>
          <a:custGeom>
            <a:avLst/>
            <a:gdLst>
              <a:gd name="T0" fmla="*/ 3182 w 2"/>
              <a:gd name="T1" fmla="*/ 7861 h 4"/>
              <a:gd name="T2" fmla="*/ 1591 w 2"/>
              <a:gd name="T3" fmla="*/ 11791 h 4"/>
              <a:gd name="T4" fmla="*/ 0 w 2"/>
              <a:gd name="T5" fmla="*/ 7861 h 4"/>
              <a:gd name="T6" fmla="*/ 1591 w 2"/>
              <a:gd name="T7" fmla="*/ 0 h 4"/>
              <a:gd name="T8" fmla="*/ 3182 w 2"/>
              <a:gd name="T9" fmla="*/ 7861 h 4"/>
              <a:gd name="T10" fmla="*/ 0 60000 65536"/>
              <a:gd name="T11" fmla="*/ 0 60000 65536"/>
              <a:gd name="T12" fmla="*/ 0 60000 65536"/>
              <a:gd name="T13" fmla="*/ 0 60000 65536"/>
              <a:gd name="T14" fmla="*/ 0 60000 65536"/>
              <a:gd name="T15" fmla="*/ 0 w 2"/>
              <a:gd name="T16" fmla="*/ 0 h 4"/>
              <a:gd name="T17" fmla="*/ 2 w 2"/>
              <a:gd name="T18" fmla="*/ 4 h 4"/>
            </a:gdLst>
            <a:ahLst/>
            <a:cxnLst>
              <a:cxn ang="T10">
                <a:pos x="T0" y="T1"/>
              </a:cxn>
              <a:cxn ang="T11">
                <a:pos x="T2" y="T3"/>
              </a:cxn>
              <a:cxn ang="T12">
                <a:pos x="T4" y="T5"/>
              </a:cxn>
              <a:cxn ang="T13">
                <a:pos x="T6" y="T7"/>
              </a:cxn>
              <a:cxn ang="T14">
                <a:pos x="T8" y="T9"/>
              </a:cxn>
            </a:cxnLst>
            <a:rect l="T15" t="T16" r="T17" b="T18"/>
            <a:pathLst>
              <a:path w="2" h="4">
                <a:moveTo>
                  <a:pt x="2" y="2"/>
                </a:moveTo>
                <a:cubicBezTo>
                  <a:pt x="2" y="3"/>
                  <a:pt x="2" y="4"/>
                  <a:pt x="1" y="4"/>
                </a:cubicBezTo>
                <a:cubicBezTo>
                  <a:pt x="0" y="3"/>
                  <a:pt x="0" y="3"/>
                  <a:pt x="0" y="2"/>
                </a:cubicBezTo>
                <a:cubicBezTo>
                  <a:pt x="0" y="1"/>
                  <a:pt x="0" y="0"/>
                  <a:pt x="1"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24" name="Freeform 751"/>
          <xdr:cNvSpPr>
            <a:spLocks noChangeAspect="1"/>
          </xdr:cNvSpPr>
        </xdr:nvSpPr>
        <xdr:spPr bwMode="auto">
          <a:xfrm>
            <a:off x="4324900" y="7352625"/>
            <a:ext cx="11035" cy="0"/>
          </a:xfrm>
          <a:custGeom>
            <a:avLst/>
            <a:gdLst>
              <a:gd name="T0" fmla="*/ 8487 w 3"/>
              <a:gd name="T1" fmla="*/ 0 h 2"/>
              <a:gd name="T2" fmla="*/ 10608 w 3"/>
              <a:gd name="T3" fmla="*/ 1573 h 2"/>
              <a:gd name="T4" fmla="*/ 8487 w 3"/>
              <a:gd name="T5" fmla="*/ 3145 h 2"/>
              <a:gd name="T6" fmla="*/ 0 w 3"/>
              <a:gd name="T7" fmla="*/ 1573 h 2"/>
              <a:gd name="T8" fmla="*/ 8487 w 3"/>
              <a:gd name="T9" fmla="*/ 0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0"/>
                </a:moveTo>
                <a:cubicBezTo>
                  <a:pt x="3" y="0"/>
                  <a:pt x="3" y="1"/>
                  <a:pt x="3" y="1"/>
                </a:cubicBezTo>
                <a:cubicBezTo>
                  <a:pt x="3" y="2"/>
                  <a:pt x="2" y="2"/>
                  <a:pt x="2" y="2"/>
                </a:cubicBezTo>
                <a:cubicBezTo>
                  <a:pt x="1" y="2"/>
                  <a:pt x="0" y="2"/>
                  <a:pt x="0" y="1"/>
                </a:cubicBezTo>
                <a:cubicBezTo>
                  <a:pt x="0" y="0"/>
                  <a:pt x="1" y="0"/>
                  <a:pt x="2" y="0"/>
                </a:cubicBezTo>
                <a:close/>
              </a:path>
            </a:pathLst>
          </a:custGeom>
          <a:solidFill>
            <a:schemeClr val="bg1">
              <a:lumMod val="95000"/>
            </a:schemeClr>
          </a:solidFill>
          <a:ln w="3175" cap="rnd">
            <a:solidFill>
              <a:srgbClr val="A5A5A5"/>
            </a:solidFill>
            <a:round/>
            <a:headEnd/>
            <a:tailEnd/>
          </a:ln>
        </xdr:spPr>
      </xdr:sp>
      <xdr:sp macro="" textlink="">
        <xdr:nvSpPr>
          <xdr:cNvPr id="225" name="Oval 830"/>
          <xdr:cNvSpPr>
            <a:spLocks noChangeAspect="1" noChangeArrowheads="1"/>
          </xdr:cNvSpPr>
        </xdr:nvSpPr>
        <xdr:spPr bwMode="auto">
          <a:xfrm>
            <a:off x="4402140" y="4255391"/>
            <a:ext cx="0" cy="0"/>
          </a:xfrm>
          <a:prstGeom prst="ellipse">
            <a:avLst/>
          </a:prstGeom>
          <a:solidFill>
            <a:schemeClr val="bg1">
              <a:lumMod val="95000"/>
            </a:schemeClr>
          </a:solidFill>
          <a:ln w="3175" cap="rnd">
            <a:solidFill>
              <a:srgbClr val="A5A5A5"/>
            </a:solidFill>
            <a:round/>
            <a:headEnd/>
            <a:tailEnd/>
          </a:ln>
        </xdr:spPr>
      </xdr:sp>
      <xdr:sp macro="" textlink="">
        <xdr:nvSpPr>
          <xdr:cNvPr id="226" name="Freeform 832"/>
          <xdr:cNvSpPr>
            <a:spLocks noChangeAspect="1"/>
          </xdr:cNvSpPr>
        </xdr:nvSpPr>
        <xdr:spPr bwMode="auto">
          <a:xfrm>
            <a:off x="3900685" y="4646862"/>
            <a:ext cx="11035" cy="11514"/>
          </a:xfrm>
          <a:custGeom>
            <a:avLst/>
            <a:gdLst>
              <a:gd name="T0" fmla="*/ 8487 w 3"/>
              <a:gd name="T1" fmla="*/ 9434 h 2"/>
              <a:gd name="T2" fmla="*/ 2122 w 3"/>
              <a:gd name="T3" fmla="*/ 9434 h 2"/>
              <a:gd name="T4" fmla="*/ 2122 w 3"/>
              <a:gd name="T5" fmla="*/ 0 h 2"/>
              <a:gd name="T6" fmla="*/ 10608 w 3"/>
              <a:gd name="T7" fmla="*/ 0 h 2"/>
              <a:gd name="T8" fmla="*/ 8487 w 3"/>
              <a:gd name="T9" fmla="*/ 9434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1" y="2"/>
                  <a:pt x="1" y="2"/>
                  <a:pt x="1" y="2"/>
                </a:cubicBezTo>
                <a:cubicBezTo>
                  <a:pt x="0" y="1"/>
                  <a:pt x="1" y="1"/>
                  <a:pt x="1" y="0"/>
                </a:cubicBezTo>
                <a:cubicBezTo>
                  <a:pt x="1" y="0"/>
                  <a:pt x="2" y="0"/>
                  <a:pt x="3" y="0"/>
                </a:cubicBezTo>
                <a:cubicBezTo>
                  <a:pt x="3" y="1"/>
                  <a:pt x="2" y="1"/>
                  <a:pt x="2" y="2"/>
                </a:cubicBezTo>
                <a:close/>
              </a:path>
            </a:pathLst>
          </a:custGeom>
          <a:solidFill>
            <a:schemeClr val="bg1">
              <a:lumMod val="95000"/>
            </a:schemeClr>
          </a:solidFill>
          <a:ln w="3175" cap="rnd">
            <a:solidFill>
              <a:srgbClr val="A5A5A5"/>
            </a:solidFill>
            <a:round/>
            <a:headEnd/>
            <a:tailEnd/>
          </a:ln>
        </xdr:spPr>
      </xdr:sp>
      <xdr:sp macro="" textlink="">
        <xdr:nvSpPr>
          <xdr:cNvPr id="227" name="Freeform 833"/>
          <xdr:cNvSpPr>
            <a:spLocks noChangeAspect="1"/>
          </xdr:cNvSpPr>
        </xdr:nvSpPr>
        <xdr:spPr bwMode="auto">
          <a:xfrm>
            <a:off x="3988961" y="4600807"/>
            <a:ext cx="0" cy="11514"/>
          </a:xfrm>
          <a:custGeom>
            <a:avLst/>
            <a:gdLst>
              <a:gd name="T0" fmla="*/ 3183 w 3"/>
              <a:gd name="T1" fmla="*/ 9434 h 2"/>
              <a:gd name="T2" fmla="*/ 0 w 3"/>
              <a:gd name="T3" fmla="*/ 7075 h 2"/>
              <a:gd name="T4" fmla="*/ 1591 w 3"/>
              <a:gd name="T5" fmla="*/ 0 h 2"/>
              <a:gd name="T6" fmla="*/ 4774 w 3"/>
              <a:gd name="T7" fmla="*/ 7075 h 2"/>
              <a:gd name="T8" fmla="*/ 3183 w 3"/>
              <a:gd name="T9" fmla="*/ 9434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1" y="2"/>
                  <a:pt x="0" y="2"/>
                  <a:pt x="0" y="1"/>
                </a:cubicBezTo>
                <a:cubicBezTo>
                  <a:pt x="0" y="1"/>
                  <a:pt x="1" y="0"/>
                  <a:pt x="1" y="0"/>
                </a:cubicBezTo>
                <a:cubicBezTo>
                  <a:pt x="2" y="0"/>
                  <a:pt x="3" y="0"/>
                  <a:pt x="3" y="1"/>
                </a:cubicBezTo>
                <a:cubicBezTo>
                  <a:pt x="3" y="2"/>
                  <a:pt x="2" y="2"/>
                  <a:pt x="2" y="2"/>
                </a:cubicBezTo>
                <a:close/>
              </a:path>
            </a:pathLst>
          </a:custGeom>
          <a:solidFill>
            <a:schemeClr val="bg1">
              <a:lumMod val="95000"/>
            </a:schemeClr>
          </a:solidFill>
          <a:ln w="3175" cap="rnd">
            <a:solidFill>
              <a:srgbClr val="A5A5A5"/>
            </a:solidFill>
            <a:round/>
            <a:headEnd/>
            <a:tailEnd/>
          </a:ln>
        </xdr:spPr>
      </xdr:sp>
      <xdr:sp macro="" textlink="">
        <xdr:nvSpPr>
          <xdr:cNvPr id="228" name="Freeform 834"/>
          <xdr:cNvSpPr>
            <a:spLocks noChangeAspect="1"/>
          </xdr:cNvSpPr>
        </xdr:nvSpPr>
        <xdr:spPr bwMode="auto">
          <a:xfrm>
            <a:off x="3780789" y="4819571"/>
            <a:ext cx="0" cy="0"/>
          </a:xfrm>
          <a:custGeom>
            <a:avLst/>
            <a:gdLst>
              <a:gd name="T0" fmla="*/ 3183 w 3"/>
              <a:gd name="T1" fmla="*/ 3145 h 2"/>
              <a:gd name="T2" fmla="*/ 0 w 3"/>
              <a:gd name="T3" fmla="*/ 3145 h 2"/>
              <a:gd name="T4" fmla="*/ 1591 w 3"/>
              <a:gd name="T5" fmla="*/ 0 h 2"/>
              <a:gd name="T6" fmla="*/ 4774 w 3"/>
              <a:gd name="T7" fmla="*/ 1573 h 2"/>
              <a:gd name="T8" fmla="*/ 3183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1" y="2"/>
                  <a:pt x="1" y="2"/>
                  <a:pt x="0" y="2"/>
                </a:cubicBezTo>
                <a:cubicBezTo>
                  <a:pt x="0" y="1"/>
                  <a:pt x="1" y="1"/>
                  <a:pt x="1" y="0"/>
                </a:cubicBezTo>
                <a:cubicBezTo>
                  <a:pt x="2" y="0"/>
                  <a:pt x="2" y="0"/>
                  <a:pt x="3" y="1"/>
                </a:cubicBezTo>
                <a:cubicBezTo>
                  <a:pt x="3" y="1"/>
                  <a:pt x="2" y="2"/>
                  <a:pt x="2" y="2"/>
                </a:cubicBezTo>
                <a:close/>
              </a:path>
            </a:pathLst>
          </a:custGeom>
          <a:solidFill>
            <a:schemeClr val="bg1">
              <a:lumMod val="95000"/>
            </a:schemeClr>
          </a:solidFill>
          <a:ln w="3175" cap="rnd">
            <a:solidFill>
              <a:srgbClr val="A5A5A5"/>
            </a:solidFill>
            <a:round/>
            <a:headEnd/>
            <a:tailEnd/>
          </a:ln>
        </xdr:spPr>
      </xdr:sp>
      <xdr:sp macro="" textlink="">
        <xdr:nvSpPr>
          <xdr:cNvPr id="229" name="Freeform 835"/>
          <xdr:cNvSpPr>
            <a:spLocks noChangeAspect="1"/>
          </xdr:cNvSpPr>
        </xdr:nvSpPr>
        <xdr:spPr bwMode="auto">
          <a:xfrm>
            <a:off x="4148347" y="4646862"/>
            <a:ext cx="0" cy="11514"/>
          </a:xfrm>
          <a:custGeom>
            <a:avLst/>
            <a:gdLst>
              <a:gd name="T0" fmla="*/ 3183 w 3"/>
              <a:gd name="T1" fmla="*/ 6224 h 2"/>
              <a:gd name="T2" fmla="*/ 1591 w 3"/>
              <a:gd name="T3" fmla="*/ 6224 h 2"/>
              <a:gd name="T4" fmla="*/ 1591 w 3"/>
              <a:gd name="T5" fmla="*/ 4668 h 2"/>
              <a:gd name="T6" fmla="*/ 3183 w 3"/>
              <a:gd name="T7" fmla="*/ 0 h 2"/>
              <a:gd name="T8" fmla="*/ 3183 w 3"/>
              <a:gd name="T9" fmla="*/ 6224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2" y="2"/>
                  <a:pt x="1" y="2"/>
                  <a:pt x="1" y="2"/>
                </a:cubicBezTo>
                <a:cubicBezTo>
                  <a:pt x="0" y="2"/>
                  <a:pt x="1" y="1"/>
                  <a:pt x="1" y="1"/>
                </a:cubicBezTo>
                <a:cubicBezTo>
                  <a:pt x="1" y="0"/>
                  <a:pt x="2" y="0"/>
                  <a:pt x="2" y="0"/>
                </a:cubicBezTo>
                <a:cubicBezTo>
                  <a:pt x="3"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30" name="Freeform 836"/>
          <xdr:cNvSpPr>
            <a:spLocks noChangeAspect="1"/>
          </xdr:cNvSpPr>
        </xdr:nvSpPr>
        <xdr:spPr bwMode="auto">
          <a:xfrm>
            <a:off x="4126278" y="4600807"/>
            <a:ext cx="0" cy="0"/>
          </a:xfrm>
          <a:custGeom>
            <a:avLst/>
            <a:gdLst>
              <a:gd name="T0" fmla="*/ 3182 w 2"/>
              <a:gd name="T1" fmla="*/ 3145 h 3"/>
              <a:gd name="T2" fmla="*/ 1591 w 2"/>
              <a:gd name="T3" fmla="*/ 4717 h 3"/>
              <a:gd name="T4" fmla="*/ 0 w 2"/>
              <a:gd name="T5" fmla="*/ 1572 h 3"/>
              <a:gd name="T6" fmla="*/ 1591 w 2"/>
              <a:gd name="T7" fmla="*/ 0 h 3"/>
              <a:gd name="T8" fmla="*/ 3182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2" y="3"/>
                  <a:pt x="1" y="3"/>
                </a:cubicBezTo>
                <a:cubicBezTo>
                  <a:pt x="1" y="3"/>
                  <a:pt x="0" y="2"/>
                  <a:pt x="0" y="1"/>
                </a:cubicBezTo>
                <a:cubicBezTo>
                  <a:pt x="0" y="1"/>
                  <a:pt x="1" y="0"/>
                  <a:pt x="1"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31" name="Freeform 838"/>
          <xdr:cNvSpPr>
            <a:spLocks noChangeAspect="1"/>
          </xdr:cNvSpPr>
        </xdr:nvSpPr>
        <xdr:spPr bwMode="auto">
          <a:xfrm>
            <a:off x="4170416" y="4646862"/>
            <a:ext cx="0" cy="0"/>
          </a:xfrm>
          <a:custGeom>
            <a:avLst/>
            <a:gdLst>
              <a:gd name="T0" fmla="*/ 1591 w 2"/>
              <a:gd name="T1" fmla="*/ 0 h 1"/>
              <a:gd name="T2" fmla="*/ 3182 w 2"/>
              <a:gd name="T3" fmla="*/ 0 h 1"/>
              <a:gd name="T4" fmla="*/ 1591 w 2"/>
              <a:gd name="T5" fmla="*/ 1572 h 1"/>
              <a:gd name="T6" fmla="*/ 0 w 2"/>
              <a:gd name="T7" fmla="*/ 1572 h 1"/>
              <a:gd name="T8" fmla="*/ 1591 w 2"/>
              <a:gd name="T9" fmla="*/ 0 h 1"/>
              <a:gd name="T10" fmla="*/ 0 60000 65536"/>
              <a:gd name="T11" fmla="*/ 0 60000 65536"/>
              <a:gd name="T12" fmla="*/ 0 60000 65536"/>
              <a:gd name="T13" fmla="*/ 0 60000 65536"/>
              <a:gd name="T14" fmla="*/ 0 60000 65536"/>
              <a:gd name="T15" fmla="*/ 0 w 2"/>
              <a:gd name="T16" fmla="*/ 0 h 1"/>
              <a:gd name="T17" fmla="*/ 2 w 2"/>
              <a:gd name="T18" fmla="*/ 1 h 1"/>
            </a:gdLst>
            <a:ahLst/>
            <a:cxnLst>
              <a:cxn ang="T10">
                <a:pos x="T0" y="T1"/>
              </a:cxn>
              <a:cxn ang="T11">
                <a:pos x="T2" y="T3"/>
              </a:cxn>
              <a:cxn ang="T12">
                <a:pos x="T4" y="T5"/>
              </a:cxn>
              <a:cxn ang="T13">
                <a:pos x="T6" y="T7"/>
              </a:cxn>
              <a:cxn ang="T14">
                <a:pos x="T8" y="T9"/>
              </a:cxn>
            </a:cxnLst>
            <a:rect l="T15" t="T16" r="T17" b="T18"/>
            <a:pathLst>
              <a:path w="2" h="1">
                <a:moveTo>
                  <a:pt x="1" y="0"/>
                </a:moveTo>
                <a:cubicBezTo>
                  <a:pt x="1" y="0"/>
                  <a:pt x="2" y="0"/>
                  <a:pt x="2" y="0"/>
                </a:cubicBezTo>
                <a:cubicBezTo>
                  <a:pt x="2" y="1"/>
                  <a:pt x="2" y="1"/>
                  <a:pt x="1" y="1"/>
                </a:cubicBezTo>
                <a:cubicBezTo>
                  <a:pt x="1" y="1"/>
                  <a:pt x="0" y="1"/>
                  <a:pt x="0" y="1"/>
                </a:cubicBezTo>
                <a:cubicBezTo>
                  <a:pt x="0" y="0"/>
                  <a:pt x="0" y="0"/>
                  <a:pt x="1" y="0"/>
                </a:cubicBezTo>
                <a:close/>
              </a:path>
            </a:pathLst>
          </a:custGeom>
          <a:solidFill>
            <a:schemeClr val="bg1">
              <a:lumMod val="95000"/>
            </a:schemeClr>
          </a:solidFill>
          <a:ln w="3175" cap="rnd">
            <a:solidFill>
              <a:srgbClr val="A5A5A5"/>
            </a:solidFill>
            <a:round/>
            <a:headEnd/>
            <a:tailEnd/>
          </a:ln>
        </xdr:spPr>
      </xdr:sp>
      <xdr:sp macro="" textlink="">
        <xdr:nvSpPr>
          <xdr:cNvPr id="232" name="Oval 839"/>
          <xdr:cNvSpPr>
            <a:spLocks noChangeAspect="1" noChangeArrowheads="1"/>
          </xdr:cNvSpPr>
        </xdr:nvSpPr>
        <xdr:spPr bwMode="auto">
          <a:xfrm>
            <a:off x="4369038" y="4773515"/>
            <a:ext cx="0" cy="0"/>
          </a:xfrm>
          <a:prstGeom prst="ellipse">
            <a:avLst/>
          </a:prstGeom>
          <a:solidFill>
            <a:schemeClr val="bg1">
              <a:lumMod val="95000"/>
            </a:schemeClr>
          </a:solidFill>
          <a:ln w="3175" cap="rnd">
            <a:solidFill>
              <a:srgbClr val="A5A5A5"/>
            </a:solidFill>
            <a:round/>
            <a:headEnd/>
            <a:tailEnd/>
          </a:ln>
        </xdr:spPr>
      </xdr:sp>
      <xdr:sp macro="" textlink="">
        <xdr:nvSpPr>
          <xdr:cNvPr id="233" name="Freeform 840"/>
          <xdr:cNvSpPr>
            <a:spLocks noChangeAspect="1"/>
          </xdr:cNvSpPr>
        </xdr:nvSpPr>
        <xdr:spPr bwMode="auto">
          <a:xfrm>
            <a:off x="4413175" y="4762001"/>
            <a:ext cx="11035" cy="11514"/>
          </a:xfrm>
          <a:custGeom>
            <a:avLst/>
            <a:gdLst>
              <a:gd name="T0" fmla="*/ 2122 w 3"/>
              <a:gd name="T1" fmla="*/ 10482 h 3"/>
              <a:gd name="T2" fmla="*/ 0 w 3"/>
              <a:gd name="T3" fmla="*/ 10482 h 3"/>
              <a:gd name="T4" fmla="*/ 2122 w 3"/>
              <a:gd name="T5" fmla="*/ 2096 h 3"/>
              <a:gd name="T6" fmla="*/ 8487 w 3"/>
              <a:gd name="T7" fmla="*/ 2096 h 3"/>
              <a:gd name="T8" fmla="*/ 2122 w 3"/>
              <a:gd name="T9" fmla="*/ 10482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1" y="3"/>
                </a:moveTo>
                <a:cubicBezTo>
                  <a:pt x="1" y="3"/>
                  <a:pt x="1" y="3"/>
                  <a:pt x="0" y="3"/>
                </a:cubicBezTo>
                <a:cubicBezTo>
                  <a:pt x="0" y="2"/>
                  <a:pt x="0" y="1"/>
                  <a:pt x="1" y="1"/>
                </a:cubicBezTo>
                <a:cubicBezTo>
                  <a:pt x="1" y="1"/>
                  <a:pt x="2" y="0"/>
                  <a:pt x="2" y="1"/>
                </a:cubicBezTo>
                <a:cubicBezTo>
                  <a:pt x="3" y="2"/>
                  <a:pt x="2" y="2"/>
                  <a:pt x="1" y="3"/>
                </a:cubicBezTo>
                <a:close/>
              </a:path>
            </a:pathLst>
          </a:custGeom>
          <a:solidFill>
            <a:schemeClr val="bg1">
              <a:lumMod val="95000"/>
            </a:schemeClr>
          </a:solidFill>
          <a:ln w="3175" cap="rnd">
            <a:solidFill>
              <a:srgbClr val="A5A5A5"/>
            </a:solidFill>
            <a:round/>
            <a:headEnd/>
            <a:tailEnd/>
          </a:ln>
        </xdr:spPr>
      </xdr:sp>
      <xdr:sp macro="" textlink="">
        <xdr:nvSpPr>
          <xdr:cNvPr id="234" name="Freeform 841"/>
          <xdr:cNvSpPr>
            <a:spLocks noChangeAspect="1"/>
          </xdr:cNvSpPr>
        </xdr:nvSpPr>
        <xdr:spPr bwMode="auto">
          <a:xfrm>
            <a:off x="4457313" y="4796543"/>
            <a:ext cx="0" cy="11514"/>
          </a:xfrm>
          <a:custGeom>
            <a:avLst/>
            <a:gdLst>
              <a:gd name="T0" fmla="*/ 7161 w 2"/>
              <a:gd name="T1" fmla="*/ 1573 h 2"/>
              <a:gd name="T2" fmla="*/ 0 w 2"/>
              <a:gd name="T3" fmla="*/ 1573 h 2"/>
              <a:gd name="T4" fmla="*/ 7161 w 2"/>
              <a:gd name="T5" fmla="*/ 0 h 2"/>
              <a:gd name="T6" fmla="*/ 9548 w 2"/>
              <a:gd name="T7" fmla="*/ 1573 h 2"/>
              <a:gd name="T8" fmla="*/ 7161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1" y="1"/>
                </a:moveTo>
                <a:cubicBezTo>
                  <a:pt x="1" y="2"/>
                  <a:pt x="0" y="1"/>
                  <a:pt x="0" y="1"/>
                </a:cubicBezTo>
                <a:cubicBezTo>
                  <a:pt x="0" y="0"/>
                  <a:pt x="0" y="0"/>
                  <a:pt x="1" y="0"/>
                </a:cubicBezTo>
                <a:cubicBezTo>
                  <a:pt x="1" y="0"/>
                  <a:pt x="2" y="0"/>
                  <a:pt x="2" y="1"/>
                </a:cubicBezTo>
                <a:cubicBezTo>
                  <a:pt x="2" y="1"/>
                  <a:pt x="1" y="1"/>
                  <a:pt x="1" y="1"/>
                </a:cubicBezTo>
                <a:close/>
              </a:path>
            </a:pathLst>
          </a:custGeom>
          <a:solidFill>
            <a:schemeClr val="bg1">
              <a:lumMod val="95000"/>
            </a:schemeClr>
          </a:solidFill>
          <a:ln w="3175" cap="rnd">
            <a:solidFill>
              <a:srgbClr val="A5A5A5"/>
            </a:solidFill>
            <a:round/>
            <a:headEnd/>
            <a:tailEnd/>
          </a:ln>
        </xdr:spPr>
      </xdr:sp>
      <xdr:sp macro="" textlink="">
        <xdr:nvSpPr>
          <xdr:cNvPr id="235" name="Freeform 842"/>
          <xdr:cNvSpPr>
            <a:spLocks noChangeAspect="1"/>
          </xdr:cNvSpPr>
        </xdr:nvSpPr>
        <xdr:spPr bwMode="auto">
          <a:xfrm>
            <a:off x="4457313" y="4785029"/>
            <a:ext cx="0" cy="0"/>
          </a:xfrm>
          <a:custGeom>
            <a:avLst/>
            <a:gdLst>
              <a:gd name="T0" fmla="*/ 9548 w 2"/>
              <a:gd name="T1" fmla="*/ 1573 h 2"/>
              <a:gd name="T2" fmla="*/ 9548 w 2"/>
              <a:gd name="T3" fmla="*/ 3145 h 2"/>
              <a:gd name="T4" fmla="*/ 7161 w 2"/>
              <a:gd name="T5" fmla="*/ 1573 h 2"/>
              <a:gd name="T6" fmla="*/ 7161 w 2"/>
              <a:gd name="T7" fmla="*/ 0 h 2"/>
              <a:gd name="T8" fmla="*/ 9548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2" y="1"/>
                </a:moveTo>
                <a:cubicBezTo>
                  <a:pt x="2" y="1"/>
                  <a:pt x="2" y="2"/>
                  <a:pt x="2" y="2"/>
                </a:cubicBezTo>
                <a:cubicBezTo>
                  <a:pt x="1" y="2"/>
                  <a:pt x="1" y="2"/>
                  <a:pt x="1" y="1"/>
                </a:cubicBezTo>
                <a:cubicBezTo>
                  <a:pt x="0" y="1"/>
                  <a:pt x="0" y="0"/>
                  <a:pt x="1" y="0"/>
                </a:cubicBezTo>
                <a:cubicBezTo>
                  <a:pt x="2" y="0"/>
                  <a:pt x="2" y="1"/>
                  <a:pt x="2" y="1"/>
                </a:cubicBezTo>
                <a:close/>
              </a:path>
            </a:pathLst>
          </a:custGeom>
          <a:solidFill>
            <a:schemeClr val="bg1">
              <a:lumMod val="95000"/>
            </a:schemeClr>
          </a:solidFill>
          <a:ln w="3175" cap="rnd">
            <a:solidFill>
              <a:srgbClr val="A5A5A5"/>
            </a:solidFill>
            <a:round/>
            <a:headEnd/>
            <a:tailEnd/>
          </a:ln>
        </xdr:spPr>
      </xdr:sp>
      <xdr:sp macro="" textlink="">
        <xdr:nvSpPr>
          <xdr:cNvPr id="245" name="Freeform 843"/>
          <xdr:cNvSpPr>
            <a:spLocks noChangeAspect="1"/>
          </xdr:cNvSpPr>
        </xdr:nvSpPr>
        <xdr:spPr bwMode="auto">
          <a:xfrm>
            <a:off x="4369038" y="4980765"/>
            <a:ext cx="11035" cy="11514"/>
          </a:xfrm>
          <a:custGeom>
            <a:avLst/>
            <a:gdLst>
              <a:gd name="T0" fmla="*/ 9548 w 2"/>
              <a:gd name="T1" fmla="*/ 1573 h 2"/>
              <a:gd name="T2" fmla="*/ 7161 w 2"/>
              <a:gd name="T3" fmla="*/ 3145 h 2"/>
              <a:gd name="T4" fmla="*/ 0 w 2"/>
              <a:gd name="T5" fmla="*/ 1573 h 2"/>
              <a:gd name="T6" fmla="*/ 7161 w 2"/>
              <a:gd name="T7" fmla="*/ 0 h 2"/>
              <a:gd name="T8" fmla="*/ 9548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2" y="1"/>
                </a:moveTo>
                <a:cubicBezTo>
                  <a:pt x="2" y="2"/>
                  <a:pt x="1" y="2"/>
                  <a:pt x="1" y="2"/>
                </a:cubicBezTo>
                <a:cubicBezTo>
                  <a:pt x="0" y="2"/>
                  <a:pt x="0" y="2"/>
                  <a:pt x="0" y="1"/>
                </a:cubicBezTo>
                <a:cubicBezTo>
                  <a:pt x="0" y="1"/>
                  <a:pt x="0" y="0"/>
                  <a:pt x="1" y="0"/>
                </a:cubicBezTo>
                <a:cubicBezTo>
                  <a:pt x="2" y="0"/>
                  <a:pt x="2" y="1"/>
                  <a:pt x="2" y="1"/>
                </a:cubicBezTo>
                <a:close/>
              </a:path>
            </a:pathLst>
          </a:custGeom>
          <a:solidFill>
            <a:schemeClr val="bg1">
              <a:lumMod val="95000"/>
            </a:schemeClr>
          </a:solidFill>
          <a:ln w="3175" cap="rnd">
            <a:solidFill>
              <a:srgbClr val="A5A5A5"/>
            </a:solidFill>
            <a:round/>
            <a:headEnd/>
            <a:tailEnd/>
          </a:ln>
        </xdr:spPr>
      </xdr:sp>
      <xdr:sp macro="" textlink="">
        <xdr:nvSpPr>
          <xdr:cNvPr id="258" name="Freeform 844"/>
          <xdr:cNvSpPr>
            <a:spLocks noChangeAspect="1"/>
          </xdr:cNvSpPr>
        </xdr:nvSpPr>
        <xdr:spPr bwMode="auto">
          <a:xfrm>
            <a:off x="4457313" y="4957737"/>
            <a:ext cx="0" cy="11514"/>
          </a:xfrm>
          <a:custGeom>
            <a:avLst/>
            <a:gdLst>
              <a:gd name="T0" fmla="*/ 1591 w 1"/>
              <a:gd name="T1" fmla="*/ 8385 h 3"/>
              <a:gd name="T2" fmla="*/ 1591 w 1"/>
              <a:gd name="T3" fmla="*/ 10482 h 3"/>
              <a:gd name="T4" fmla="*/ 0 w 1"/>
              <a:gd name="T5" fmla="*/ 2096 h 3"/>
              <a:gd name="T6" fmla="*/ 1591 w 1"/>
              <a:gd name="T7" fmla="*/ 0 h 3"/>
              <a:gd name="T8" fmla="*/ 1591 w 1"/>
              <a:gd name="T9" fmla="*/ 8385 h 3"/>
              <a:gd name="T10" fmla="*/ 0 60000 65536"/>
              <a:gd name="T11" fmla="*/ 0 60000 65536"/>
              <a:gd name="T12" fmla="*/ 0 60000 65536"/>
              <a:gd name="T13" fmla="*/ 0 60000 65536"/>
              <a:gd name="T14" fmla="*/ 0 60000 65536"/>
              <a:gd name="T15" fmla="*/ 0 w 1"/>
              <a:gd name="T16" fmla="*/ 0 h 3"/>
              <a:gd name="T17" fmla="*/ 1 w 1"/>
              <a:gd name="T18" fmla="*/ 3 h 3"/>
            </a:gdLst>
            <a:ahLst/>
            <a:cxnLst>
              <a:cxn ang="T10">
                <a:pos x="T0" y="T1"/>
              </a:cxn>
              <a:cxn ang="T11">
                <a:pos x="T2" y="T3"/>
              </a:cxn>
              <a:cxn ang="T12">
                <a:pos x="T4" y="T5"/>
              </a:cxn>
              <a:cxn ang="T13">
                <a:pos x="T6" y="T7"/>
              </a:cxn>
              <a:cxn ang="T14">
                <a:pos x="T8" y="T9"/>
              </a:cxn>
            </a:cxnLst>
            <a:rect l="T15" t="T16" r="T17" b="T18"/>
            <a:pathLst>
              <a:path w="1" h="3">
                <a:moveTo>
                  <a:pt x="1" y="2"/>
                </a:moveTo>
                <a:cubicBezTo>
                  <a:pt x="1" y="2"/>
                  <a:pt x="1" y="3"/>
                  <a:pt x="1" y="3"/>
                </a:cubicBezTo>
                <a:cubicBezTo>
                  <a:pt x="0" y="3"/>
                  <a:pt x="0" y="2"/>
                  <a:pt x="0" y="1"/>
                </a:cubicBezTo>
                <a:cubicBezTo>
                  <a:pt x="0" y="1"/>
                  <a:pt x="0" y="0"/>
                  <a:pt x="1" y="0"/>
                </a:cubicBezTo>
                <a:cubicBezTo>
                  <a:pt x="1" y="0"/>
                  <a:pt x="1" y="1"/>
                  <a:pt x="1" y="2"/>
                </a:cubicBezTo>
                <a:close/>
              </a:path>
            </a:pathLst>
          </a:custGeom>
          <a:solidFill>
            <a:schemeClr val="bg1">
              <a:lumMod val="95000"/>
            </a:schemeClr>
          </a:solidFill>
          <a:ln w="3175" cap="rnd">
            <a:solidFill>
              <a:srgbClr val="A5A5A5"/>
            </a:solidFill>
            <a:round/>
            <a:headEnd/>
            <a:tailEnd/>
          </a:ln>
        </xdr:spPr>
      </xdr:sp>
      <xdr:sp macro="" textlink="">
        <xdr:nvSpPr>
          <xdr:cNvPr id="259" name="Freeform 845"/>
          <xdr:cNvSpPr>
            <a:spLocks noChangeAspect="1"/>
          </xdr:cNvSpPr>
        </xdr:nvSpPr>
        <xdr:spPr bwMode="auto">
          <a:xfrm>
            <a:off x="4468347" y="4934709"/>
            <a:ext cx="0" cy="11514"/>
          </a:xfrm>
          <a:custGeom>
            <a:avLst/>
            <a:gdLst>
              <a:gd name="T0" fmla="*/ 1591 w 1"/>
              <a:gd name="T1" fmla="*/ 3145 h 3"/>
              <a:gd name="T2" fmla="*/ 0 w 1"/>
              <a:gd name="T3" fmla="*/ 4717 h 3"/>
              <a:gd name="T4" fmla="*/ 0 w 1"/>
              <a:gd name="T5" fmla="*/ 3145 h 3"/>
              <a:gd name="T6" fmla="*/ 1591 w 1"/>
              <a:gd name="T7" fmla="*/ 1572 h 3"/>
              <a:gd name="T8" fmla="*/ 1591 w 1"/>
              <a:gd name="T9" fmla="*/ 3145 h 3"/>
              <a:gd name="T10" fmla="*/ 0 60000 65536"/>
              <a:gd name="T11" fmla="*/ 0 60000 65536"/>
              <a:gd name="T12" fmla="*/ 0 60000 65536"/>
              <a:gd name="T13" fmla="*/ 0 60000 65536"/>
              <a:gd name="T14" fmla="*/ 0 60000 65536"/>
              <a:gd name="T15" fmla="*/ 0 w 1"/>
              <a:gd name="T16" fmla="*/ 0 h 3"/>
              <a:gd name="T17" fmla="*/ 1 w 1"/>
              <a:gd name="T18" fmla="*/ 3 h 3"/>
            </a:gdLst>
            <a:ahLst/>
            <a:cxnLst>
              <a:cxn ang="T10">
                <a:pos x="T0" y="T1"/>
              </a:cxn>
              <a:cxn ang="T11">
                <a:pos x="T2" y="T3"/>
              </a:cxn>
              <a:cxn ang="T12">
                <a:pos x="T4" y="T5"/>
              </a:cxn>
              <a:cxn ang="T13">
                <a:pos x="T6" y="T7"/>
              </a:cxn>
              <a:cxn ang="T14">
                <a:pos x="T8" y="T9"/>
              </a:cxn>
            </a:cxnLst>
            <a:rect l="T15" t="T16" r="T17" b="T18"/>
            <a:pathLst>
              <a:path w="1" h="3">
                <a:moveTo>
                  <a:pt x="1" y="2"/>
                </a:moveTo>
                <a:cubicBezTo>
                  <a:pt x="1" y="3"/>
                  <a:pt x="1" y="3"/>
                  <a:pt x="0" y="3"/>
                </a:cubicBezTo>
                <a:cubicBezTo>
                  <a:pt x="0" y="3"/>
                  <a:pt x="0" y="2"/>
                  <a:pt x="0" y="2"/>
                </a:cubicBezTo>
                <a:cubicBezTo>
                  <a:pt x="0" y="1"/>
                  <a:pt x="0" y="0"/>
                  <a:pt x="1" y="1"/>
                </a:cubicBezTo>
                <a:cubicBezTo>
                  <a:pt x="1" y="1"/>
                  <a:pt x="1" y="2"/>
                  <a:pt x="1" y="2"/>
                </a:cubicBezTo>
                <a:close/>
              </a:path>
            </a:pathLst>
          </a:custGeom>
          <a:solidFill>
            <a:schemeClr val="bg1">
              <a:lumMod val="95000"/>
            </a:schemeClr>
          </a:solidFill>
          <a:ln w="3175" cap="rnd">
            <a:solidFill>
              <a:srgbClr val="A5A5A5"/>
            </a:solidFill>
            <a:round/>
            <a:headEnd/>
            <a:tailEnd/>
          </a:ln>
        </xdr:spPr>
      </xdr:sp>
      <xdr:sp macro="" textlink="">
        <xdr:nvSpPr>
          <xdr:cNvPr id="260" name="Freeform 846"/>
          <xdr:cNvSpPr>
            <a:spLocks noChangeAspect="1"/>
          </xdr:cNvSpPr>
        </xdr:nvSpPr>
        <xdr:spPr bwMode="auto">
          <a:xfrm>
            <a:off x="4457313" y="4969251"/>
            <a:ext cx="0" cy="11514"/>
          </a:xfrm>
          <a:custGeom>
            <a:avLst/>
            <a:gdLst>
              <a:gd name="T0" fmla="*/ 7161 w 2"/>
              <a:gd name="T1" fmla="*/ 8385 h 3"/>
              <a:gd name="T2" fmla="*/ 7161 w 2"/>
              <a:gd name="T3" fmla="*/ 10482 h 3"/>
              <a:gd name="T4" fmla="*/ 0 w 2"/>
              <a:gd name="T5" fmla="*/ 2096 h 3"/>
              <a:gd name="T6" fmla="*/ 7161 w 2"/>
              <a:gd name="T7" fmla="*/ 0 h 3"/>
              <a:gd name="T8" fmla="*/ 7161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2"/>
                </a:moveTo>
                <a:cubicBezTo>
                  <a:pt x="1" y="2"/>
                  <a:pt x="1" y="3"/>
                  <a:pt x="1" y="3"/>
                </a:cubicBezTo>
                <a:cubicBezTo>
                  <a:pt x="0" y="2"/>
                  <a:pt x="0" y="2"/>
                  <a:pt x="0" y="1"/>
                </a:cubicBezTo>
                <a:cubicBezTo>
                  <a:pt x="0" y="1"/>
                  <a:pt x="0" y="0"/>
                  <a:pt x="1" y="0"/>
                </a:cubicBezTo>
                <a:cubicBezTo>
                  <a:pt x="2" y="0"/>
                  <a:pt x="1" y="1"/>
                  <a:pt x="1" y="2"/>
                </a:cubicBezTo>
                <a:close/>
              </a:path>
            </a:pathLst>
          </a:custGeom>
          <a:solidFill>
            <a:schemeClr val="bg1">
              <a:lumMod val="95000"/>
            </a:schemeClr>
          </a:solidFill>
          <a:ln w="3175" cap="rnd">
            <a:solidFill>
              <a:srgbClr val="A5A5A5"/>
            </a:solidFill>
            <a:round/>
            <a:headEnd/>
            <a:tailEnd/>
          </a:ln>
        </xdr:spPr>
      </xdr:sp>
      <xdr:sp macro="" textlink="">
        <xdr:nvSpPr>
          <xdr:cNvPr id="261" name="Freeform 848"/>
          <xdr:cNvSpPr>
            <a:spLocks noChangeAspect="1"/>
          </xdr:cNvSpPr>
        </xdr:nvSpPr>
        <xdr:spPr bwMode="auto">
          <a:xfrm>
            <a:off x="4766279" y="5372237"/>
            <a:ext cx="11035" cy="0"/>
          </a:xfrm>
          <a:custGeom>
            <a:avLst/>
            <a:gdLst>
              <a:gd name="T0" fmla="*/ 8487 w 3"/>
              <a:gd name="T1" fmla="*/ 8385 h 3"/>
              <a:gd name="T2" fmla="*/ 2122 w 3"/>
              <a:gd name="T3" fmla="*/ 8385 h 3"/>
              <a:gd name="T4" fmla="*/ 2122 w 3"/>
              <a:gd name="T5" fmla="*/ 2096 h 3"/>
              <a:gd name="T6" fmla="*/ 8487 w 3"/>
              <a:gd name="T7" fmla="*/ 0 h 3"/>
              <a:gd name="T8" fmla="*/ 8487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2" y="2"/>
                  <a:pt x="1" y="3"/>
                  <a:pt x="1" y="2"/>
                </a:cubicBezTo>
                <a:cubicBezTo>
                  <a:pt x="0" y="2"/>
                  <a:pt x="0" y="1"/>
                  <a:pt x="1" y="1"/>
                </a:cubicBezTo>
                <a:cubicBezTo>
                  <a:pt x="1" y="0"/>
                  <a:pt x="1" y="0"/>
                  <a:pt x="2" y="0"/>
                </a:cubicBezTo>
                <a:cubicBezTo>
                  <a:pt x="3"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62" name="Freeform 849"/>
          <xdr:cNvSpPr>
            <a:spLocks noChangeAspect="1"/>
          </xdr:cNvSpPr>
        </xdr:nvSpPr>
        <xdr:spPr bwMode="auto">
          <a:xfrm>
            <a:off x="3604238" y="5406779"/>
            <a:ext cx="0" cy="0"/>
          </a:xfrm>
          <a:custGeom>
            <a:avLst/>
            <a:gdLst>
              <a:gd name="T0" fmla="*/ 1591 w 2"/>
              <a:gd name="T1" fmla="*/ 3145 h 3"/>
              <a:gd name="T2" fmla="*/ 0 w 2"/>
              <a:gd name="T3" fmla="*/ 3145 h 3"/>
              <a:gd name="T4" fmla="*/ 0 w 2"/>
              <a:gd name="T5" fmla="*/ 1572 h 3"/>
              <a:gd name="T6" fmla="*/ 1591 w 2"/>
              <a:gd name="T7" fmla="*/ 0 h 3"/>
              <a:gd name="T8" fmla="*/ 1591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2"/>
                </a:moveTo>
                <a:cubicBezTo>
                  <a:pt x="1" y="2"/>
                  <a:pt x="1" y="3"/>
                  <a:pt x="0" y="2"/>
                </a:cubicBezTo>
                <a:cubicBezTo>
                  <a:pt x="0" y="2"/>
                  <a:pt x="0" y="1"/>
                  <a:pt x="0" y="1"/>
                </a:cubicBezTo>
                <a:cubicBezTo>
                  <a:pt x="0" y="0"/>
                  <a:pt x="1" y="0"/>
                  <a:pt x="1" y="0"/>
                </a:cubicBezTo>
                <a:cubicBezTo>
                  <a:pt x="2" y="1"/>
                  <a:pt x="2" y="1"/>
                  <a:pt x="1" y="2"/>
                </a:cubicBezTo>
                <a:close/>
              </a:path>
            </a:pathLst>
          </a:custGeom>
          <a:solidFill>
            <a:schemeClr val="bg1">
              <a:lumMod val="95000"/>
            </a:schemeClr>
          </a:solidFill>
          <a:ln w="3175" cap="rnd">
            <a:solidFill>
              <a:srgbClr val="A5A5A5"/>
            </a:solidFill>
            <a:round/>
            <a:headEnd/>
            <a:tailEnd/>
          </a:ln>
        </xdr:spPr>
      </xdr:sp>
      <xdr:sp macro="" textlink="">
        <xdr:nvSpPr>
          <xdr:cNvPr id="263" name="Freeform 850"/>
          <xdr:cNvSpPr>
            <a:spLocks noChangeAspect="1"/>
          </xdr:cNvSpPr>
        </xdr:nvSpPr>
        <xdr:spPr bwMode="auto">
          <a:xfrm>
            <a:off x="3626307" y="5395265"/>
            <a:ext cx="0" cy="11514"/>
          </a:xfrm>
          <a:custGeom>
            <a:avLst/>
            <a:gdLst>
              <a:gd name="T0" fmla="*/ 9548 w 2"/>
              <a:gd name="T1" fmla="*/ 2096 h 3"/>
              <a:gd name="T2" fmla="*/ 9548 w 2"/>
              <a:gd name="T3" fmla="*/ 10482 h 3"/>
              <a:gd name="T4" fmla="*/ 7161 w 2"/>
              <a:gd name="T5" fmla="*/ 8385 h 3"/>
              <a:gd name="T6" fmla="*/ 0 w 2"/>
              <a:gd name="T7" fmla="*/ 2096 h 3"/>
              <a:gd name="T8" fmla="*/ 9548 w 2"/>
              <a:gd name="T9" fmla="*/ 2096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1"/>
                </a:moveTo>
                <a:cubicBezTo>
                  <a:pt x="2" y="2"/>
                  <a:pt x="2" y="2"/>
                  <a:pt x="2" y="3"/>
                </a:cubicBezTo>
                <a:cubicBezTo>
                  <a:pt x="1" y="3"/>
                  <a:pt x="1" y="3"/>
                  <a:pt x="1" y="2"/>
                </a:cubicBezTo>
                <a:cubicBezTo>
                  <a:pt x="0" y="2"/>
                  <a:pt x="0" y="1"/>
                  <a:pt x="0" y="1"/>
                </a:cubicBezTo>
                <a:cubicBezTo>
                  <a:pt x="1" y="0"/>
                  <a:pt x="1" y="1"/>
                  <a:pt x="2" y="1"/>
                </a:cubicBezTo>
                <a:close/>
              </a:path>
            </a:pathLst>
          </a:custGeom>
          <a:solidFill>
            <a:schemeClr val="bg1">
              <a:lumMod val="95000"/>
            </a:schemeClr>
          </a:solidFill>
          <a:ln w="3175" cap="rnd">
            <a:solidFill>
              <a:srgbClr val="A5A5A5"/>
            </a:solidFill>
            <a:round/>
            <a:headEnd/>
            <a:tailEnd/>
          </a:ln>
        </xdr:spPr>
      </xdr:sp>
      <xdr:sp macro="" textlink="">
        <xdr:nvSpPr>
          <xdr:cNvPr id="264" name="Freeform 851"/>
          <xdr:cNvSpPr>
            <a:spLocks noChangeAspect="1"/>
          </xdr:cNvSpPr>
        </xdr:nvSpPr>
        <xdr:spPr bwMode="auto">
          <a:xfrm>
            <a:off x="3922754" y="5487376"/>
            <a:ext cx="0" cy="0"/>
          </a:xfrm>
          <a:custGeom>
            <a:avLst/>
            <a:gdLst>
              <a:gd name="T0" fmla="*/ 1591 w 2"/>
              <a:gd name="T1" fmla="*/ 3145 h 2"/>
              <a:gd name="T2" fmla="*/ 0 w 2"/>
              <a:gd name="T3" fmla="*/ 3145 h 2"/>
              <a:gd name="T4" fmla="*/ 1591 w 2"/>
              <a:gd name="T5" fmla="*/ 0 h 2"/>
              <a:gd name="T6" fmla="*/ 3182 w 2"/>
              <a:gd name="T7" fmla="*/ 1573 h 2"/>
              <a:gd name="T8" fmla="*/ 1591 w 2"/>
              <a:gd name="T9" fmla="*/ 3145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1" y="2"/>
                </a:moveTo>
                <a:cubicBezTo>
                  <a:pt x="1" y="2"/>
                  <a:pt x="0" y="2"/>
                  <a:pt x="0" y="2"/>
                </a:cubicBezTo>
                <a:cubicBezTo>
                  <a:pt x="0" y="1"/>
                  <a:pt x="0" y="0"/>
                  <a:pt x="1" y="0"/>
                </a:cubicBezTo>
                <a:cubicBezTo>
                  <a:pt x="1" y="0"/>
                  <a:pt x="2" y="0"/>
                  <a:pt x="2" y="1"/>
                </a:cubicBezTo>
                <a:cubicBezTo>
                  <a:pt x="2" y="2"/>
                  <a:pt x="2" y="2"/>
                  <a:pt x="1" y="2"/>
                </a:cubicBezTo>
                <a:close/>
              </a:path>
            </a:pathLst>
          </a:custGeom>
          <a:solidFill>
            <a:schemeClr val="bg1">
              <a:lumMod val="95000"/>
            </a:schemeClr>
          </a:solidFill>
          <a:ln w="3175" cap="rnd">
            <a:solidFill>
              <a:srgbClr val="A5A5A5"/>
            </a:solidFill>
            <a:round/>
            <a:headEnd/>
            <a:tailEnd/>
          </a:ln>
        </xdr:spPr>
      </xdr:sp>
      <xdr:sp macro="" textlink="">
        <xdr:nvSpPr>
          <xdr:cNvPr id="265" name="Freeform 852"/>
          <xdr:cNvSpPr>
            <a:spLocks noChangeAspect="1"/>
          </xdr:cNvSpPr>
        </xdr:nvSpPr>
        <xdr:spPr bwMode="auto">
          <a:xfrm>
            <a:off x="3922754" y="5475862"/>
            <a:ext cx="11035" cy="11514"/>
          </a:xfrm>
          <a:custGeom>
            <a:avLst/>
            <a:gdLst>
              <a:gd name="T0" fmla="*/ 2122 w 3"/>
              <a:gd name="T1" fmla="*/ 3145 h 2"/>
              <a:gd name="T2" fmla="*/ 0 w 3"/>
              <a:gd name="T3" fmla="*/ 1573 h 2"/>
              <a:gd name="T4" fmla="*/ 2122 w 3"/>
              <a:gd name="T5" fmla="*/ 0 h 2"/>
              <a:gd name="T6" fmla="*/ 8487 w 3"/>
              <a:gd name="T7" fmla="*/ 1573 h 2"/>
              <a:gd name="T8" fmla="*/ 2122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2"/>
                </a:moveTo>
                <a:cubicBezTo>
                  <a:pt x="0" y="2"/>
                  <a:pt x="0" y="2"/>
                  <a:pt x="0" y="1"/>
                </a:cubicBezTo>
                <a:cubicBezTo>
                  <a:pt x="0" y="0"/>
                  <a:pt x="1" y="0"/>
                  <a:pt x="1" y="0"/>
                </a:cubicBezTo>
                <a:cubicBezTo>
                  <a:pt x="2" y="0"/>
                  <a:pt x="3" y="0"/>
                  <a:pt x="2" y="1"/>
                </a:cubicBezTo>
                <a:cubicBezTo>
                  <a:pt x="2" y="2"/>
                  <a:pt x="1" y="2"/>
                  <a:pt x="1" y="2"/>
                </a:cubicBezTo>
                <a:close/>
              </a:path>
            </a:pathLst>
          </a:custGeom>
          <a:solidFill>
            <a:schemeClr val="bg1">
              <a:lumMod val="95000"/>
            </a:schemeClr>
          </a:solidFill>
          <a:ln w="3175" cap="rnd">
            <a:solidFill>
              <a:srgbClr val="A5A5A5"/>
            </a:solidFill>
            <a:round/>
            <a:headEnd/>
            <a:tailEnd/>
          </a:ln>
        </xdr:spPr>
      </xdr:sp>
      <xdr:sp macro="" textlink="">
        <xdr:nvSpPr>
          <xdr:cNvPr id="266" name="Freeform 853"/>
          <xdr:cNvSpPr>
            <a:spLocks noChangeAspect="1"/>
          </xdr:cNvSpPr>
        </xdr:nvSpPr>
        <xdr:spPr bwMode="auto">
          <a:xfrm>
            <a:off x="4214555" y="7053264"/>
            <a:ext cx="0" cy="0"/>
          </a:xfrm>
          <a:custGeom>
            <a:avLst/>
            <a:gdLst>
              <a:gd name="T0" fmla="*/ 3182 w 2"/>
              <a:gd name="T1" fmla="*/ 1573 h 2"/>
              <a:gd name="T2" fmla="*/ 1591 w 2"/>
              <a:gd name="T3" fmla="*/ 3145 h 2"/>
              <a:gd name="T4" fmla="*/ 0 w 2"/>
              <a:gd name="T5" fmla="*/ 1573 h 2"/>
              <a:gd name="T6" fmla="*/ 1591 w 2"/>
              <a:gd name="T7" fmla="*/ 0 h 2"/>
              <a:gd name="T8" fmla="*/ 3182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2" y="1"/>
                </a:moveTo>
                <a:cubicBezTo>
                  <a:pt x="2" y="2"/>
                  <a:pt x="1" y="2"/>
                  <a:pt x="1" y="2"/>
                </a:cubicBezTo>
                <a:cubicBezTo>
                  <a:pt x="0" y="2"/>
                  <a:pt x="0" y="2"/>
                  <a:pt x="0" y="1"/>
                </a:cubicBezTo>
                <a:cubicBezTo>
                  <a:pt x="0" y="1"/>
                  <a:pt x="0" y="0"/>
                  <a:pt x="1" y="0"/>
                </a:cubicBezTo>
                <a:cubicBezTo>
                  <a:pt x="2" y="0"/>
                  <a:pt x="2" y="1"/>
                  <a:pt x="2" y="1"/>
                </a:cubicBezTo>
                <a:close/>
              </a:path>
            </a:pathLst>
          </a:custGeom>
          <a:solidFill>
            <a:schemeClr val="bg1">
              <a:lumMod val="95000"/>
            </a:schemeClr>
          </a:solidFill>
          <a:ln w="3175" cap="rnd">
            <a:solidFill>
              <a:srgbClr val="A5A5A5"/>
            </a:solidFill>
            <a:round/>
            <a:headEnd/>
            <a:tailEnd/>
          </a:ln>
        </xdr:spPr>
      </xdr:sp>
      <xdr:sp macro="" textlink="">
        <xdr:nvSpPr>
          <xdr:cNvPr id="267" name="Freeform 854"/>
          <xdr:cNvSpPr>
            <a:spLocks noChangeAspect="1"/>
          </xdr:cNvSpPr>
        </xdr:nvSpPr>
        <xdr:spPr bwMode="auto">
          <a:xfrm>
            <a:off x="4214555" y="6903584"/>
            <a:ext cx="11035" cy="11514"/>
          </a:xfrm>
          <a:custGeom>
            <a:avLst/>
            <a:gdLst>
              <a:gd name="T0" fmla="*/ 9548 w 2"/>
              <a:gd name="T1" fmla="*/ 3145 h 3"/>
              <a:gd name="T2" fmla="*/ 7161 w 2"/>
              <a:gd name="T3" fmla="*/ 4717 h 3"/>
              <a:gd name="T4" fmla="*/ 0 w 2"/>
              <a:gd name="T5" fmla="*/ 3145 h 3"/>
              <a:gd name="T6" fmla="*/ 7161 w 2"/>
              <a:gd name="T7" fmla="*/ 0 h 3"/>
              <a:gd name="T8" fmla="*/ 9548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1" y="3"/>
                  <a:pt x="1" y="3"/>
                </a:cubicBezTo>
                <a:cubicBezTo>
                  <a:pt x="0" y="3"/>
                  <a:pt x="0" y="2"/>
                  <a:pt x="0" y="2"/>
                </a:cubicBezTo>
                <a:cubicBezTo>
                  <a:pt x="0" y="1"/>
                  <a:pt x="0" y="0"/>
                  <a:pt x="1"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68" name="Freeform 855"/>
          <xdr:cNvSpPr>
            <a:spLocks noChangeAspect="1"/>
          </xdr:cNvSpPr>
        </xdr:nvSpPr>
        <xdr:spPr bwMode="auto">
          <a:xfrm>
            <a:off x="4192485" y="6995695"/>
            <a:ext cx="0" cy="0"/>
          </a:xfrm>
          <a:custGeom>
            <a:avLst/>
            <a:gdLst>
              <a:gd name="T0" fmla="*/ 1591 w 2"/>
              <a:gd name="T1" fmla="*/ 3145 h 2"/>
              <a:gd name="T2" fmla="*/ 0 w 2"/>
              <a:gd name="T3" fmla="*/ 3145 h 2"/>
              <a:gd name="T4" fmla="*/ 0 w 2"/>
              <a:gd name="T5" fmla="*/ 1573 h 2"/>
              <a:gd name="T6" fmla="*/ 3182 w 2"/>
              <a:gd name="T7" fmla="*/ 0 h 2"/>
              <a:gd name="T8" fmla="*/ 1591 w 2"/>
              <a:gd name="T9" fmla="*/ 3145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1" y="2"/>
                </a:moveTo>
                <a:cubicBezTo>
                  <a:pt x="1" y="2"/>
                  <a:pt x="0" y="2"/>
                  <a:pt x="0" y="2"/>
                </a:cubicBezTo>
                <a:cubicBezTo>
                  <a:pt x="0" y="1"/>
                  <a:pt x="0" y="1"/>
                  <a:pt x="0" y="1"/>
                </a:cubicBezTo>
                <a:cubicBezTo>
                  <a:pt x="1" y="0"/>
                  <a:pt x="2" y="0"/>
                  <a:pt x="2" y="0"/>
                </a:cubicBezTo>
                <a:cubicBezTo>
                  <a:pt x="2" y="1"/>
                  <a:pt x="2" y="1"/>
                  <a:pt x="1" y="2"/>
                </a:cubicBezTo>
                <a:close/>
              </a:path>
            </a:pathLst>
          </a:custGeom>
          <a:solidFill>
            <a:schemeClr val="bg1">
              <a:lumMod val="95000"/>
            </a:schemeClr>
          </a:solidFill>
          <a:ln w="3175" cap="rnd">
            <a:solidFill>
              <a:srgbClr val="A5A5A5"/>
            </a:solidFill>
            <a:round/>
            <a:headEnd/>
            <a:tailEnd/>
          </a:ln>
        </xdr:spPr>
      </xdr:sp>
      <xdr:sp macro="" textlink="">
        <xdr:nvSpPr>
          <xdr:cNvPr id="269" name="Freeform 856"/>
          <xdr:cNvSpPr>
            <a:spLocks noChangeAspect="1"/>
          </xdr:cNvSpPr>
        </xdr:nvSpPr>
        <xdr:spPr bwMode="auto">
          <a:xfrm>
            <a:off x="4203520" y="7018722"/>
            <a:ext cx="0" cy="0"/>
          </a:xfrm>
          <a:custGeom>
            <a:avLst/>
            <a:gdLst>
              <a:gd name="T0" fmla="*/ 3183 w 3"/>
              <a:gd name="T1" fmla="*/ 3145 h 2"/>
              <a:gd name="T2" fmla="*/ 0 w 3"/>
              <a:gd name="T3" fmla="*/ 1573 h 2"/>
              <a:gd name="T4" fmla="*/ 1591 w 3"/>
              <a:gd name="T5" fmla="*/ 0 h 2"/>
              <a:gd name="T6" fmla="*/ 4774 w 3"/>
              <a:gd name="T7" fmla="*/ 1573 h 2"/>
              <a:gd name="T8" fmla="*/ 3183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1" y="2"/>
                  <a:pt x="1" y="2"/>
                  <a:pt x="0" y="1"/>
                </a:cubicBezTo>
                <a:cubicBezTo>
                  <a:pt x="0" y="1"/>
                  <a:pt x="1" y="0"/>
                  <a:pt x="1" y="0"/>
                </a:cubicBezTo>
                <a:cubicBezTo>
                  <a:pt x="2" y="0"/>
                  <a:pt x="3" y="0"/>
                  <a:pt x="3" y="1"/>
                </a:cubicBezTo>
                <a:cubicBezTo>
                  <a:pt x="3" y="1"/>
                  <a:pt x="2" y="2"/>
                  <a:pt x="2" y="2"/>
                </a:cubicBezTo>
                <a:close/>
              </a:path>
            </a:pathLst>
          </a:custGeom>
          <a:solidFill>
            <a:schemeClr val="bg1">
              <a:lumMod val="95000"/>
            </a:schemeClr>
          </a:solidFill>
          <a:ln w="3175" cap="rnd">
            <a:solidFill>
              <a:srgbClr val="A5A5A5"/>
            </a:solidFill>
            <a:round/>
            <a:headEnd/>
            <a:tailEnd/>
          </a:ln>
        </xdr:spPr>
      </xdr:sp>
      <xdr:sp macro="" textlink="">
        <xdr:nvSpPr>
          <xdr:cNvPr id="270" name="Freeform 857"/>
          <xdr:cNvSpPr>
            <a:spLocks noChangeAspect="1"/>
          </xdr:cNvSpPr>
        </xdr:nvSpPr>
        <xdr:spPr bwMode="auto">
          <a:xfrm>
            <a:off x="4192485" y="7030237"/>
            <a:ext cx="11035" cy="0"/>
          </a:xfrm>
          <a:custGeom>
            <a:avLst/>
            <a:gdLst>
              <a:gd name="T0" fmla="*/ 2122 w 3"/>
              <a:gd name="T1" fmla="*/ 9434 h 2"/>
              <a:gd name="T2" fmla="*/ 0 w 3"/>
              <a:gd name="T3" fmla="*/ 9434 h 2"/>
              <a:gd name="T4" fmla="*/ 2122 w 3"/>
              <a:gd name="T5" fmla="*/ 7075 h 2"/>
              <a:gd name="T6" fmla="*/ 8487 w 3"/>
              <a:gd name="T7" fmla="*/ 0 h 2"/>
              <a:gd name="T8" fmla="*/ 2122 w 3"/>
              <a:gd name="T9" fmla="*/ 9434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2"/>
                </a:moveTo>
                <a:cubicBezTo>
                  <a:pt x="1" y="2"/>
                  <a:pt x="0" y="2"/>
                  <a:pt x="0" y="2"/>
                </a:cubicBezTo>
                <a:cubicBezTo>
                  <a:pt x="0" y="1"/>
                  <a:pt x="0" y="1"/>
                  <a:pt x="1" y="1"/>
                </a:cubicBezTo>
                <a:cubicBezTo>
                  <a:pt x="1" y="0"/>
                  <a:pt x="2" y="0"/>
                  <a:pt x="2" y="0"/>
                </a:cubicBezTo>
                <a:cubicBezTo>
                  <a:pt x="3" y="1"/>
                  <a:pt x="2" y="2"/>
                  <a:pt x="1" y="2"/>
                </a:cubicBezTo>
                <a:close/>
              </a:path>
            </a:pathLst>
          </a:custGeom>
          <a:solidFill>
            <a:schemeClr val="bg1">
              <a:lumMod val="95000"/>
            </a:schemeClr>
          </a:solidFill>
          <a:ln w="3175" cap="rnd">
            <a:solidFill>
              <a:srgbClr val="A5A5A5"/>
            </a:solidFill>
            <a:round/>
            <a:headEnd/>
            <a:tailEnd/>
          </a:ln>
        </xdr:spPr>
      </xdr:sp>
      <xdr:sp macro="" textlink="">
        <xdr:nvSpPr>
          <xdr:cNvPr id="271" name="Freeform 858"/>
          <xdr:cNvSpPr>
            <a:spLocks noChangeAspect="1"/>
          </xdr:cNvSpPr>
        </xdr:nvSpPr>
        <xdr:spPr bwMode="auto">
          <a:xfrm>
            <a:off x="4214555" y="7007209"/>
            <a:ext cx="0" cy="0"/>
          </a:xfrm>
          <a:custGeom>
            <a:avLst/>
            <a:gdLst>
              <a:gd name="T0" fmla="*/ 1591 w 2"/>
              <a:gd name="T1" fmla="*/ 3145 h 3"/>
              <a:gd name="T2" fmla="*/ 1591 w 2"/>
              <a:gd name="T3" fmla="*/ 4717 h 3"/>
              <a:gd name="T4" fmla="*/ 0 w 2"/>
              <a:gd name="T5" fmla="*/ 3145 h 3"/>
              <a:gd name="T6" fmla="*/ 1591 w 2"/>
              <a:gd name="T7" fmla="*/ 0 h 3"/>
              <a:gd name="T8" fmla="*/ 1591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2"/>
                </a:moveTo>
                <a:cubicBezTo>
                  <a:pt x="1" y="2"/>
                  <a:pt x="1" y="3"/>
                  <a:pt x="1" y="3"/>
                </a:cubicBezTo>
                <a:cubicBezTo>
                  <a:pt x="0" y="3"/>
                  <a:pt x="0" y="2"/>
                  <a:pt x="0" y="2"/>
                </a:cubicBezTo>
                <a:cubicBezTo>
                  <a:pt x="0" y="1"/>
                  <a:pt x="0" y="0"/>
                  <a:pt x="1" y="0"/>
                </a:cubicBezTo>
                <a:cubicBezTo>
                  <a:pt x="2" y="0"/>
                  <a:pt x="1" y="1"/>
                  <a:pt x="1" y="2"/>
                </a:cubicBezTo>
                <a:close/>
              </a:path>
            </a:pathLst>
          </a:custGeom>
          <a:solidFill>
            <a:schemeClr val="bg1">
              <a:lumMod val="95000"/>
            </a:schemeClr>
          </a:solidFill>
          <a:ln w="3175" cap="rnd">
            <a:solidFill>
              <a:srgbClr val="A5A5A5"/>
            </a:solidFill>
            <a:round/>
            <a:headEnd/>
            <a:tailEnd/>
          </a:ln>
        </xdr:spPr>
      </xdr:sp>
      <xdr:sp macro="" textlink="">
        <xdr:nvSpPr>
          <xdr:cNvPr id="272" name="Oval 859"/>
          <xdr:cNvSpPr>
            <a:spLocks noChangeAspect="1" noChangeArrowheads="1"/>
          </xdr:cNvSpPr>
        </xdr:nvSpPr>
        <xdr:spPr bwMode="auto">
          <a:xfrm>
            <a:off x="4214555" y="7007209"/>
            <a:ext cx="0" cy="11514"/>
          </a:xfrm>
          <a:prstGeom prst="ellipse">
            <a:avLst/>
          </a:prstGeom>
          <a:solidFill>
            <a:schemeClr val="bg1">
              <a:lumMod val="95000"/>
            </a:schemeClr>
          </a:solidFill>
          <a:ln w="3175" cap="rnd">
            <a:solidFill>
              <a:srgbClr val="A5A5A5"/>
            </a:solidFill>
            <a:round/>
            <a:headEnd/>
            <a:tailEnd/>
          </a:ln>
        </xdr:spPr>
      </xdr:sp>
      <xdr:sp macro="" textlink="">
        <xdr:nvSpPr>
          <xdr:cNvPr id="273" name="Freeform 860"/>
          <xdr:cNvSpPr>
            <a:spLocks noChangeAspect="1"/>
          </xdr:cNvSpPr>
        </xdr:nvSpPr>
        <xdr:spPr bwMode="auto">
          <a:xfrm>
            <a:off x="4214555" y="6984181"/>
            <a:ext cx="0" cy="0"/>
          </a:xfrm>
          <a:custGeom>
            <a:avLst/>
            <a:gdLst>
              <a:gd name="T0" fmla="*/ 3182 w 2"/>
              <a:gd name="T1" fmla="*/ 8385 h 3"/>
              <a:gd name="T2" fmla="*/ 3182 w 2"/>
              <a:gd name="T3" fmla="*/ 10482 h 3"/>
              <a:gd name="T4" fmla="*/ 0 w 2"/>
              <a:gd name="T5" fmla="*/ 8385 h 3"/>
              <a:gd name="T6" fmla="*/ 1591 w 2"/>
              <a:gd name="T7" fmla="*/ 2096 h 3"/>
              <a:gd name="T8" fmla="*/ 3182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2" y="3"/>
                  <a:pt x="2" y="3"/>
                </a:cubicBezTo>
                <a:cubicBezTo>
                  <a:pt x="1" y="3"/>
                  <a:pt x="1" y="3"/>
                  <a:pt x="0" y="2"/>
                </a:cubicBezTo>
                <a:cubicBezTo>
                  <a:pt x="0" y="2"/>
                  <a:pt x="0" y="1"/>
                  <a:pt x="1" y="1"/>
                </a:cubicBezTo>
                <a:cubicBezTo>
                  <a:pt x="1"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74" name="Freeform 861"/>
          <xdr:cNvSpPr>
            <a:spLocks noChangeAspect="1"/>
          </xdr:cNvSpPr>
        </xdr:nvSpPr>
        <xdr:spPr bwMode="auto">
          <a:xfrm>
            <a:off x="4203520" y="7030237"/>
            <a:ext cx="11035" cy="11514"/>
          </a:xfrm>
          <a:custGeom>
            <a:avLst/>
            <a:gdLst>
              <a:gd name="T0" fmla="*/ 7161 w 2"/>
              <a:gd name="T1" fmla="*/ 0 h 2"/>
              <a:gd name="T2" fmla="*/ 9548 w 2"/>
              <a:gd name="T3" fmla="*/ 7075 h 2"/>
              <a:gd name="T4" fmla="*/ 7161 w 2"/>
              <a:gd name="T5" fmla="*/ 7075 h 2"/>
              <a:gd name="T6" fmla="*/ 0 w 2"/>
              <a:gd name="T7" fmla="*/ 0 h 2"/>
              <a:gd name="T8" fmla="*/ 7161 w 2"/>
              <a:gd name="T9" fmla="*/ 0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1" y="0"/>
                </a:moveTo>
                <a:cubicBezTo>
                  <a:pt x="2" y="0"/>
                  <a:pt x="2" y="1"/>
                  <a:pt x="2" y="1"/>
                </a:cubicBezTo>
                <a:cubicBezTo>
                  <a:pt x="2" y="2"/>
                  <a:pt x="1" y="2"/>
                  <a:pt x="1" y="1"/>
                </a:cubicBezTo>
                <a:cubicBezTo>
                  <a:pt x="0" y="1"/>
                  <a:pt x="0" y="1"/>
                  <a:pt x="0" y="0"/>
                </a:cubicBezTo>
                <a:cubicBezTo>
                  <a:pt x="0" y="0"/>
                  <a:pt x="1" y="0"/>
                  <a:pt x="1" y="0"/>
                </a:cubicBezTo>
                <a:close/>
              </a:path>
            </a:pathLst>
          </a:custGeom>
          <a:solidFill>
            <a:schemeClr val="bg1">
              <a:lumMod val="95000"/>
            </a:schemeClr>
          </a:solidFill>
          <a:ln w="3175" cap="rnd">
            <a:solidFill>
              <a:srgbClr val="A5A5A5"/>
            </a:solidFill>
            <a:round/>
            <a:headEnd/>
            <a:tailEnd/>
          </a:ln>
        </xdr:spPr>
      </xdr:sp>
      <xdr:sp macro="" textlink="">
        <xdr:nvSpPr>
          <xdr:cNvPr id="275" name="Freeform 862"/>
          <xdr:cNvSpPr>
            <a:spLocks noChangeAspect="1"/>
          </xdr:cNvSpPr>
        </xdr:nvSpPr>
        <xdr:spPr bwMode="auto">
          <a:xfrm>
            <a:off x="4203520" y="7030237"/>
            <a:ext cx="11035" cy="0"/>
          </a:xfrm>
          <a:custGeom>
            <a:avLst/>
            <a:gdLst>
              <a:gd name="T0" fmla="*/ 8487 w 3"/>
              <a:gd name="T1" fmla="*/ 0 h 2"/>
              <a:gd name="T2" fmla="*/ 8487 w 3"/>
              <a:gd name="T3" fmla="*/ 770 h 2"/>
              <a:gd name="T4" fmla="*/ 2122 w 3"/>
              <a:gd name="T5" fmla="*/ 770 h 2"/>
              <a:gd name="T6" fmla="*/ 0 w 3"/>
              <a:gd name="T7" fmla="*/ 0 h 2"/>
              <a:gd name="T8" fmla="*/ 8487 w 3"/>
              <a:gd name="T9" fmla="*/ 0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0"/>
                </a:moveTo>
                <a:cubicBezTo>
                  <a:pt x="2" y="0"/>
                  <a:pt x="3" y="1"/>
                  <a:pt x="2" y="1"/>
                </a:cubicBezTo>
                <a:cubicBezTo>
                  <a:pt x="2" y="2"/>
                  <a:pt x="2" y="2"/>
                  <a:pt x="1" y="1"/>
                </a:cubicBezTo>
                <a:cubicBezTo>
                  <a:pt x="1" y="1"/>
                  <a:pt x="0" y="1"/>
                  <a:pt x="0" y="0"/>
                </a:cubicBezTo>
                <a:cubicBezTo>
                  <a:pt x="0" y="0"/>
                  <a:pt x="1" y="0"/>
                  <a:pt x="2" y="0"/>
                </a:cubicBezTo>
                <a:close/>
              </a:path>
            </a:pathLst>
          </a:custGeom>
          <a:solidFill>
            <a:schemeClr val="bg1">
              <a:lumMod val="95000"/>
            </a:schemeClr>
          </a:solidFill>
          <a:ln w="3175" cap="rnd">
            <a:solidFill>
              <a:srgbClr val="A5A5A5"/>
            </a:solidFill>
            <a:round/>
            <a:headEnd/>
            <a:tailEnd/>
          </a:ln>
        </xdr:spPr>
      </xdr:sp>
      <xdr:sp macro="" textlink="">
        <xdr:nvSpPr>
          <xdr:cNvPr id="276" name="Freeform 863"/>
          <xdr:cNvSpPr>
            <a:spLocks noChangeAspect="1"/>
          </xdr:cNvSpPr>
        </xdr:nvSpPr>
        <xdr:spPr bwMode="auto">
          <a:xfrm>
            <a:off x="4203520" y="7018722"/>
            <a:ext cx="11035" cy="11514"/>
          </a:xfrm>
          <a:custGeom>
            <a:avLst/>
            <a:gdLst>
              <a:gd name="T0" fmla="*/ 8487 w 3"/>
              <a:gd name="T1" fmla="*/ 0 h 2"/>
              <a:gd name="T2" fmla="*/ 10608 w 3"/>
              <a:gd name="T3" fmla="*/ 7075 h 2"/>
              <a:gd name="T4" fmla="*/ 8487 w 3"/>
              <a:gd name="T5" fmla="*/ 9434 h 2"/>
              <a:gd name="T6" fmla="*/ 0 w 3"/>
              <a:gd name="T7" fmla="*/ 0 h 2"/>
              <a:gd name="T8" fmla="*/ 8487 w 3"/>
              <a:gd name="T9" fmla="*/ 0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0"/>
                </a:moveTo>
                <a:cubicBezTo>
                  <a:pt x="3" y="0"/>
                  <a:pt x="3" y="1"/>
                  <a:pt x="3" y="1"/>
                </a:cubicBezTo>
                <a:cubicBezTo>
                  <a:pt x="3" y="2"/>
                  <a:pt x="2" y="2"/>
                  <a:pt x="2" y="2"/>
                </a:cubicBezTo>
                <a:cubicBezTo>
                  <a:pt x="1" y="1"/>
                  <a:pt x="0" y="1"/>
                  <a:pt x="0" y="0"/>
                </a:cubicBezTo>
                <a:cubicBezTo>
                  <a:pt x="1" y="0"/>
                  <a:pt x="2" y="0"/>
                  <a:pt x="2" y="0"/>
                </a:cubicBezTo>
                <a:close/>
              </a:path>
            </a:pathLst>
          </a:custGeom>
          <a:solidFill>
            <a:schemeClr val="bg1">
              <a:lumMod val="95000"/>
            </a:schemeClr>
          </a:solidFill>
          <a:ln w="3175" cap="rnd">
            <a:solidFill>
              <a:srgbClr val="A5A5A5"/>
            </a:solidFill>
            <a:round/>
            <a:headEnd/>
            <a:tailEnd/>
          </a:ln>
        </xdr:spPr>
      </xdr:sp>
      <xdr:sp macro="" textlink="">
        <xdr:nvSpPr>
          <xdr:cNvPr id="277" name="Oval 864"/>
          <xdr:cNvSpPr>
            <a:spLocks noChangeAspect="1" noChangeArrowheads="1"/>
          </xdr:cNvSpPr>
        </xdr:nvSpPr>
        <xdr:spPr bwMode="auto">
          <a:xfrm>
            <a:off x="4170416" y="7007209"/>
            <a:ext cx="11035" cy="11514"/>
          </a:xfrm>
          <a:prstGeom prst="ellipse">
            <a:avLst/>
          </a:prstGeom>
          <a:solidFill>
            <a:schemeClr val="bg1">
              <a:lumMod val="95000"/>
            </a:schemeClr>
          </a:solidFill>
          <a:ln w="3175" cap="rnd">
            <a:solidFill>
              <a:srgbClr val="A5A5A5"/>
            </a:solidFill>
            <a:round/>
            <a:headEnd/>
            <a:tailEnd/>
          </a:ln>
        </xdr:spPr>
      </xdr:sp>
      <xdr:sp macro="" textlink="">
        <xdr:nvSpPr>
          <xdr:cNvPr id="278" name="Freeform 865"/>
          <xdr:cNvSpPr>
            <a:spLocks noChangeAspect="1"/>
          </xdr:cNvSpPr>
        </xdr:nvSpPr>
        <xdr:spPr bwMode="auto">
          <a:xfrm>
            <a:off x="4170416" y="6972667"/>
            <a:ext cx="11035" cy="0"/>
          </a:xfrm>
          <a:custGeom>
            <a:avLst/>
            <a:gdLst>
              <a:gd name="T0" fmla="*/ 8487 w 3"/>
              <a:gd name="T1" fmla="*/ 8385 h 3"/>
              <a:gd name="T2" fmla="*/ 0 w 3"/>
              <a:gd name="T3" fmla="*/ 8385 h 3"/>
              <a:gd name="T4" fmla="*/ 2122 w 3"/>
              <a:gd name="T5" fmla="*/ 2096 h 3"/>
              <a:gd name="T6" fmla="*/ 8487 w 3"/>
              <a:gd name="T7" fmla="*/ 2096 h 3"/>
              <a:gd name="T8" fmla="*/ 8487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1" y="3"/>
                  <a:pt x="1" y="3"/>
                  <a:pt x="0" y="2"/>
                </a:cubicBezTo>
                <a:cubicBezTo>
                  <a:pt x="0" y="2"/>
                  <a:pt x="1" y="1"/>
                  <a:pt x="1" y="1"/>
                </a:cubicBezTo>
                <a:cubicBezTo>
                  <a:pt x="1" y="1"/>
                  <a:pt x="2" y="0"/>
                  <a:pt x="2" y="1"/>
                </a:cubicBezTo>
                <a:cubicBezTo>
                  <a:pt x="3" y="2"/>
                  <a:pt x="2" y="2"/>
                  <a:pt x="2" y="2"/>
                </a:cubicBezTo>
                <a:close/>
              </a:path>
            </a:pathLst>
          </a:custGeom>
          <a:solidFill>
            <a:schemeClr val="bg1">
              <a:lumMod val="95000"/>
            </a:schemeClr>
          </a:solidFill>
          <a:ln w="3175" cap="rnd">
            <a:solidFill>
              <a:srgbClr val="A5A5A5"/>
            </a:solidFill>
            <a:round/>
            <a:headEnd/>
            <a:tailEnd/>
          </a:ln>
        </xdr:spPr>
      </xdr:sp>
      <xdr:sp macro="" textlink="">
        <xdr:nvSpPr>
          <xdr:cNvPr id="279" name="Freeform 866"/>
          <xdr:cNvSpPr>
            <a:spLocks noChangeAspect="1"/>
          </xdr:cNvSpPr>
        </xdr:nvSpPr>
        <xdr:spPr bwMode="auto">
          <a:xfrm>
            <a:off x="4225589" y="7122348"/>
            <a:ext cx="11035" cy="11514"/>
          </a:xfrm>
          <a:custGeom>
            <a:avLst/>
            <a:gdLst>
              <a:gd name="T0" fmla="*/ 10608 w 3"/>
              <a:gd name="T1" fmla="*/ 8385 h 3"/>
              <a:gd name="T2" fmla="*/ 2122 w 3"/>
              <a:gd name="T3" fmla="*/ 10482 h 3"/>
              <a:gd name="T4" fmla="*/ 0 w 3"/>
              <a:gd name="T5" fmla="*/ 8385 h 3"/>
              <a:gd name="T6" fmla="*/ 2122 w 3"/>
              <a:gd name="T7" fmla="*/ 0 h 3"/>
              <a:gd name="T8" fmla="*/ 10608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3" y="2"/>
                </a:moveTo>
                <a:cubicBezTo>
                  <a:pt x="3" y="2"/>
                  <a:pt x="2" y="3"/>
                  <a:pt x="1" y="3"/>
                </a:cubicBezTo>
                <a:cubicBezTo>
                  <a:pt x="0" y="3"/>
                  <a:pt x="0" y="2"/>
                  <a:pt x="0" y="2"/>
                </a:cubicBezTo>
                <a:cubicBezTo>
                  <a:pt x="0" y="1"/>
                  <a:pt x="0" y="0"/>
                  <a:pt x="1" y="0"/>
                </a:cubicBezTo>
                <a:cubicBezTo>
                  <a:pt x="3" y="0"/>
                  <a:pt x="3" y="1"/>
                  <a:pt x="3" y="2"/>
                </a:cubicBezTo>
                <a:close/>
              </a:path>
            </a:pathLst>
          </a:custGeom>
          <a:solidFill>
            <a:schemeClr val="bg1">
              <a:lumMod val="95000"/>
            </a:schemeClr>
          </a:solidFill>
          <a:ln w="3175" cap="rnd">
            <a:solidFill>
              <a:srgbClr val="A5A5A5"/>
            </a:solidFill>
            <a:round/>
            <a:headEnd/>
            <a:tailEnd/>
          </a:ln>
        </xdr:spPr>
      </xdr:sp>
      <xdr:sp macro="" textlink="">
        <xdr:nvSpPr>
          <xdr:cNvPr id="280" name="Freeform 867"/>
          <xdr:cNvSpPr>
            <a:spLocks noChangeAspect="1"/>
          </xdr:cNvSpPr>
        </xdr:nvSpPr>
        <xdr:spPr bwMode="auto">
          <a:xfrm>
            <a:off x="4181451" y="7156890"/>
            <a:ext cx="11035" cy="0"/>
          </a:xfrm>
          <a:custGeom>
            <a:avLst/>
            <a:gdLst>
              <a:gd name="T0" fmla="*/ 9548 w 2"/>
              <a:gd name="T1" fmla="*/ 1573 h 2"/>
              <a:gd name="T2" fmla="*/ 7161 w 2"/>
              <a:gd name="T3" fmla="*/ 3145 h 2"/>
              <a:gd name="T4" fmla="*/ 0 w 2"/>
              <a:gd name="T5" fmla="*/ 3145 h 2"/>
              <a:gd name="T6" fmla="*/ 0 w 2"/>
              <a:gd name="T7" fmla="*/ 0 h 2"/>
              <a:gd name="T8" fmla="*/ 9548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2" y="1"/>
                </a:moveTo>
                <a:cubicBezTo>
                  <a:pt x="2" y="1"/>
                  <a:pt x="2" y="2"/>
                  <a:pt x="1" y="2"/>
                </a:cubicBezTo>
                <a:cubicBezTo>
                  <a:pt x="1" y="2"/>
                  <a:pt x="0" y="2"/>
                  <a:pt x="0" y="2"/>
                </a:cubicBezTo>
                <a:cubicBezTo>
                  <a:pt x="0" y="1"/>
                  <a:pt x="0" y="0"/>
                  <a:pt x="0" y="0"/>
                </a:cubicBezTo>
                <a:cubicBezTo>
                  <a:pt x="1" y="0"/>
                  <a:pt x="1" y="1"/>
                  <a:pt x="2" y="1"/>
                </a:cubicBezTo>
                <a:close/>
              </a:path>
            </a:pathLst>
          </a:custGeom>
          <a:solidFill>
            <a:schemeClr val="bg1">
              <a:lumMod val="95000"/>
            </a:schemeClr>
          </a:solidFill>
          <a:ln w="3175" cap="rnd">
            <a:solidFill>
              <a:srgbClr val="A5A5A5"/>
            </a:solidFill>
            <a:round/>
            <a:headEnd/>
            <a:tailEnd/>
          </a:ln>
        </xdr:spPr>
      </xdr:sp>
      <xdr:sp macro="" textlink="">
        <xdr:nvSpPr>
          <xdr:cNvPr id="281" name="Freeform 868"/>
          <xdr:cNvSpPr>
            <a:spLocks noChangeAspect="1"/>
          </xdr:cNvSpPr>
        </xdr:nvSpPr>
        <xdr:spPr bwMode="auto">
          <a:xfrm>
            <a:off x="4181451" y="7156890"/>
            <a:ext cx="11035" cy="0"/>
          </a:xfrm>
          <a:custGeom>
            <a:avLst/>
            <a:gdLst>
              <a:gd name="T0" fmla="*/ 7161 w 2"/>
              <a:gd name="T1" fmla="*/ 3145 h 3"/>
              <a:gd name="T2" fmla="*/ 7161 w 2"/>
              <a:gd name="T3" fmla="*/ 4717 h 3"/>
              <a:gd name="T4" fmla="*/ 0 w 2"/>
              <a:gd name="T5" fmla="*/ 3145 h 3"/>
              <a:gd name="T6" fmla="*/ 7161 w 2"/>
              <a:gd name="T7" fmla="*/ 0 h 3"/>
              <a:gd name="T8" fmla="*/ 7161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2"/>
                </a:moveTo>
                <a:cubicBezTo>
                  <a:pt x="1" y="2"/>
                  <a:pt x="1" y="3"/>
                  <a:pt x="1" y="3"/>
                </a:cubicBezTo>
                <a:cubicBezTo>
                  <a:pt x="0" y="3"/>
                  <a:pt x="0" y="2"/>
                  <a:pt x="0" y="2"/>
                </a:cubicBezTo>
                <a:cubicBezTo>
                  <a:pt x="0" y="1"/>
                  <a:pt x="0" y="0"/>
                  <a:pt x="1" y="0"/>
                </a:cubicBezTo>
                <a:cubicBezTo>
                  <a:pt x="2" y="1"/>
                  <a:pt x="1" y="1"/>
                  <a:pt x="1" y="2"/>
                </a:cubicBezTo>
                <a:close/>
              </a:path>
            </a:pathLst>
          </a:custGeom>
          <a:solidFill>
            <a:schemeClr val="bg1">
              <a:lumMod val="95000"/>
            </a:schemeClr>
          </a:solidFill>
          <a:ln w="3175" cap="rnd">
            <a:solidFill>
              <a:srgbClr val="A5A5A5"/>
            </a:solidFill>
            <a:round/>
            <a:headEnd/>
            <a:tailEnd/>
          </a:ln>
        </xdr:spPr>
      </xdr:sp>
      <xdr:sp macro="" textlink="">
        <xdr:nvSpPr>
          <xdr:cNvPr id="282" name="Freeform 869"/>
          <xdr:cNvSpPr>
            <a:spLocks noChangeAspect="1"/>
          </xdr:cNvSpPr>
        </xdr:nvSpPr>
        <xdr:spPr bwMode="auto">
          <a:xfrm>
            <a:off x="4192485" y="7156890"/>
            <a:ext cx="0" cy="0"/>
          </a:xfrm>
          <a:custGeom>
            <a:avLst/>
            <a:gdLst>
              <a:gd name="T0" fmla="*/ 3182 w 2"/>
              <a:gd name="T1" fmla="*/ 3145 h 3"/>
              <a:gd name="T2" fmla="*/ 1591 w 2"/>
              <a:gd name="T3" fmla="*/ 4717 h 3"/>
              <a:gd name="T4" fmla="*/ 0 w 2"/>
              <a:gd name="T5" fmla="*/ 3145 h 3"/>
              <a:gd name="T6" fmla="*/ 1591 w 2"/>
              <a:gd name="T7" fmla="*/ 1572 h 3"/>
              <a:gd name="T8" fmla="*/ 3182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3"/>
                  <a:pt x="1" y="3"/>
                  <a:pt x="1" y="3"/>
                </a:cubicBezTo>
                <a:cubicBezTo>
                  <a:pt x="0" y="3"/>
                  <a:pt x="0" y="2"/>
                  <a:pt x="0" y="2"/>
                </a:cubicBezTo>
                <a:cubicBezTo>
                  <a:pt x="0" y="1"/>
                  <a:pt x="0" y="0"/>
                  <a:pt x="1" y="1"/>
                </a:cubicBezTo>
                <a:cubicBezTo>
                  <a:pt x="2" y="1"/>
                  <a:pt x="2" y="2"/>
                  <a:pt x="2" y="2"/>
                </a:cubicBezTo>
                <a:close/>
              </a:path>
            </a:pathLst>
          </a:custGeom>
          <a:solidFill>
            <a:schemeClr val="bg1">
              <a:lumMod val="95000"/>
            </a:schemeClr>
          </a:solidFill>
          <a:ln w="3175" cap="rnd">
            <a:solidFill>
              <a:srgbClr val="A5A5A5"/>
            </a:solidFill>
            <a:round/>
            <a:headEnd/>
            <a:tailEnd/>
          </a:ln>
        </xdr:spPr>
      </xdr:sp>
      <xdr:sp macro="" textlink="">
        <xdr:nvSpPr>
          <xdr:cNvPr id="283" name="Freeform 870"/>
          <xdr:cNvSpPr>
            <a:spLocks noChangeAspect="1"/>
          </xdr:cNvSpPr>
        </xdr:nvSpPr>
        <xdr:spPr bwMode="auto">
          <a:xfrm>
            <a:off x="4192485" y="7156890"/>
            <a:ext cx="0" cy="0"/>
          </a:xfrm>
          <a:custGeom>
            <a:avLst/>
            <a:gdLst>
              <a:gd name="T0" fmla="*/ 3182 w 2"/>
              <a:gd name="T1" fmla="*/ 8385 h 3"/>
              <a:gd name="T2" fmla="*/ 1591 w 2"/>
              <a:gd name="T3" fmla="*/ 10482 h 3"/>
              <a:gd name="T4" fmla="*/ 0 w 2"/>
              <a:gd name="T5" fmla="*/ 8385 h 3"/>
              <a:gd name="T6" fmla="*/ 1591 w 2"/>
              <a:gd name="T7" fmla="*/ 0 h 3"/>
              <a:gd name="T8" fmla="*/ 3182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1" y="2"/>
                  <a:pt x="1" y="3"/>
                  <a:pt x="1" y="3"/>
                </a:cubicBezTo>
                <a:cubicBezTo>
                  <a:pt x="0" y="3"/>
                  <a:pt x="0" y="2"/>
                  <a:pt x="0" y="2"/>
                </a:cubicBezTo>
                <a:cubicBezTo>
                  <a:pt x="0" y="1"/>
                  <a:pt x="0" y="0"/>
                  <a:pt x="1" y="0"/>
                </a:cubicBezTo>
                <a:cubicBezTo>
                  <a:pt x="2" y="1"/>
                  <a:pt x="2" y="1"/>
                  <a:pt x="2" y="2"/>
                </a:cubicBezTo>
                <a:close/>
              </a:path>
            </a:pathLst>
          </a:custGeom>
          <a:solidFill>
            <a:schemeClr val="bg1">
              <a:lumMod val="95000"/>
            </a:schemeClr>
          </a:solidFill>
          <a:ln w="3175" cap="rnd">
            <a:solidFill>
              <a:srgbClr val="A5A5A5"/>
            </a:solidFill>
            <a:round/>
            <a:headEnd/>
            <a:tailEnd/>
          </a:ln>
        </xdr:spPr>
      </xdr:sp>
      <xdr:sp macro="" textlink="">
        <xdr:nvSpPr>
          <xdr:cNvPr id="284" name="Freeform 871"/>
          <xdr:cNvSpPr>
            <a:spLocks noChangeAspect="1"/>
          </xdr:cNvSpPr>
        </xdr:nvSpPr>
        <xdr:spPr bwMode="auto">
          <a:xfrm>
            <a:off x="4192485" y="7156890"/>
            <a:ext cx="11035" cy="0"/>
          </a:xfrm>
          <a:custGeom>
            <a:avLst/>
            <a:gdLst>
              <a:gd name="T0" fmla="*/ 9548 w 2"/>
              <a:gd name="T1" fmla="*/ 8385 h 3"/>
              <a:gd name="T2" fmla="*/ 7161 w 2"/>
              <a:gd name="T3" fmla="*/ 10482 h 3"/>
              <a:gd name="T4" fmla="*/ 0 w 2"/>
              <a:gd name="T5" fmla="*/ 8385 h 3"/>
              <a:gd name="T6" fmla="*/ 7161 w 2"/>
              <a:gd name="T7" fmla="*/ 0 h 3"/>
              <a:gd name="T8" fmla="*/ 9548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1" y="3"/>
                  <a:pt x="1" y="3"/>
                </a:cubicBezTo>
                <a:cubicBezTo>
                  <a:pt x="0" y="3"/>
                  <a:pt x="0" y="2"/>
                  <a:pt x="0" y="2"/>
                </a:cubicBezTo>
                <a:cubicBezTo>
                  <a:pt x="0" y="1"/>
                  <a:pt x="0" y="0"/>
                  <a:pt x="1"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85" name="Oval 872"/>
          <xdr:cNvSpPr>
            <a:spLocks noChangeAspect="1" noChangeArrowheads="1"/>
          </xdr:cNvSpPr>
        </xdr:nvSpPr>
        <xdr:spPr bwMode="auto">
          <a:xfrm>
            <a:off x="4192485" y="7133862"/>
            <a:ext cx="0" cy="11514"/>
          </a:xfrm>
          <a:prstGeom prst="ellipse">
            <a:avLst/>
          </a:prstGeom>
          <a:solidFill>
            <a:schemeClr val="bg1">
              <a:lumMod val="95000"/>
            </a:schemeClr>
          </a:solidFill>
          <a:ln w="3175" cap="rnd">
            <a:solidFill>
              <a:srgbClr val="A5A5A5"/>
            </a:solidFill>
            <a:round/>
            <a:headEnd/>
            <a:tailEnd/>
          </a:ln>
        </xdr:spPr>
      </xdr:sp>
      <xdr:sp macro="" textlink="">
        <xdr:nvSpPr>
          <xdr:cNvPr id="286" name="Freeform 873"/>
          <xdr:cNvSpPr>
            <a:spLocks noChangeAspect="1"/>
          </xdr:cNvSpPr>
        </xdr:nvSpPr>
        <xdr:spPr bwMode="auto">
          <a:xfrm>
            <a:off x="4181451" y="7122348"/>
            <a:ext cx="11035" cy="0"/>
          </a:xfrm>
          <a:custGeom>
            <a:avLst/>
            <a:gdLst>
              <a:gd name="T0" fmla="*/ 2122 w 3"/>
              <a:gd name="T1" fmla="*/ 1573 h 2"/>
              <a:gd name="T2" fmla="*/ 0 w 3"/>
              <a:gd name="T3" fmla="*/ 1573 h 2"/>
              <a:gd name="T4" fmla="*/ 2122 w 3"/>
              <a:gd name="T5" fmla="*/ 0 h 2"/>
              <a:gd name="T6" fmla="*/ 10608 w 3"/>
              <a:gd name="T7" fmla="*/ 0 h 2"/>
              <a:gd name="T8" fmla="*/ 2122 w 3"/>
              <a:gd name="T9" fmla="*/ 1573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1"/>
                </a:moveTo>
                <a:cubicBezTo>
                  <a:pt x="1" y="2"/>
                  <a:pt x="0" y="2"/>
                  <a:pt x="0" y="1"/>
                </a:cubicBezTo>
                <a:cubicBezTo>
                  <a:pt x="0" y="1"/>
                  <a:pt x="1" y="0"/>
                  <a:pt x="1" y="0"/>
                </a:cubicBezTo>
                <a:cubicBezTo>
                  <a:pt x="2" y="0"/>
                  <a:pt x="3" y="0"/>
                  <a:pt x="3" y="0"/>
                </a:cubicBezTo>
                <a:cubicBezTo>
                  <a:pt x="3" y="1"/>
                  <a:pt x="2" y="1"/>
                  <a:pt x="1" y="1"/>
                </a:cubicBezTo>
                <a:close/>
              </a:path>
            </a:pathLst>
          </a:custGeom>
          <a:solidFill>
            <a:schemeClr val="bg1">
              <a:lumMod val="95000"/>
            </a:schemeClr>
          </a:solidFill>
          <a:ln w="3175" cap="rnd">
            <a:solidFill>
              <a:srgbClr val="A5A5A5"/>
            </a:solidFill>
            <a:round/>
            <a:headEnd/>
            <a:tailEnd/>
          </a:ln>
        </xdr:spPr>
      </xdr:sp>
      <xdr:sp macro="" textlink="">
        <xdr:nvSpPr>
          <xdr:cNvPr id="287" name="Freeform 874"/>
          <xdr:cNvSpPr>
            <a:spLocks noChangeAspect="1"/>
          </xdr:cNvSpPr>
        </xdr:nvSpPr>
        <xdr:spPr bwMode="auto">
          <a:xfrm>
            <a:off x="4203520" y="7087805"/>
            <a:ext cx="0" cy="11514"/>
          </a:xfrm>
          <a:custGeom>
            <a:avLst/>
            <a:gdLst>
              <a:gd name="T0" fmla="*/ 1591 w 2"/>
              <a:gd name="T1" fmla="*/ 10482 h 3"/>
              <a:gd name="T2" fmla="*/ 0 w 2"/>
              <a:gd name="T3" fmla="*/ 10482 h 3"/>
              <a:gd name="T4" fmla="*/ 0 w 2"/>
              <a:gd name="T5" fmla="*/ 2096 h 3"/>
              <a:gd name="T6" fmla="*/ 3182 w 2"/>
              <a:gd name="T7" fmla="*/ 2096 h 3"/>
              <a:gd name="T8" fmla="*/ 1591 w 2"/>
              <a:gd name="T9" fmla="*/ 10482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3"/>
                </a:moveTo>
                <a:cubicBezTo>
                  <a:pt x="1" y="3"/>
                  <a:pt x="1" y="3"/>
                  <a:pt x="0" y="3"/>
                </a:cubicBezTo>
                <a:cubicBezTo>
                  <a:pt x="0" y="2"/>
                  <a:pt x="0" y="2"/>
                  <a:pt x="0" y="1"/>
                </a:cubicBezTo>
                <a:cubicBezTo>
                  <a:pt x="1" y="1"/>
                  <a:pt x="1" y="0"/>
                  <a:pt x="2" y="1"/>
                </a:cubicBezTo>
                <a:cubicBezTo>
                  <a:pt x="2" y="1"/>
                  <a:pt x="2" y="2"/>
                  <a:pt x="1" y="3"/>
                </a:cubicBezTo>
                <a:close/>
              </a:path>
            </a:pathLst>
          </a:custGeom>
          <a:solidFill>
            <a:schemeClr val="bg1">
              <a:lumMod val="95000"/>
            </a:schemeClr>
          </a:solidFill>
          <a:ln w="3175" cap="rnd">
            <a:solidFill>
              <a:srgbClr val="A5A5A5"/>
            </a:solidFill>
            <a:round/>
            <a:headEnd/>
            <a:tailEnd/>
          </a:ln>
        </xdr:spPr>
      </xdr:sp>
      <xdr:sp macro="" textlink="">
        <xdr:nvSpPr>
          <xdr:cNvPr id="288" name="Freeform 875"/>
          <xdr:cNvSpPr>
            <a:spLocks noChangeAspect="1"/>
          </xdr:cNvSpPr>
        </xdr:nvSpPr>
        <xdr:spPr bwMode="auto">
          <a:xfrm>
            <a:off x="4192485" y="7156890"/>
            <a:ext cx="11035" cy="0"/>
          </a:xfrm>
          <a:custGeom>
            <a:avLst/>
            <a:gdLst>
              <a:gd name="T0" fmla="*/ 8487 w 3"/>
              <a:gd name="T1" fmla="*/ 1573 h 2"/>
              <a:gd name="T2" fmla="*/ 8487 w 3"/>
              <a:gd name="T3" fmla="*/ 3145 h 2"/>
              <a:gd name="T4" fmla="*/ 2122 w 3"/>
              <a:gd name="T5" fmla="*/ 3145 h 2"/>
              <a:gd name="T6" fmla="*/ 0 w 3"/>
              <a:gd name="T7" fmla="*/ 0 h 2"/>
              <a:gd name="T8" fmla="*/ 8487 w 3"/>
              <a:gd name="T9" fmla="*/ 1573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1"/>
                </a:moveTo>
                <a:cubicBezTo>
                  <a:pt x="2" y="1"/>
                  <a:pt x="3" y="2"/>
                  <a:pt x="2" y="2"/>
                </a:cubicBezTo>
                <a:cubicBezTo>
                  <a:pt x="2" y="2"/>
                  <a:pt x="1" y="2"/>
                  <a:pt x="1" y="2"/>
                </a:cubicBezTo>
                <a:cubicBezTo>
                  <a:pt x="0" y="1"/>
                  <a:pt x="0" y="1"/>
                  <a:pt x="0" y="0"/>
                </a:cubicBezTo>
                <a:cubicBezTo>
                  <a:pt x="1" y="0"/>
                  <a:pt x="2" y="0"/>
                  <a:pt x="2" y="1"/>
                </a:cubicBezTo>
                <a:close/>
              </a:path>
            </a:pathLst>
          </a:custGeom>
          <a:solidFill>
            <a:schemeClr val="bg1">
              <a:lumMod val="95000"/>
            </a:schemeClr>
          </a:solidFill>
          <a:ln w="3175" cap="rnd">
            <a:solidFill>
              <a:srgbClr val="A5A5A5"/>
            </a:solidFill>
            <a:round/>
            <a:headEnd/>
            <a:tailEnd/>
          </a:ln>
        </xdr:spPr>
      </xdr:sp>
      <xdr:sp macro="" textlink="">
        <xdr:nvSpPr>
          <xdr:cNvPr id="289" name="Freeform 876"/>
          <xdr:cNvSpPr>
            <a:spLocks noChangeAspect="1"/>
          </xdr:cNvSpPr>
        </xdr:nvSpPr>
        <xdr:spPr bwMode="auto">
          <a:xfrm>
            <a:off x="4236624" y="7202945"/>
            <a:ext cx="0" cy="11514"/>
          </a:xfrm>
          <a:custGeom>
            <a:avLst/>
            <a:gdLst>
              <a:gd name="T0" fmla="*/ 3182 w 2"/>
              <a:gd name="T1" fmla="*/ 2096 h 3"/>
              <a:gd name="T2" fmla="*/ 1591 w 2"/>
              <a:gd name="T3" fmla="*/ 10482 h 3"/>
              <a:gd name="T4" fmla="*/ 0 w 2"/>
              <a:gd name="T5" fmla="*/ 8385 h 3"/>
              <a:gd name="T6" fmla="*/ 0 w 2"/>
              <a:gd name="T7" fmla="*/ 0 h 3"/>
              <a:gd name="T8" fmla="*/ 3182 w 2"/>
              <a:gd name="T9" fmla="*/ 2096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1"/>
                </a:moveTo>
                <a:cubicBezTo>
                  <a:pt x="2" y="2"/>
                  <a:pt x="2" y="2"/>
                  <a:pt x="1" y="3"/>
                </a:cubicBezTo>
                <a:cubicBezTo>
                  <a:pt x="1" y="3"/>
                  <a:pt x="0" y="2"/>
                  <a:pt x="0" y="2"/>
                </a:cubicBezTo>
                <a:cubicBezTo>
                  <a:pt x="0" y="1"/>
                  <a:pt x="0" y="0"/>
                  <a:pt x="0" y="0"/>
                </a:cubicBezTo>
                <a:cubicBezTo>
                  <a:pt x="1" y="0"/>
                  <a:pt x="1" y="1"/>
                  <a:pt x="2" y="1"/>
                </a:cubicBezTo>
                <a:close/>
              </a:path>
            </a:pathLst>
          </a:custGeom>
          <a:solidFill>
            <a:schemeClr val="bg1">
              <a:lumMod val="95000"/>
            </a:schemeClr>
          </a:solidFill>
          <a:ln w="3175" cap="rnd">
            <a:solidFill>
              <a:srgbClr val="A5A5A5"/>
            </a:solidFill>
            <a:round/>
            <a:headEnd/>
            <a:tailEnd/>
          </a:ln>
        </xdr:spPr>
      </xdr:sp>
      <xdr:sp macro="" textlink="">
        <xdr:nvSpPr>
          <xdr:cNvPr id="290" name="Freeform 877"/>
          <xdr:cNvSpPr>
            <a:spLocks noChangeAspect="1"/>
          </xdr:cNvSpPr>
        </xdr:nvSpPr>
        <xdr:spPr bwMode="auto">
          <a:xfrm>
            <a:off x="4214555" y="7168403"/>
            <a:ext cx="0" cy="11514"/>
          </a:xfrm>
          <a:custGeom>
            <a:avLst/>
            <a:gdLst>
              <a:gd name="T0" fmla="*/ 3182 w 2"/>
              <a:gd name="T1" fmla="*/ 8385 h 3"/>
              <a:gd name="T2" fmla="*/ 1591 w 2"/>
              <a:gd name="T3" fmla="*/ 8385 h 3"/>
              <a:gd name="T4" fmla="*/ 1591 w 2"/>
              <a:gd name="T5" fmla="*/ 2096 h 3"/>
              <a:gd name="T6" fmla="*/ 3182 w 2"/>
              <a:gd name="T7" fmla="*/ 0 h 3"/>
              <a:gd name="T8" fmla="*/ 3182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1" y="3"/>
                  <a:pt x="1" y="2"/>
                </a:cubicBezTo>
                <a:cubicBezTo>
                  <a:pt x="0" y="2"/>
                  <a:pt x="0" y="2"/>
                  <a:pt x="1" y="1"/>
                </a:cubicBezTo>
                <a:cubicBezTo>
                  <a:pt x="1" y="1"/>
                  <a:pt x="1" y="0"/>
                  <a:pt x="2"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91" name="Freeform 878"/>
          <xdr:cNvSpPr>
            <a:spLocks noChangeAspect="1"/>
          </xdr:cNvSpPr>
        </xdr:nvSpPr>
        <xdr:spPr bwMode="auto">
          <a:xfrm>
            <a:off x="4225589" y="7237486"/>
            <a:ext cx="0" cy="11514"/>
          </a:xfrm>
          <a:custGeom>
            <a:avLst/>
            <a:gdLst>
              <a:gd name="T0" fmla="*/ 1591 w 3"/>
              <a:gd name="T1" fmla="*/ 3145 h 2"/>
              <a:gd name="T2" fmla="*/ 0 w 3"/>
              <a:gd name="T3" fmla="*/ 1573 h 2"/>
              <a:gd name="T4" fmla="*/ 1591 w 3"/>
              <a:gd name="T5" fmla="*/ 0 h 2"/>
              <a:gd name="T6" fmla="*/ 4774 w 3"/>
              <a:gd name="T7" fmla="*/ 1573 h 2"/>
              <a:gd name="T8" fmla="*/ 1591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2"/>
                </a:moveTo>
                <a:cubicBezTo>
                  <a:pt x="1" y="2"/>
                  <a:pt x="0" y="1"/>
                  <a:pt x="0" y="1"/>
                </a:cubicBezTo>
                <a:cubicBezTo>
                  <a:pt x="0" y="0"/>
                  <a:pt x="1" y="0"/>
                  <a:pt x="1" y="0"/>
                </a:cubicBezTo>
                <a:cubicBezTo>
                  <a:pt x="2" y="0"/>
                  <a:pt x="3" y="0"/>
                  <a:pt x="3" y="1"/>
                </a:cubicBezTo>
                <a:cubicBezTo>
                  <a:pt x="3" y="2"/>
                  <a:pt x="2" y="2"/>
                  <a:pt x="1" y="2"/>
                </a:cubicBezTo>
                <a:close/>
              </a:path>
            </a:pathLst>
          </a:custGeom>
          <a:solidFill>
            <a:schemeClr val="bg1">
              <a:lumMod val="95000"/>
            </a:schemeClr>
          </a:solidFill>
          <a:ln w="3175" cap="rnd">
            <a:solidFill>
              <a:srgbClr val="A5A5A5"/>
            </a:solidFill>
            <a:round/>
            <a:headEnd/>
            <a:tailEnd/>
          </a:ln>
        </xdr:spPr>
      </xdr:sp>
      <xdr:sp macro="" textlink="">
        <xdr:nvSpPr>
          <xdr:cNvPr id="292" name="Freeform 879"/>
          <xdr:cNvSpPr>
            <a:spLocks noChangeAspect="1"/>
          </xdr:cNvSpPr>
        </xdr:nvSpPr>
        <xdr:spPr bwMode="auto">
          <a:xfrm>
            <a:off x="4446278" y="7375653"/>
            <a:ext cx="0" cy="0"/>
          </a:xfrm>
          <a:custGeom>
            <a:avLst/>
            <a:gdLst>
              <a:gd name="T0" fmla="*/ 8487 w 3"/>
              <a:gd name="T1" fmla="*/ 8385 h 3"/>
              <a:gd name="T2" fmla="*/ 2122 w 3"/>
              <a:gd name="T3" fmla="*/ 8385 h 3"/>
              <a:gd name="T4" fmla="*/ 2122 w 3"/>
              <a:gd name="T5" fmla="*/ 2096 h 3"/>
              <a:gd name="T6" fmla="*/ 8487 w 3"/>
              <a:gd name="T7" fmla="*/ 0 h 3"/>
              <a:gd name="T8" fmla="*/ 8487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2" y="2"/>
                  <a:pt x="1" y="3"/>
                  <a:pt x="1" y="2"/>
                </a:cubicBezTo>
                <a:cubicBezTo>
                  <a:pt x="0" y="2"/>
                  <a:pt x="1" y="1"/>
                  <a:pt x="1" y="1"/>
                </a:cubicBezTo>
                <a:cubicBezTo>
                  <a:pt x="1" y="1"/>
                  <a:pt x="2" y="0"/>
                  <a:pt x="2" y="0"/>
                </a:cubicBezTo>
                <a:cubicBezTo>
                  <a:pt x="3" y="1"/>
                  <a:pt x="2" y="2"/>
                  <a:pt x="2" y="2"/>
                </a:cubicBezTo>
                <a:close/>
              </a:path>
            </a:pathLst>
          </a:custGeom>
          <a:solidFill>
            <a:schemeClr val="bg1">
              <a:lumMod val="95000"/>
            </a:schemeClr>
          </a:solidFill>
          <a:ln w="3175" cap="rnd">
            <a:solidFill>
              <a:srgbClr val="A5A5A5"/>
            </a:solidFill>
            <a:round/>
            <a:headEnd/>
            <a:tailEnd/>
          </a:ln>
        </xdr:spPr>
      </xdr:sp>
      <xdr:sp macro="" textlink="">
        <xdr:nvSpPr>
          <xdr:cNvPr id="293" name="Freeform 880"/>
          <xdr:cNvSpPr>
            <a:spLocks noChangeAspect="1"/>
          </xdr:cNvSpPr>
        </xdr:nvSpPr>
        <xdr:spPr bwMode="auto">
          <a:xfrm>
            <a:off x="4424209" y="7387167"/>
            <a:ext cx="11035" cy="0"/>
          </a:xfrm>
          <a:custGeom>
            <a:avLst/>
            <a:gdLst>
              <a:gd name="T0" fmla="*/ 2122 w 3"/>
              <a:gd name="T1" fmla="*/ 3145 h 2"/>
              <a:gd name="T2" fmla="*/ 0 w 3"/>
              <a:gd name="T3" fmla="*/ 3145 h 2"/>
              <a:gd name="T4" fmla="*/ 2122 w 3"/>
              <a:gd name="T5" fmla="*/ 0 h 2"/>
              <a:gd name="T6" fmla="*/ 8487 w 3"/>
              <a:gd name="T7" fmla="*/ 0 h 2"/>
              <a:gd name="T8" fmla="*/ 2122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2"/>
                </a:moveTo>
                <a:cubicBezTo>
                  <a:pt x="1" y="2"/>
                  <a:pt x="0" y="2"/>
                  <a:pt x="0" y="2"/>
                </a:cubicBezTo>
                <a:cubicBezTo>
                  <a:pt x="0" y="1"/>
                  <a:pt x="0" y="0"/>
                  <a:pt x="1" y="0"/>
                </a:cubicBezTo>
                <a:cubicBezTo>
                  <a:pt x="1" y="0"/>
                  <a:pt x="2" y="0"/>
                  <a:pt x="2" y="0"/>
                </a:cubicBezTo>
                <a:cubicBezTo>
                  <a:pt x="3" y="1"/>
                  <a:pt x="2" y="1"/>
                  <a:pt x="1" y="2"/>
                </a:cubicBezTo>
                <a:close/>
              </a:path>
            </a:pathLst>
          </a:custGeom>
          <a:solidFill>
            <a:schemeClr val="bg1">
              <a:lumMod val="95000"/>
            </a:schemeClr>
          </a:solidFill>
          <a:ln w="3175" cap="rnd">
            <a:solidFill>
              <a:srgbClr val="A5A5A5"/>
            </a:solidFill>
            <a:round/>
            <a:headEnd/>
            <a:tailEnd/>
          </a:ln>
        </xdr:spPr>
      </xdr:sp>
      <xdr:sp macro="" textlink="">
        <xdr:nvSpPr>
          <xdr:cNvPr id="294" name="Freeform 975"/>
          <xdr:cNvSpPr>
            <a:spLocks noChangeAspect="1"/>
          </xdr:cNvSpPr>
        </xdr:nvSpPr>
        <xdr:spPr bwMode="auto">
          <a:xfrm>
            <a:off x="4391107" y="7260514"/>
            <a:ext cx="99311" cy="103625"/>
          </a:xfrm>
          <a:custGeom>
            <a:avLst/>
            <a:gdLst>
              <a:gd name="T0" fmla="*/ 67543 w 47"/>
              <a:gd name="T1" fmla="*/ 120751 h 45"/>
              <a:gd name="T2" fmla="*/ 102280 w 47"/>
              <a:gd name="T3" fmla="*/ 122638 h 45"/>
              <a:gd name="T4" fmla="*/ 131227 w 47"/>
              <a:gd name="T5" fmla="*/ 109431 h 45"/>
              <a:gd name="T6" fmla="*/ 131227 w 47"/>
              <a:gd name="T7" fmla="*/ 99997 h 45"/>
              <a:gd name="T8" fmla="*/ 106139 w 47"/>
              <a:gd name="T9" fmla="*/ 98110 h 45"/>
              <a:gd name="T10" fmla="*/ 77192 w 47"/>
              <a:gd name="T11" fmla="*/ 81130 h 45"/>
              <a:gd name="T12" fmla="*/ 40526 w 47"/>
              <a:gd name="T13" fmla="*/ 56602 h 45"/>
              <a:gd name="T14" fmla="*/ 19298 w 47"/>
              <a:gd name="T15" fmla="*/ 37735 h 45"/>
              <a:gd name="T16" fmla="*/ 11579 w 47"/>
              <a:gd name="T17" fmla="*/ 26414 h 45"/>
              <a:gd name="T18" fmla="*/ 15438 w 47"/>
              <a:gd name="T19" fmla="*/ 18867 h 45"/>
              <a:gd name="T20" fmla="*/ 9649 w 47"/>
              <a:gd name="T21" fmla="*/ 1887 h 45"/>
              <a:gd name="T22" fmla="*/ 0 w 47"/>
              <a:gd name="T23" fmla="*/ 0 h 45"/>
              <a:gd name="T24" fmla="*/ 15438 w 47"/>
              <a:gd name="T25" fmla="*/ 109431 h 45"/>
              <a:gd name="T26" fmla="*/ 28947 w 47"/>
              <a:gd name="T27" fmla="*/ 109431 h 45"/>
              <a:gd name="T28" fmla="*/ 40526 w 47"/>
              <a:gd name="T29" fmla="*/ 113204 h 45"/>
              <a:gd name="T30" fmla="*/ 55964 w 47"/>
              <a:gd name="T31" fmla="*/ 113204 h 45"/>
              <a:gd name="T32" fmla="*/ 67543 w 47"/>
              <a:gd name="T33" fmla="*/ 120751 h 4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7"/>
              <a:gd name="T52" fmla="*/ 0 h 45"/>
              <a:gd name="T53" fmla="*/ 47 w 47"/>
              <a:gd name="T54" fmla="*/ 45 h 4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7" h="45">
                <a:moveTo>
                  <a:pt x="24" y="44"/>
                </a:moveTo>
                <a:cubicBezTo>
                  <a:pt x="28" y="44"/>
                  <a:pt x="32" y="45"/>
                  <a:pt x="36" y="45"/>
                </a:cubicBezTo>
                <a:cubicBezTo>
                  <a:pt x="40" y="44"/>
                  <a:pt x="43" y="43"/>
                  <a:pt x="46" y="40"/>
                </a:cubicBezTo>
                <a:cubicBezTo>
                  <a:pt x="47" y="40"/>
                  <a:pt x="47" y="38"/>
                  <a:pt x="46" y="37"/>
                </a:cubicBezTo>
                <a:cubicBezTo>
                  <a:pt x="43" y="36"/>
                  <a:pt x="40" y="37"/>
                  <a:pt x="37" y="36"/>
                </a:cubicBezTo>
                <a:cubicBezTo>
                  <a:pt x="33" y="35"/>
                  <a:pt x="30" y="32"/>
                  <a:pt x="27" y="30"/>
                </a:cubicBezTo>
                <a:cubicBezTo>
                  <a:pt x="22" y="27"/>
                  <a:pt x="18" y="25"/>
                  <a:pt x="14" y="21"/>
                </a:cubicBezTo>
                <a:cubicBezTo>
                  <a:pt x="11" y="19"/>
                  <a:pt x="9" y="16"/>
                  <a:pt x="7" y="14"/>
                </a:cubicBezTo>
                <a:cubicBezTo>
                  <a:pt x="6" y="13"/>
                  <a:pt x="4" y="12"/>
                  <a:pt x="4" y="10"/>
                </a:cubicBezTo>
                <a:cubicBezTo>
                  <a:pt x="4" y="9"/>
                  <a:pt x="7" y="9"/>
                  <a:pt x="6" y="7"/>
                </a:cubicBezTo>
                <a:cubicBezTo>
                  <a:pt x="6" y="5"/>
                  <a:pt x="5" y="3"/>
                  <a:pt x="3" y="1"/>
                </a:cubicBezTo>
                <a:cubicBezTo>
                  <a:pt x="2" y="1"/>
                  <a:pt x="1" y="0"/>
                  <a:pt x="0" y="0"/>
                </a:cubicBezTo>
                <a:cubicBezTo>
                  <a:pt x="2" y="13"/>
                  <a:pt x="4" y="27"/>
                  <a:pt x="6" y="40"/>
                </a:cubicBezTo>
                <a:cubicBezTo>
                  <a:pt x="7" y="40"/>
                  <a:pt x="9" y="40"/>
                  <a:pt x="10" y="40"/>
                </a:cubicBezTo>
                <a:cubicBezTo>
                  <a:pt x="12" y="41"/>
                  <a:pt x="13" y="42"/>
                  <a:pt x="14" y="42"/>
                </a:cubicBezTo>
                <a:cubicBezTo>
                  <a:pt x="16" y="42"/>
                  <a:pt x="18" y="42"/>
                  <a:pt x="20" y="42"/>
                </a:cubicBezTo>
                <a:cubicBezTo>
                  <a:pt x="21" y="43"/>
                  <a:pt x="23" y="43"/>
                  <a:pt x="24" y="44"/>
                </a:cubicBezTo>
                <a:close/>
              </a:path>
            </a:pathLst>
          </a:custGeom>
          <a:solidFill>
            <a:schemeClr val="bg1">
              <a:lumMod val="95000"/>
            </a:schemeClr>
          </a:solidFill>
          <a:ln w="3175" cap="rnd">
            <a:solidFill>
              <a:srgbClr val="A5A5A5"/>
            </a:solidFill>
            <a:round/>
            <a:headEnd/>
            <a:tailEnd/>
          </a:ln>
        </xdr:spPr>
      </xdr:sp>
      <xdr:sp macro="" textlink="">
        <xdr:nvSpPr>
          <xdr:cNvPr id="295" name="Freeform 976"/>
          <xdr:cNvSpPr>
            <a:spLocks noChangeAspect="1"/>
          </xdr:cNvSpPr>
        </xdr:nvSpPr>
        <xdr:spPr bwMode="auto">
          <a:xfrm>
            <a:off x="4413175" y="7352625"/>
            <a:ext cx="33104" cy="23028"/>
          </a:xfrm>
          <a:custGeom>
            <a:avLst/>
            <a:gdLst>
              <a:gd name="T0" fmla="*/ 26328 w 11"/>
              <a:gd name="T1" fmla="*/ 3594 h 7"/>
              <a:gd name="T2" fmla="*/ 26328 w 11"/>
              <a:gd name="T3" fmla="*/ 16172 h 7"/>
              <a:gd name="T4" fmla="*/ 15044 w 11"/>
              <a:gd name="T5" fmla="*/ 12578 h 7"/>
              <a:gd name="T6" fmla="*/ 1881 w 11"/>
              <a:gd name="T7" fmla="*/ 14375 h 7"/>
              <a:gd name="T8" fmla="*/ 0 w 11"/>
              <a:gd name="T9" fmla="*/ 5391 h 7"/>
              <a:gd name="T10" fmla="*/ 0 w 11"/>
              <a:gd name="T11" fmla="*/ 0 h 7"/>
              <a:gd name="T12" fmla="*/ 15044 w 11"/>
              <a:gd name="T13" fmla="*/ 0 h 7"/>
              <a:gd name="T14" fmla="*/ 26328 w 11"/>
              <a:gd name="T15" fmla="*/ 3594 h 7"/>
              <a:gd name="T16" fmla="*/ 0 60000 65536"/>
              <a:gd name="T17" fmla="*/ 0 60000 65536"/>
              <a:gd name="T18" fmla="*/ 0 60000 65536"/>
              <a:gd name="T19" fmla="*/ 0 60000 65536"/>
              <a:gd name="T20" fmla="*/ 0 60000 65536"/>
              <a:gd name="T21" fmla="*/ 0 60000 65536"/>
              <a:gd name="T22" fmla="*/ 0 60000 65536"/>
              <a:gd name="T23" fmla="*/ 0 60000 65536"/>
              <a:gd name="T24" fmla="*/ 0 w 11"/>
              <a:gd name="T25" fmla="*/ 0 h 7"/>
              <a:gd name="T26" fmla="*/ 11 w 11"/>
              <a:gd name="T27" fmla="*/ 7 h 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1" h="7">
                <a:moveTo>
                  <a:pt x="10" y="2"/>
                </a:moveTo>
                <a:cubicBezTo>
                  <a:pt x="10" y="3"/>
                  <a:pt x="11" y="6"/>
                  <a:pt x="10" y="7"/>
                </a:cubicBezTo>
                <a:cubicBezTo>
                  <a:pt x="9" y="7"/>
                  <a:pt x="7" y="5"/>
                  <a:pt x="6" y="5"/>
                </a:cubicBezTo>
                <a:cubicBezTo>
                  <a:pt x="4" y="4"/>
                  <a:pt x="3" y="6"/>
                  <a:pt x="1" y="6"/>
                </a:cubicBezTo>
                <a:cubicBezTo>
                  <a:pt x="0" y="5"/>
                  <a:pt x="0" y="4"/>
                  <a:pt x="0" y="3"/>
                </a:cubicBezTo>
                <a:cubicBezTo>
                  <a:pt x="0" y="2"/>
                  <a:pt x="0" y="1"/>
                  <a:pt x="0" y="0"/>
                </a:cubicBezTo>
                <a:cubicBezTo>
                  <a:pt x="2" y="0"/>
                  <a:pt x="4" y="0"/>
                  <a:pt x="6" y="0"/>
                </a:cubicBezTo>
                <a:cubicBezTo>
                  <a:pt x="7" y="1"/>
                  <a:pt x="9" y="1"/>
                  <a:pt x="10" y="2"/>
                </a:cubicBezTo>
                <a:close/>
              </a:path>
            </a:pathLst>
          </a:custGeom>
          <a:solidFill>
            <a:schemeClr val="bg1">
              <a:lumMod val="95000"/>
            </a:schemeClr>
          </a:solidFill>
          <a:ln w="3175" cap="rnd">
            <a:solidFill>
              <a:srgbClr val="A5A5A5"/>
            </a:solidFill>
            <a:round/>
            <a:headEnd/>
            <a:tailEnd/>
          </a:ln>
        </xdr:spPr>
      </xdr:sp>
      <xdr:sp macro="" textlink="">
        <xdr:nvSpPr>
          <xdr:cNvPr id="296" name="Freeform 977"/>
          <xdr:cNvSpPr>
            <a:spLocks noChangeAspect="1"/>
          </xdr:cNvSpPr>
        </xdr:nvSpPr>
        <xdr:spPr bwMode="auto">
          <a:xfrm>
            <a:off x="4280762" y="7214459"/>
            <a:ext cx="88276" cy="92111"/>
          </a:xfrm>
          <a:custGeom>
            <a:avLst/>
            <a:gdLst>
              <a:gd name="T0" fmla="*/ 112611 w 40"/>
              <a:gd name="T1" fmla="*/ 31944 h 41"/>
              <a:gd name="T2" fmla="*/ 100962 w 40"/>
              <a:gd name="T3" fmla="*/ 41340 h 41"/>
              <a:gd name="T4" fmla="*/ 69897 w 40"/>
              <a:gd name="T5" fmla="*/ 48856 h 41"/>
              <a:gd name="T6" fmla="*/ 66014 w 40"/>
              <a:gd name="T7" fmla="*/ 71405 h 41"/>
              <a:gd name="T8" fmla="*/ 69897 w 40"/>
              <a:gd name="T9" fmla="*/ 101470 h 41"/>
              <a:gd name="T10" fmla="*/ 54364 w 40"/>
              <a:gd name="T11" fmla="*/ 110865 h 41"/>
              <a:gd name="T12" fmla="*/ 31065 w 40"/>
              <a:gd name="T13" fmla="*/ 92075 h 41"/>
              <a:gd name="T14" fmla="*/ 23299 w 40"/>
              <a:gd name="T15" fmla="*/ 80800 h 41"/>
              <a:gd name="T16" fmla="*/ 31065 w 40"/>
              <a:gd name="T17" fmla="*/ 73284 h 41"/>
              <a:gd name="T18" fmla="*/ 31065 w 40"/>
              <a:gd name="T19" fmla="*/ 84558 h 41"/>
              <a:gd name="T20" fmla="*/ 38832 w 40"/>
              <a:gd name="T21" fmla="*/ 82679 h 41"/>
              <a:gd name="T22" fmla="*/ 46598 w 40"/>
              <a:gd name="T23" fmla="*/ 69526 h 41"/>
              <a:gd name="T24" fmla="*/ 56306 w 40"/>
              <a:gd name="T25" fmla="*/ 54493 h 41"/>
              <a:gd name="T26" fmla="*/ 44656 w 40"/>
              <a:gd name="T27" fmla="*/ 48856 h 41"/>
              <a:gd name="T28" fmla="*/ 42715 w 40"/>
              <a:gd name="T29" fmla="*/ 43219 h 41"/>
              <a:gd name="T30" fmla="*/ 13591 w 40"/>
              <a:gd name="T31" fmla="*/ 43219 h 41"/>
              <a:gd name="T32" fmla="*/ 11649 w 40"/>
              <a:gd name="T33" fmla="*/ 48856 h 41"/>
              <a:gd name="T34" fmla="*/ 1942 w 40"/>
              <a:gd name="T35" fmla="*/ 41340 h 41"/>
              <a:gd name="T36" fmla="*/ 1942 w 40"/>
              <a:gd name="T37" fmla="*/ 35702 h 41"/>
              <a:gd name="T38" fmla="*/ 11649 w 40"/>
              <a:gd name="T39" fmla="*/ 30065 h 41"/>
              <a:gd name="T40" fmla="*/ 9708 w 40"/>
              <a:gd name="T41" fmla="*/ 18791 h 41"/>
              <a:gd name="T42" fmla="*/ 1942 w 40"/>
              <a:gd name="T43" fmla="*/ 11274 h 41"/>
              <a:gd name="T44" fmla="*/ 11649 w 40"/>
              <a:gd name="T45" fmla="*/ 0 h 41"/>
              <a:gd name="T46" fmla="*/ 25240 w 40"/>
              <a:gd name="T47" fmla="*/ 24428 h 41"/>
              <a:gd name="T48" fmla="*/ 85429 w 40"/>
              <a:gd name="T49" fmla="*/ 24428 h 41"/>
              <a:gd name="T50" fmla="*/ 112611 w 40"/>
              <a:gd name="T51" fmla="*/ 31944 h 41"/>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40"/>
              <a:gd name="T79" fmla="*/ 0 h 41"/>
              <a:gd name="T80" fmla="*/ 40 w 40"/>
              <a:gd name="T81" fmla="*/ 41 h 41"/>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40" h="41">
                <a:moveTo>
                  <a:pt x="40" y="12"/>
                </a:moveTo>
                <a:cubicBezTo>
                  <a:pt x="39" y="13"/>
                  <a:pt x="38" y="15"/>
                  <a:pt x="36" y="15"/>
                </a:cubicBezTo>
                <a:cubicBezTo>
                  <a:pt x="33" y="17"/>
                  <a:pt x="28" y="16"/>
                  <a:pt x="25" y="18"/>
                </a:cubicBezTo>
                <a:cubicBezTo>
                  <a:pt x="23" y="20"/>
                  <a:pt x="23" y="24"/>
                  <a:pt x="23" y="27"/>
                </a:cubicBezTo>
                <a:cubicBezTo>
                  <a:pt x="22" y="31"/>
                  <a:pt x="26" y="35"/>
                  <a:pt x="25" y="38"/>
                </a:cubicBezTo>
                <a:cubicBezTo>
                  <a:pt x="24" y="40"/>
                  <a:pt x="21" y="41"/>
                  <a:pt x="19" y="41"/>
                </a:cubicBezTo>
                <a:cubicBezTo>
                  <a:pt x="16" y="39"/>
                  <a:pt x="13" y="36"/>
                  <a:pt x="11" y="34"/>
                </a:cubicBezTo>
                <a:cubicBezTo>
                  <a:pt x="10" y="33"/>
                  <a:pt x="8" y="32"/>
                  <a:pt x="8" y="30"/>
                </a:cubicBezTo>
                <a:cubicBezTo>
                  <a:pt x="8" y="29"/>
                  <a:pt x="10" y="28"/>
                  <a:pt x="11" y="28"/>
                </a:cubicBezTo>
                <a:cubicBezTo>
                  <a:pt x="12" y="29"/>
                  <a:pt x="11" y="31"/>
                  <a:pt x="11" y="32"/>
                </a:cubicBezTo>
                <a:cubicBezTo>
                  <a:pt x="12" y="33"/>
                  <a:pt x="14" y="32"/>
                  <a:pt x="14" y="31"/>
                </a:cubicBezTo>
                <a:cubicBezTo>
                  <a:pt x="16" y="30"/>
                  <a:pt x="17" y="28"/>
                  <a:pt x="17" y="26"/>
                </a:cubicBezTo>
                <a:cubicBezTo>
                  <a:pt x="18" y="24"/>
                  <a:pt x="20" y="22"/>
                  <a:pt x="20" y="20"/>
                </a:cubicBezTo>
                <a:cubicBezTo>
                  <a:pt x="20" y="19"/>
                  <a:pt x="17" y="19"/>
                  <a:pt x="16" y="18"/>
                </a:cubicBezTo>
                <a:cubicBezTo>
                  <a:pt x="15" y="18"/>
                  <a:pt x="15" y="16"/>
                  <a:pt x="15" y="16"/>
                </a:cubicBezTo>
                <a:cubicBezTo>
                  <a:pt x="12" y="15"/>
                  <a:pt x="8" y="15"/>
                  <a:pt x="5" y="16"/>
                </a:cubicBezTo>
                <a:cubicBezTo>
                  <a:pt x="4" y="16"/>
                  <a:pt x="5" y="18"/>
                  <a:pt x="4" y="18"/>
                </a:cubicBezTo>
                <a:cubicBezTo>
                  <a:pt x="3" y="18"/>
                  <a:pt x="2" y="16"/>
                  <a:pt x="1" y="15"/>
                </a:cubicBezTo>
                <a:cubicBezTo>
                  <a:pt x="0" y="15"/>
                  <a:pt x="0" y="14"/>
                  <a:pt x="1" y="13"/>
                </a:cubicBezTo>
                <a:cubicBezTo>
                  <a:pt x="2" y="12"/>
                  <a:pt x="4" y="13"/>
                  <a:pt x="4" y="11"/>
                </a:cubicBezTo>
                <a:cubicBezTo>
                  <a:pt x="5" y="10"/>
                  <a:pt x="3" y="8"/>
                  <a:pt x="3" y="7"/>
                </a:cubicBezTo>
                <a:cubicBezTo>
                  <a:pt x="2" y="6"/>
                  <a:pt x="1" y="5"/>
                  <a:pt x="1" y="4"/>
                </a:cubicBezTo>
                <a:cubicBezTo>
                  <a:pt x="1" y="3"/>
                  <a:pt x="3" y="2"/>
                  <a:pt x="4" y="0"/>
                </a:cubicBezTo>
                <a:cubicBezTo>
                  <a:pt x="5" y="3"/>
                  <a:pt x="6" y="8"/>
                  <a:pt x="9" y="9"/>
                </a:cubicBezTo>
                <a:cubicBezTo>
                  <a:pt x="16" y="11"/>
                  <a:pt x="23" y="8"/>
                  <a:pt x="31" y="9"/>
                </a:cubicBezTo>
                <a:cubicBezTo>
                  <a:pt x="34" y="9"/>
                  <a:pt x="37" y="11"/>
                  <a:pt x="40" y="12"/>
                </a:cubicBezTo>
                <a:close/>
              </a:path>
            </a:pathLst>
          </a:custGeom>
          <a:solidFill>
            <a:schemeClr val="bg1">
              <a:lumMod val="95000"/>
            </a:schemeClr>
          </a:solidFill>
          <a:ln w="3175" cap="rnd">
            <a:solidFill>
              <a:srgbClr val="A5A5A5"/>
            </a:solidFill>
            <a:round/>
            <a:headEnd/>
            <a:tailEnd/>
          </a:ln>
        </xdr:spPr>
      </xdr:sp>
      <xdr:sp macro="" textlink="">
        <xdr:nvSpPr>
          <xdr:cNvPr id="297" name="Freeform 978"/>
          <xdr:cNvSpPr>
            <a:spLocks noChangeAspect="1"/>
          </xdr:cNvSpPr>
        </xdr:nvSpPr>
        <xdr:spPr bwMode="auto">
          <a:xfrm>
            <a:off x="4358003" y="7352625"/>
            <a:ext cx="66207" cy="34542"/>
          </a:xfrm>
          <a:custGeom>
            <a:avLst/>
            <a:gdLst>
              <a:gd name="T0" fmla="*/ 1978 w 28"/>
              <a:gd name="T1" fmla="*/ 14798 h 17"/>
              <a:gd name="T2" fmla="*/ 37583 w 28"/>
              <a:gd name="T3" fmla="*/ 3700 h 17"/>
              <a:gd name="T4" fmla="*/ 57363 w 28"/>
              <a:gd name="T5" fmla="*/ 1850 h 17"/>
              <a:gd name="T6" fmla="*/ 55385 w 28"/>
              <a:gd name="T7" fmla="*/ 11099 h 17"/>
              <a:gd name="T8" fmla="*/ 41539 w 28"/>
              <a:gd name="T9" fmla="*/ 11099 h 17"/>
              <a:gd name="T10" fmla="*/ 63297 w 28"/>
              <a:gd name="T11" fmla="*/ 12948 h 17"/>
              <a:gd name="T12" fmla="*/ 55385 w 28"/>
              <a:gd name="T13" fmla="*/ 16648 h 17"/>
              <a:gd name="T14" fmla="*/ 71209 w 28"/>
              <a:gd name="T15" fmla="*/ 25897 h 17"/>
              <a:gd name="T16" fmla="*/ 77143 w 28"/>
              <a:gd name="T17" fmla="*/ 40695 h 17"/>
              <a:gd name="T18" fmla="*/ 65275 w 28"/>
              <a:gd name="T19" fmla="*/ 29596 h 17"/>
              <a:gd name="T20" fmla="*/ 51429 w 28"/>
              <a:gd name="T21" fmla="*/ 29596 h 17"/>
              <a:gd name="T22" fmla="*/ 45495 w 28"/>
              <a:gd name="T23" fmla="*/ 14798 h 17"/>
              <a:gd name="T24" fmla="*/ 37583 w 28"/>
              <a:gd name="T25" fmla="*/ 16648 h 17"/>
              <a:gd name="T26" fmla="*/ 25714 w 28"/>
              <a:gd name="T27" fmla="*/ 16648 h 17"/>
              <a:gd name="T28" fmla="*/ 37583 w 28"/>
              <a:gd name="T29" fmla="*/ 33296 h 17"/>
              <a:gd name="T30" fmla="*/ 23736 w 28"/>
              <a:gd name="T31" fmla="*/ 33296 h 17"/>
              <a:gd name="T32" fmla="*/ 17802 w 28"/>
              <a:gd name="T33" fmla="*/ 16648 h 17"/>
              <a:gd name="T34" fmla="*/ 1978 w 28"/>
              <a:gd name="T35" fmla="*/ 14798 h 17"/>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8"/>
              <a:gd name="T55" fmla="*/ 0 h 17"/>
              <a:gd name="T56" fmla="*/ 28 w 28"/>
              <a:gd name="T57" fmla="*/ 17 h 17"/>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8" h="17">
                <a:moveTo>
                  <a:pt x="1" y="6"/>
                </a:moveTo>
                <a:cubicBezTo>
                  <a:pt x="4" y="3"/>
                  <a:pt x="9" y="3"/>
                  <a:pt x="13" y="2"/>
                </a:cubicBezTo>
                <a:cubicBezTo>
                  <a:pt x="15" y="1"/>
                  <a:pt x="18" y="0"/>
                  <a:pt x="20" y="1"/>
                </a:cubicBezTo>
                <a:cubicBezTo>
                  <a:pt x="21" y="1"/>
                  <a:pt x="20" y="3"/>
                  <a:pt x="19" y="4"/>
                </a:cubicBezTo>
                <a:cubicBezTo>
                  <a:pt x="17" y="4"/>
                  <a:pt x="12" y="2"/>
                  <a:pt x="14" y="4"/>
                </a:cubicBezTo>
                <a:cubicBezTo>
                  <a:pt x="16" y="5"/>
                  <a:pt x="19" y="4"/>
                  <a:pt x="21" y="5"/>
                </a:cubicBezTo>
                <a:cubicBezTo>
                  <a:pt x="22" y="6"/>
                  <a:pt x="18" y="6"/>
                  <a:pt x="19" y="7"/>
                </a:cubicBezTo>
                <a:cubicBezTo>
                  <a:pt x="20" y="9"/>
                  <a:pt x="23" y="8"/>
                  <a:pt x="25" y="10"/>
                </a:cubicBezTo>
                <a:cubicBezTo>
                  <a:pt x="26" y="11"/>
                  <a:pt x="28" y="15"/>
                  <a:pt x="26" y="16"/>
                </a:cubicBezTo>
                <a:cubicBezTo>
                  <a:pt x="25" y="17"/>
                  <a:pt x="24" y="13"/>
                  <a:pt x="22" y="12"/>
                </a:cubicBezTo>
                <a:cubicBezTo>
                  <a:pt x="21" y="11"/>
                  <a:pt x="18" y="13"/>
                  <a:pt x="17" y="12"/>
                </a:cubicBezTo>
                <a:cubicBezTo>
                  <a:pt x="16" y="10"/>
                  <a:pt x="17" y="8"/>
                  <a:pt x="16" y="6"/>
                </a:cubicBezTo>
                <a:cubicBezTo>
                  <a:pt x="15" y="5"/>
                  <a:pt x="14" y="7"/>
                  <a:pt x="13" y="7"/>
                </a:cubicBezTo>
                <a:cubicBezTo>
                  <a:pt x="12" y="7"/>
                  <a:pt x="9" y="6"/>
                  <a:pt x="9" y="7"/>
                </a:cubicBezTo>
                <a:cubicBezTo>
                  <a:pt x="9" y="9"/>
                  <a:pt x="13" y="11"/>
                  <a:pt x="13" y="13"/>
                </a:cubicBezTo>
                <a:cubicBezTo>
                  <a:pt x="12" y="14"/>
                  <a:pt x="9" y="14"/>
                  <a:pt x="8" y="13"/>
                </a:cubicBezTo>
                <a:cubicBezTo>
                  <a:pt x="7" y="11"/>
                  <a:pt x="8" y="9"/>
                  <a:pt x="6" y="7"/>
                </a:cubicBezTo>
                <a:cubicBezTo>
                  <a:pt x="5" y="6"/>
                  <a:pt x="0" y="7"/>
                  <a:pt x="1" y="6"/>
                </a:cubicBezTo>
                <a:close/>
              </a:path>
            </a:pathLst>
          </a:custGeom>
          <a:solidFill>
            <a:schemeClr val="bg1">
              <a:lumMod val="95000"/>
            </a:schemeClr>
          </a:solidFill>
          <a:ln w="3175" cap="rnd">
            <a:solidFill>
              <a:srgbClr val="A5A5A5"/>
            </a:solidFill>
            <a:round/>
            <a:headEnd/>
            <a:tailEnd/>
          </a:ln>
        </xdr:spPr>
      </xdr:sp>
      <xdr:sp macro="" textlink="">
        <xdr:nvSpPr>
          <xdr:cNvPr id="298" name="Freeform 979"/>
          <xdr:cNvSpPr>
            <a:spLocks noChangeAspect="1"/>
          </xdr:cNvSpPr>
        </xdr:nvSpPr>
        <xdr:spPr bwMode="auto">
          <a:xfrm>
            <a:off x="4258693" y="7295056"/>
            <a:ext cx="44138" cy="34542"/>
          </a:xfrm>
          <a:custGeom>
            <a:avLst/>
            <a:gdLst>
              <a:gd name="T0" fmla="*/ 22914 w 20"/>
              <a:gd name="T1" fmla="*/ 0 h 15"/>
              <a:gd name="T2" fmla="*/ 42009 w 20"/>
              <a:gd name="T3" fmla="*/ 11320 h 15"/>
              <a:gd name="T4" fmla="*/ 53466 w 20"/>
              <a:gd name="T5" fmla="*/ 22641 h 15"/>
              <a:gd name="T6" fmla="*/ 45828 w 20"/>
              <a:gd name="T7" fmla="*/ 35848 h 15"/>
              <a:gd name="T8" fmla="*/ 36281 w 20"/>
              <a:gd name="T9" fmla="*/ 26414 h 15"/>
              <a:gd name="T10" fmla="*/ 32462 w 20"/>
              <a:gd name="T11" fmla="*/ 41508 h 15"/>
              <a:gd name="T12" fmla="*/ 26733 w 20"/>
              <a:gd name="T13" fmla="*/ 30188 h 15"/>
              <a:gd name="T14" fmla="*/ 19095 w 20"/>
              <a:gd name="T15" fmla="*/ 32074 h 15"/>
              <a:gd name="T16" fmla="*/ 15276 w 20"/>
              <a:gd name="T17" fmla="*/ 15094 h 15"/>
              <a:gd name="T18" fmla="*/ 0 w 20"/>
              <a:gd name="T19" fmla="*/ 1887 h 15"/>
              <a:gd name="T20" fmla="*/ 3819 w 20"/>
              <a:gd name="T21" fmla="*/ 0 h 15"/>
              <a:gd name="T22" fmla="*/ 19095 w 20"/>
              <a:gd name="T23" fmla="*/ 3773 h 15"/>
              <a:gd name="T24" fmla="*/ 22914 w 20"/>
              <a:gd name="T25" fmla="*/ 0 h 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0"/>
              <a:gd name="T40" fmla="*/ 0 h 15"/>
              <a:gd name="T41" fmla="*/ 20 w 20"/>
              <a:gd name="T42" fmla="*/ 15 h 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0" h="15">
                <a:moveTo>
                  <a:pt x="8" y="0"/>
                </a:moveTo>
                <a:cubicBezTo>
                  <a:pt x="11" y="1"/>
                  <a:pt x="13" y="2"/>
                  <a:pt x="15" y="4"/>
                </a:cubicBezTo>
                <a:cubicBezTo>
                  <a:pt x="17" y="5"/>
                  <a:pt x="19" y="6"/>
                  <a:pt x="19" y="8"/>
                </a:cubicBezTo>
                <a:cubicBezTo>
                  <a:pt x="20" y="10"/>
                  <a:pt x="19" y="12"/>
                  <a:pt x="17" y="13"/>
                </a:cubicBezTo>
                <a:cubicBezTo>
                  <a:pt x="16" y="13"/>
                  <a:pt x="15" y="10"/>
                  <a:pt x="13" y="10"/>
                </a:cubicBezTo>
                <a:cubicBezTo>
                  <a:pt x="12" y="11"/>
                  <a:pt x="13" y="14"/>
                  <a:pt x="12" y="15"/>
                </a:cubicBezTo>
                <a:cubicBezTo>
                  <a:pt x="10" y="15"/>
                  <a:pt x="11" y="12"/>
                  <a:pt x="10" y="11"/>
                </a:cubicBezTo>
                <a:cubicBezTo>
                  <a:pt x="9" y="11"/>
                  <a:pt x="7" y="13"/>
                  <a:pt x="7" y="12"/>
                </a:cubicBezTo>
                <a:cubicBezTo>
                  <a:pt x="5" y="10"/>
                  <a:pt x="7" y="8"/>
                  <a:pt x="6" y="6"/>
                </a:cubicBezTo>
                <a:cubicBezTo>
                  <a:pt x="5" y="4"/>
                  <a:pt x="2" y="3"/>
                  <a:pt x="0" y="1"/>
                </a:cubicBezTo>
                <a:cubicBezTo>
                  <a:pt x="0" y="1"/>
                  <a:pt x="1" y="0"/>
                  <a:pt x="2" y="0"/>
                </a:cubicBezTo>
                <a:cubicBezTo>
                  <a:pt x="4" y="0"/>
                  <a:pt x="5" y="1"/>
                  <a:pt x="7" y="2"/>
                </a:cubicBezTo>
                <a:cubicBezTo>
                  <a:pt x="8" y="2"/>
                  <a:pt x="8" y="0"/>
                  <a:pt x="8" y="0"/>
                </a:cubicBezTo>
                <a:close/>
              </a:path>
            </a:pathLst>
          </a:custGeom>
          <a:solidFill>
            <a:schemeClr val="bg1">
              <a:lumMod val="95000"/>
            </a:schemeClr>
          </a:solidFill>
          <a:ln w="3175" cap="rnd">
            <a:solidFill>
              <a:srgbClr val="A5A5A5"/>
            </a:solidFill>
            <a:round/>
            <a:headEnd/>
            <a:tailEnd/>
          </a:ln>
        </xdr:spPr>
      </xdr:sp>
      <xdr:sp macro="" textlink="">
        <xdr:nvSpPr>
          <xdr:cNvPr id="299" name="Freeform 980"/>
          <xdr:cNvSpPr>
            <a:spLocks noChangeAspect="1"/>
          </xdr:cNvSpPr>
        </xdr:nvSpPr>
        <xdr:spPr bwMode="auto">
          <a:xfrm>
            <a:off x="4335934" y="7295056"/>
            <a:ext cx="22069" cy="34542"/>
          </a:xfrm>
          <a:custGeom>
            <a:avLst/>
            <a:gdLst>
              <a:gd name="T0" fmla="*/ 8183 w 7"/>
              <a:gd name="T1" fmla="*/ 1887 h 15"/>
              <a:gd name="T2" fmla="*/ 12275 w 7"/>
              <a:gd name="T3" fmla="*/ 30188 h 15"/>
              <a:gd name="T4" fmla="*/ 16367 w 7"/>
              <a:gd name="T5" fmla="*/ 41508 h 15"/>
              <a:gd name="T6" fmla="*/ 0 w 7"/>
              <a:gd name="T7" fmla="*/ 26414 h 15"/>
              <a:gd name="T8" fmla="*/ 2046 w 7"/>
              <a:gd name="T9" fmla="*/ 18867 h 15"/>
              <a:gd name="T10" fmla="*/ 8183 w 7"/>
              <a:gd name="T11" fmla="*/ 1887 h 15"/>
              <a:gd name="T12" fmla="*/ 0 60000 65536"/>
              <a:gd name="T13" fmla="*/ 0 60000 65536"/>
              <a:gd name="T14" fmla="*/ 0 60000 65536"/>
              <a:gd name="T15" fmla="*/ 0 60000 65536"/>
              <a:gd name="T16" fmla="*/ 0 60000 65536"/>
              <a:gd name="T17" fmla="*/ 0 60000 65536"/>
              <a:gd name="T18" fmla="*/ 0 w 7"/>
              <a:gd name="T19" fmla="*/ 0 h 15"/>
              <a:gd name="T20" fmla="*/ 7 w 7"/>
              <a:gd name="T21" fmla="*/ 15 h 15"/>
            </a:gdLst>
            <a:ahLst/>
            <a:cxnLst>
              <a:cxn ang="T12">
                <a:pos x="T0" y="T1"/>
              </a:cxn>
              <a:cxn ang="T13">
                <a:pos x="T2" y="T3"/>
              </a:cxn>
              <a:cxn ang="T14">
                <a:pos x="T4" y="T5"/>
              </a:cxn>
              <a:cxn ang="T15">
                <a:pos x="T6" y="T7"/>
              </a:cxn>
              <a:cxn ang="T16">
                <a:pos x="T8" y="T9"/>
              </a:cxn>
              <a:cxn ang="T17">
                <a:pos x="T10" y="T11"/>
              </a:cxn>
            </a:cxnLst>
            <a:rect l="T18" t="T19" r="T20" b="T21"/>
            <a:pathLst>
              <a:path w="7" h="15">
                <a:moveTo>
                  <a:pt x="2" y="1"/>
                </a:moveTo>
                <a:cubicBezTo>
                  <a:pt x="4" y="4"/>
                  <a:pt x="3" y="8"/>
                  <a:pt x="4" y="11"/>
                </a:cubicBezTo>
                <a:cubicBezTo>
                  <a:pt x="4" y="12"/>
                  <a:pt x="7" y="15"/>
                  <a:pt x="5" y="15"/>
                </a:cubicBezTo>
                <a:cubicBezTo>
                  <a:pt x="3" y="14"/>
                  <a:pt x="2" y="12"/>
                  <a:pt x="0" y="10"/>
                </a:cubicBezTo>
                <a:cubicBezTo>
                  <a:pt x="0" y="9"/>
                  <a:pt x="1" y="8"/>
                  <a:pt x="1" y="7"/>
                </a:cubicBezTo>
                <a:cubicBezTo>
                  <a:pt x="1" y="5"/>
                  <a:pt x="0" y="0"/>
                  <a:pt x="2" y="1"/>
                </a:cubicBezTo>
                <a:close/>
              </a:path>
            </a:pathLst>
          </a:custGeom>
          <a:solidFill>
            <a:schemeClr val="bg1">
              <a:lumMod val="95000"/>
            </a:schemeClr>
          </a:solidFill>
          <a:ln w="3175" cap="rnd">
            <a:solidFill>
              <a:srgbClr val="A5A5A5"/>
            </a:solidFill>
            <a:round/>
            <a:headEnd/>
            <a:tailEnd/>
          </a:ln>
        </xdr:spPr>
      </xdr:sp>
      <xdr:sp macro="" textlink="">
        <xdr:nvSpPr>
          <xdr:cNvPr id="300" name="Freeform 981"/>
          <xdr:cNvSpPr>
            <a:spLocks noChangeAspect="1"/>
          </xdr:cNvSpPr>
        </xdr:nvSpPr>
        <xdr:spPr bwMode="auto">
          <a:xfrm>
            <a:off x="4302831" y="7306569"/>
            <a:ext cx="22069" cy="23028"/>
          </a:xfrm>
          <a:custGeom>
            <a:avLst/>
            <a:gdLst>
              <a:gd name="T0" fmla="*/ 1989 w 8"/>
              <a:gd name="T1" fmla="*/ 9608 h 9"/>
              <a:gd name="T2" fmla="*/ 17901 w 8"/>
              <a:gd name="T3" fmla="*/ 1922 h 9"/>
              <a:gd name="T4" fmla="*/ 21879 w 8"/>
              <a:gd name="T5" fmla="*/ 23060 h 9"/>
              <a:gd name="T6" fmla="*/ 7956 w 8"/>
              <a:gd name="T7" fmla="*/ 21138 h 9"/>
              <a:gd name="T8" fmla="*/ 1989 w 8"/>
              <a:gd name="T9" fmla="*/ 9608 h 9"/>
              <a:gd name="T10" fmla="*/ 0 60000 65536"/>
              <a:gd name="T11" fmla="*/ 0 60000 65536"/>
              <a:gd name="T12" fmla="*/ 0 60000 65536"/>
              <a:gd name="T13" fmla="*/ 0 60000 65536"/>
              <a:gd name="T14" fmla="*/ 0 60000 65536"/>
              <a:gd name="T15" fmla="*/ 0 w 8"/>
              <a:gd name="T16" fmla="*/ 0 h 9"/>
              <a:gd name="T17" fmla="*/ 8 w 8"/>
              <a:gd name="T18" fmla="*/ 9 h 9"/>
            </a:gdLst>
            <a:ahLst/>
            <a:cxnLst>
              <a:cxn ang="T10">
                <a:pos x="T0" y="T1"/>
              </a:cxn>
              <a:cxn ang="T11">
                <a:pos x="T2" y="T3"/>
              </a:cxn>
              <a:cxn ang="T12">
                <a:pos x="T4" y="T5"/>
              </a:cxn>
              <a:cxn ang="T13">
                <a:pos x="T6" y="T7"/>
              </a:cxn>
              <a:cxn ang="T14">
                <a:pos x="T8" y="T9"/>
              </a:cxn>
            </a:cxnLst>
            <a:rect l="T15" t="T16" r="T17" b="T18"/>
            <a:pathLst>
              <a:path w="8" h="9">
                <a:moveTo>
                  <a:pt x="1" y="3"/>
                </a:moveTo>
                <a:cubicBezTo>
                  <a:pt x="2" y="1"/>
                  <a:pt x="5" y="0"/>
                  <a:pt x="6" y="1"/>
                </a:cubicBezTo>
                <a:cubicBezTo>
                  <a:pt x="8" y="3"/>
                  <a:pt x="8" y="6"/>
                  <a:pt x="7" y="8"/>
                </a:cubicBezTo>
                <a:cubicBezTo>
                  <a:pt x="6" y="9"/>
                  <a:pt x="3" y="8"/>
                  <a:pt x="2" y="7"/>
                </a:cubicBezTo>
                <a:cubicBezTo>
                  <a:pt x="1" y="6"/>
                  <a:pt x="0" y="4"/>
                  <a:pt x="1" y="3"/>
                </a:cubicBezTo>
                <a:close/>
              </a:path>
            </a:pathLst>
          </a:custGeom>
          <a:solidFill>
            <a:schemeClr val="bg1">
              <a:lumMod val="95000"/>
            </a:schemeClr>
          </a:solidFill>
          <a:ln w="3175" cap="rnd">
            <a:solidFill>
              <a:srgbClr val="A5A5A5"/>
            </a:solidFill>
            <a:round/>
            <a:headEnd/>
            <a:tailEnd/>
          </a:ln>
        </xdr:spPr>
      </xdr:sp>
      <xdr:sp macro="" textlink="">
        <xdr:nvSpPr>
          <xdr:cNvPr id="301" name="Freeform 982"/>
          <xdr:cNvSpPr>
            <a:spLocks noChangeAspect="1"/>
          </xdr:cNvSpPr>
        </xdr:nvSpPr>
        <xdr:spPr bwMode="auto">
          <a:xfrm>
            <a:off x="4324900" y="7318084"/>
            <a:ext cx="11035" cy="11514"/>
          </a:xfrm>
          <a:custGeom>
            <a:avLst/>
            <a:gdLst>
              <a:gd name="T0" fmla="*/ 3637 w 7"/>
              <a:gd name="T1" fmla="*/ 2022 h 7"/>
              <a:gd name="T2" fmla="*/ 14549 w 7"/>
              <a:gd name="T3" fmla="*/ 12129 h 7"/>
              <a:gd name="T4" fmla="*/ 14549 w 7"/>
              <a:gd name="T5" fmla="*/ 24259 h 7"/>
              <a:gd name="T6" fmla="*/ 3637 w 7"/>
              <a:gd name="T7" fmla="*/ 12129 h 7"/>
              <a:gd name="T8" fmla="*/ 3637 w 7"/>
              <a:gd name="T9" fmla="*/ 2022 h 7"/>
              <a:gd name="T10" fmla="*/ 0 60000 65536"/>
              <a:gd name="T11" fmla="*/ 0 60000 65536"/>
              <a:gd name="T12" fmla="*/ 0 60000 65536"/>
              <a:gd name="T13" fmla="*/ 0 60000 65536"/>
              <a:gd name="T14" fmla="*/ 0 60000 65536"/>
              <a:gd name="T15" fmla="*/ 0 w 7"/>
              <a:gd name="T16" fmla="*/ 0 h 7"/>
              <a:gd name="T17" fmla="*/ 7 w 7"/>
              <a:gd name="T18" fmla="*/ 7 h 7"/>
            </a:gdLst>
            <a:ahLst/>
            <a:cxnLst>
              <a:cxn ang="T10">
                <a:pos x="T0" y="T1"/>
              </a:cxn>
              <a:cxn ang="T11">
                <a:pos x="T2" y="T3"/>
              </a:cxn>
              <a:cxn ang="T12">
                <a:pos x="T4" y="T5"/>
              </a:cxn>
              <a:cxn ang="T13">
                <a:pos x="T6" y="T7"/>
              </a:cxn>
              <a:cxn ang="T14">
                <a:pos x="T8" y="T9"/>
              </a:cxn>
            </a:cxnLst>
            <a:rect l="T15" t="T16" r="T17" b="T18"/>
            <a:pathLst>
              <a:path w="7" h="7">
                <a:moveTo>
                  <a:pt x="2" y="1"/>
                </a:moveTo>
                <a:cubicBezTo>
                  <a:pt x="3" y="0"/>
                  <a:pt x="5" y="2"/>
                  <a:pt x="6" y="4"/>
                </a:cubicBezTo>
                <a:cubicBezTo>
                  <a:pt x="6" y="5"/>
                  <a:pt x="7" y="7"/>
                  <a:pt x="6" y="7"/>
                </a:cubicBezTo>
                <a:cubicBezTo>
                  <a:pt x="4" y="7"/>
                  <a:pt x="3" y="6"/>
                  <a:pt x="2" y="4"/>
                </a:cubicBezTo>
                <a:cubicBezTo>
                  <a:pt x="1" y="3"/>
                  <a:pt x="0" y="1"/>
                  <a:pt x="2" y="1"/>
                </a:cubicBezTo>
                <a:close/>
              </a:path>
            </a:pathLst>
          </a:custGeom>
          <a:solidFill>
            <a:schemeClr val="bg1">
              <a:lumMod val="95000"/>
            </a:schemeClr>
          </a:solidFill>
          <a:ln w="3175" cap="rnd">
            <a:solidFill>
              <a:srgbClr val="A5A5A5"/>
            </a:solidFill>
            <a:round/>
            <a:headEnd/>
            <a:tailEnd/>
          </a:ln>
        </xdr:spPr>
      </xdr:sp>
      <xdr:sp macro="" textlink="">
        <xdr:nvSpPr>
          <xdr:cNvPr id="302" name="Freeform 983"/>
          <xdr:cNvSpPr>
            <a:spLocks noChangeAspect="1"/>
          </xdr:cNvSpPr>
        </xdr:nvSpPr>
        <xdr:spPr bwMode="auto">
          <a:xfrm>
            <a:off x="4313865" y="7329597"/>
            <a:ext cx="22069" cy="11514"/>
          </a:xfrm>
          <a:custGeom>
            <a:avLst/>
            <a:gdLst>
              <a:gd name="T0" fmla="*/ 24823 w 10"/>
              <a:gd name="T1" fmla="*/ 3774 h 5"/>
              <a:gd name="T2" fmla="*/ 24823 w 10"/>
              <a:gd name="T3" fmla="*/ 13208 h 5"/>
              <a:gd name="T4" fmla="*/ 1910 w 10"/>
              <a:gd name="T5" fmla="*/ 11321 h 5"/>
              <a:gd name="T6" fmla="*/ 1910 w 10"/>
              <a:gd name="T7" fmla="*/ 1887 h 5"/>
              <a:gd name="T8" fmla="*/ 24823 w 10"/>
              <a:gd name="T9" fmla="*/ 3774 h 5"/>
              <a:gd name="T10" fmla="*/ 0 60000 65536"/>
              <a:gd name="T11" fmla="*/ 0 60000 65536"/>
              <a:gd name="T12" fmla="*/ 0 60000 65536"/>
              <a:gd name="T13" fmla="*/ 0 60000 65536"/>
              <a:gd name="T14" fmla="*/ 0 60000 65536"/>
              <a:gd name="T15" fmla="*/ 0 w 10"/>
              <a:gd name="T16" fmla="*/ 0 h 5"/>
              <a:gd name="T17" fmla="*/ 10 w 10"/>
              <a:gd name="T18" fmla="*/ 5 h 5"/>
            </a:gdLst>
            <a:ahLst/>
            <a:cxnLst>
              <a:cxn ang="T10">
                <a:pos x="T0" y="T1"/>
              </a:cxn>
              <a:cxn ang="T11">
                <a:pos x="T2" y="T3"/>
              </a:cxn>
              <a:cxn ang="T12">
                <a:pos x="T4" y="T5"/>
              </a:cxn>
              <a:cxn ang="T13">
                <a:pos x="T6" y="T7"/>
              </a:cxn>
              <a:cxn ang="T14">
                <a:pos x="T8" y="T9"/>
              </a:cxn>
            </a:cxnLst>
            <a:rect l="T15" t="T16" r="T17" b="T18"/>
            <a:pathLst>
              <a:path w="10" h="5">
                <a:moveTo>
                  <a:pt x="9" y="2"/>
                </a:moveTo>
                <a:cubicBezTo>
                  <a:pt x="9" y="3"/>
                  <a:pt x="10" y="4"/>
                  <a:pt x="9" y="5"/>
                </a:cubicBezTo>
                <a:cubicBezTo>
                  <a:pt x="6" y="5"/>
                  <a:pt x="3" y="5"/>
                  <a:pt x="1" y="4"/>
                </a:cubicBezTo>
                <a:cubicBezTo>
                  <a:pt x="0" y="4"/>
                  <a:pt x="0" y="1"/>
                  <a:pt x="1" y="1"/>
                </a:cubicBezTo>
                <a:cubicBezTo>
                  <a:pt x="3" y="0"/>
                  <a:pt x="6" y="1"/>
                  <a:pt x="9" y="2"/>
                </a:cubicBezTo>
                <a:close/>
              </a:path>
            </a:pathLst>
          </a:custGeom>
          <a:solidFill>
            <a:schemeClr val="bg1">
              <a:lumMod val="95000"/>
            </a:schemeClr>
          </a:solidFill>
          <a:ln w="3175" cap="rnd">
            <a:solidFill>
              <a:srgbClr val="A5A5A5"/>
            </a:solidFill>
            <a:round/>
            <a:headEnd/>
            <a:tailEnd/>
          </a:ln>
        </xdr:spPr>
      </xdr:sp>
      <xdr:sp macro="" textlink="">
        <xdr:nvSpPr>
          <xdr:cNvPr id="303" name="Freeform 984"/>
          <xdr:cNvSpPr>
            <a:spLocks noChangeAspect="1"/>
          </xdr:cNvSpPr>
        </xdr:nvSpPr>
        <xdr:spPr bwMode="auto">
          <a:xfrm>
            <a:off x="4335934" y="7352625"/>
            <a:ext cx="22069" cy="23028"/>
          </a:xfrm>
          <a:custGeom>
            <a:avLst/>
            <a:gdLst>
              <a:gd name="T0" fmla="*/ 13614 w 9"/>
              <a:gd name="T1" fmla="*/ 0 h 7"/>
              <a:gd name="T2" fmla="*/ 1945 w 9"/>
              <a:gd name="T3" fmla="*/ 5391 h 7"/>
              <a:gd name="T4" fmla="*/ 21394 w 9"/>
              <a:gd name="T5" fmla="*/ 16172 h 7"/>
              <a:gd name="T6" fmla="*/ 17504 w 9"/>
              <a:gd name="T7" fmla="*/ 10781 h 7"/>
              <a:gd name="T8" fmla="*/ 21394 w 9"/>
              <a:gd name="T9" fmla="*/ 1797 h 7"/>
              <a:gd name="T10" fmla="*/ 13614 w 9"/>
              <a:gd name="T11" fmla="*/ 0 h 7"/>
              <a:gd name="T12" fmla="*/ 0 60000 65536"/>
              <a:gd name="T13" fmla="*/ 0 60000 65536"/>
              <a:gd name="T14" fmla="*/ 0 60000 65536"/>
              <a:gd name="T15" fmla="*/ 0 60000 65536"/>
              <a:gd name="T16" fmla="*/ 0 60000 65536"/>
              <a:gd name="T17" fmla="*/ 0 60000 65536"/>
              <a:gd name="T18" fmla="*/ 0 w 9"/>
              <a:gd name="T19" fmla="*/ 0 h 7"/>
              <a:gd name="T20" fmla="*/ 9 w 9"/>
              <a:gd name="T21" fmla="*/ 7 h 7"/>
            </a:gdLst>
            <a:ahLst/>
            <a:cxnLst>
              <a:cxn ang="T12">
                <a:pos x="T0" y="T1"/>
              </a:cxn>
              <a:cxn ang="T13">
                <a:pos x="T2" y="T3"/>
              </a:cxn>
              <a:cxn ang="T14">
                <a:pos x="T4" y="T5"/>
              </a:cxn>
              <a:cxn ang="T15">
                <a:pos x="T6" y="T7"/>
              </a:cxn>
              <a:cxn ang="T16">
                <a:pos x="T8" y="T9"/>
              </a:cxn>
              <a:cxn ang="T17">
                <a:pos x="T10" y="T11"/>
              </a:cxn>
            </a:cxnLst>
            <a:rect l="T18" t="T19" r="T20" b="T21"/>
            <a:pathLst>
              <a:path w="9" h="7">
                <a:moveTo>
                  <a:pt x="5" y="0"/>
                </a:moveTo>
                <a:cubicBezTo>
                  <a:pt x="4" y="0"/>
                  <a:pt x="0" y="1"/>
                  <a:pt x="1" y="3"/>
                </a:cubicBezTo>
                <a:cubicBezTo>
                  <a:pt x="1" y="5"/>
                  <a:pt x="5" y="6"/>
                  <a:pt x="7" y="7"/>
                </a:cubicBezTo>
                <a:cubicBezTo>
                  <a:pt x="9" y="7"/>
                  <a:pt x="6" y="5"/>
                  <a:pt x="6" y="4"/>
                </a:cubicBezTo>
                <a:cubicBezTo>
                  <a:pt x="6" y="3"/>
                  <a:pt x="7" y="2"/>
                  <a:pt x="7" y="1"/>
                </a:cubicBezTo>
                <a:cubicBezTo>
                  <a:pt x="7" y="0"/>
                  <a:pt x="6" y="0"/>
                  <a:pt x="5" y="0"/>
                </a:cubicBezTo>
                <a:close/>
              </a:path>
            </a:pathLst>
          </a:custGeom>
          <a:solidFill>
            <a:schemeClr val="bg1">
              <a:lumMod val="95000"/>
            </a:schemeClr>
          </a:solidFill>
          <a:ln w="3175" cap="rnd">
            <a:solidFill>
              <a:srgbClr val="A5A5A5"/>
            </a:solidFill>
            <a:round/>
            <a:headEnd/>
            <a:tailEnd/>
          </a:ln>
        </xdr:spPr>
      </xdr:sp>
      <xdr:sp macro="" textlink="">
        <xdr:nvSpPr>
          <xdr:cNvPr id="304" name="Freeform 985"/>
          <xdr:cNvSpPr>
            <a:spLocks noChangeAspect="1"/>
          </xdr:cNvSpPr>
        </xdr:nvSpPr>
        <xdr:spPr bwMode="auto">
          <a:xfrm>
            <a:off x="4358003" y="7352625"/>
            <a:ext cx="22069" cy="11514"/>
          </a:xfrm>
          <a:custGeom>
            <a:avLst/>
            <a:gdLst>
              <a:gd name="T0" fmla="*/ 2149 w 8"/>
              <a:gd name="T1" fmla="*/ 1965 h 4"/>
              <a:gd name="T2" fmla="*/ 2149 w 8"/>
              <a:gd name="T3" fmla="*/ 11791 h 4"/>
              <a:gd name="T4" fmla="*/ 23643 w 8"/>
              <a:gd name="T5" fmla="*/ 7861 h 4"/>
              <a:gd name="T6" fmla="*/ 19344 w 8"/>
              <a:gd name="T7" fmla="*/ 1965 h 4"/>
              <a:gd name="T8" fmla="*/ 2149 w 8"/>
              <a:gd name="T9" fmla="*/ 1965 h 4"/>
              <a:gd name="T10" fmla="*/ 0 60000 65536"/>
              <a:gd name="T11" fmla="*/ 0 60000 65536"/>
              <a:gd name="T12" fmla="*/ 0 60000 65536"/>
              <a:gd name="T13" fmla="*/ 0 60000 65536"/>
              <a:gd name="T14" fmla="*/ 0 60000 65536"/>
              <a:gd name="T15" fmla="*/ 0 w 8"/>
              <a:gd name="T16" fmla="*/ 0 h 4"/>
              <a:gd name="T17" fmla="*/ 8 w 8"/>
              <a:gd name="T18" fmla="*/ 4 h 4"/>
            </a:gdLst>
            <a:ahLst/>
            <a:cxnLst>
              <a:cxn ang="T10">
                <a:pos x="T0" y="T1"/>
              </a:cxn>
              <a:cxn ang="T11">
                <a:pos x="T2" y="T3"/>
              </a:cxn>
              <a:cxn ang="T12">
                <a:pos x="T4" y="T5"/>
              </a:cxn>
              <a:cxn ang="T13">
                <a:pos x="T6" y="T7"/>
              </a:cxn>
              <a:cxn ang="T14">
                <a:pos x="T8" y="T9"/>
              </a:cxn>
            </a:cxnLst>
            <a:rect l="T15" t="T16" r="T17" b="T18"/>
            <a:pathLst>
              <a:path w="8" h="4">
                <a:moveTo>
                  <a:pt x="1" y="1"/>
                </a:moveTo>
                <a:cubicBezTo>
                  <a:pt x="0" y="2"/>
                  <a:pt x="0" y="4"/>
                  <a:pt x="1" y="4"/>
                </a:cubicBezTo>
                <a:cubicBezTo>
                  <a:pt x="3" y="4"/>
                  <a:pt x="6" y="3"/>
                  <a:pt x="7" y="2"/>
                </a:cubicBezTo>
                <a:cubicBezTo>
                  <a:pt x="8" y="2"/>
                  <a:pt x="6" y="1"/>
                  <a:pt x="6" y="1"/>
                </a:cubicBezTo>
                <a:cubicBezTo>
                  <a:pt x="4" y="1"/>
                  <a:pt x="2" y="0"/>
                  <a:pt x="1" y="1"/>
                </a:cubicBezTo>
                <a:close/>
              </a:path>
            </a:pathLst>
          </a:custGeom>
          <a:solidFill>
            <a:schemeClr val="bg1">
              <a:lumMod val="95000"/>
            </a:schemeClr>
          </a:solidFill>
          <a:ln w="3175" cap="rnd">
            <a:solidFill>
              <a:srgbClr val="A5A5A5"/>
            </a:solidFill>
            <a:round/>
            <a:headEnd/>
            <a:tailEnd/>
          </a:ln>
        </xdr:spPr>
      </xdr:sp>
      <xdr:sp macro="" textlink="">
        <xdr:nvSpPr>
          <xdr:cNvPr id="305" name="Freeform 986"/>
          <xdr:cNvSpPr>
            <a:spLocks noChangeAspect="1"/>
          </xdr:cNvSpPr>
        </xdr:nvSpPr>
        <xdr:spPr bwMode="auto">
          <a:xfrm>
            <a:off x="4280762" y="7260514"/>
            <a:ext cx="33104" cy="34542"/>
          </a:xfrm>
          <a:custGeom>
            <a:avLst/>
            <a:gdLst>
              <a:gd name="T0" fmla="*/ 39313 w 17"/>
              <a:gd name="T1" fmla="*/ 0 h 16"/>
              <a:gd name="T2" fmla="*/ 41185 w 17"/>
              <a:gd name="T3" fmla="*/ 11202 h 16"/>
              <a:gd name="T4" fmla="*/ 26209 w 17"/>
              <a:gd name="T5" fmla="*/ 24272 h 16"/>
              <a:gd name="T6" fmla="*/ 14976 w 17"/>
              <a:gd name="T7" fmla="*/ 22405 h 16"/>
              <a:gd name="T8" fmla="*/ 14976 w 17"/>
              <a:gd name="T9" fmla="*/ 33607 h 16"/>
              <a:gd name="T10" fmla="*/ 16849 w 17"/>
              <a:gd name="T11" fmla="*/ 39208 h 16"/>
              <a:gd name="T12" fmla="*/ 11232 w 17"/>
              <a:gd name="T13" fmla="*/ 33607 h 16"/>
              <a:gd name="T14" fmla="*/ 1872 w 17"/>
              <a:gd name="T15" fmla="*/ 26139 h 16"/>
              <a:gd name="T16" fmla="*/ 3744 w 17"/>
              <a:gd name="T17" fmla="*/ 11202 h 16"/>
              <a:gd name="T18" fmla="*/ 20593 w 17"/>
              <a:gd name="T19" fmla="*/ 3734 h 16"/>
              <a:gd name="T20" fmla="*/ 33697 w 17"/>
              <a:gd name="T21" fmla="*/ 3734 h 16"/>
              <a:gd name="T22" fmla="*/ 39313 w 17"/>
              <a:gd name="T23" fmla="*/ 0 h 1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7"/>
              <a:gd name="T37" fmla="*/ 0 h 16"/>
              <a:gd name="T38" fmla="*/ 17 w 17"/>
              <a:gd name="T39" fmla="*/ 16 h 1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7" h="16">
                <a:moveTo>
                  <a:pt x="15" y="0"/>
                </a:moveTo>
                <a:cubicBezTo>
                  <a:pt x="16" y="1"/>
                  <a:pt x="17" y="3"/>
                  <a:pt x="16" y="4"/>
                </a:cubicBezTo>
                <a:cubicBezTo>
                  <a:pt x="15" y="6"/>
                  <a:pt x="12" y="8"/>
                  <a:pt x="10" y="9"/>
                </a:cubicBezTo>
                <a:cubicBezTo>
                  <a:pt x="9" y="9"/>
                  <a:pt x="7" y="7"/>
                  <a:pt x="6" y="8"/>
                </a:cubicBezTo>
                <a:cubicBezTo>
                  <a:pt x="5" y="9"/>
                  <a:pt x="6" y="11"/>
                  <a:pt x="6" y="13"/>
                </a:cubicBezTo>
                <a:cubicBezTo>
                  <a:pt x="6" y="14"/>
                  <a:pt x="8" y="15"/>
                  <a:pt x="7" y="15"/>
                </a:cubicBezTo>
                <a:cubicBezTo>
                  <a:pt x="6" y="16"/>
                  <a:pt x="5" y="14"/>
                  <a:pt x="4" y="13"/>
                </a:cubicBezTo>
                <a:cubicBezTo>
                  <a:pt x="3" y="13"/>
                  <a:pt x="1" y="12"/>
                  <a:pt x="1" y="10"/>
                </a:cubicBezTo>
                <a:cubicBezTo>
                  <a:pt x="0" y="8"/>
                  <a:pt x="0" y="6"/>
                  <a:pt x="2" y="4"/>
                </a:cubicBezTo>
                <a:cubicBezTo>
                  <a:pt x="3" y="2"/>
                  <a:pt x="6" y="2"/>
                  <a:pt x="8" y="2"/>
                </a:cubicBezTo>
                <a:cubicBezTo>
                  <a:pt x="10" y="1"/>
                  <a:pt x="11" y="2"/>
                  <a:pt x="13" y="2"/>
                </a:cubicBezTo>
                <a:cubicBezTo>
                  <a:pt x="14" y="1"/>
                  <a:pt x="14" y="0"/>
                  <a:pt x="15" y="0"/>
                </a:cubicBezTo>
                <a:close/>
              </a:path>
            </a:pathLst>
          </a:custGeom>
          <a:solidFill>
            <a:schemeClr val="bg1">
              <a:lumMod val="95000"/>
            </a:schemeClr>
          </a:solidFill>
          <a:ln w="3175" cap="rnd">
            <a:solidFill>
              <a:srgbClr val="A5A5A5"/>
            </a:solidFill>
            <a:round/>
            <a:headEnd/>
            <a:tailEnd/>
          </a:ln>
        </xdr:spPr>
      </xdr:sp>
      <xdr:sp macro="" textlink="">
        <xdr:nvSpPr>
          <xdr:cNvPr id="306" name="Freeform 987"/>
          <xdr:cNvSpPr>
            <a:spLocks noChangeAspect="1"/>
          </xdr:cNvSpPr>
        </xdr:nvSpPr>
        <xdr:spPr bwMode="auto">
          <a:xfrm>
            <a:off x="4225589" y="7260514"/>
            <a:ext cx="55173" cy="23028"/>
          </a:xfrm>
          <a:custGeom>
            <a:avLst/>
            <a:gdLst>
              <a:gd name="T0" fmla="*/ 1953 w 22"/>
              <a:gd name="T1" fmla="*/ 1965 h 12"/>
              <a:gd name="T2" fmla="*/ 9765 w 22"/>
              <a:gd name="T3" fmla="*/ 15723 h 12"/>
              <a:gd name="T4" fmla="*/ 27341 w 22"/>
              <a:gd name="T5" fmla="*/ 31445 h 12"/>
              <a:gd name="T6" fmla="*/ 62493 w 22"/>
              <a:gd name="T7" fmla="*/ 37341 h 12"/>
              <a:gd name="T8" fmla="*/ 62493 w 22"/>
              <a:gd name="T9" fmla="*/ 31445 h 12"/>
              <a:gd name="T10" fmla="*/ 39058 w 22"/>
              <a:gd name="T11" fmla="*/ 19653 h 12"/>
              <a:gd name="T12" fmla="*/ 17576 w 22"/>
              <a:gd name="T13" fmla="*/ 15723 h 12"/>
              <a:gd name="T14" fmla="*/ 9765 w 22"/>
              <a:gd name="T15" fmla="*/ 7861 h 12"/>
              <a:gd name="T16" fmla="*/ 1953 w 22"/>
              <a:gd name="T17" fmla="*/ 1965 h 12"/>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2"/>
              <a:gd name="T28" fmla="*/ 0 h 12"/>
              <a:gd name="T29" fmla="*/ 22 w 22"/>
              <a:gd name="T30" fmla="*/ 12 h 12"/>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2" h="12">
                <a:moveTo>
                  <a:pt x="1" y="1"/>
                </a:moveTo>
                <a:cubicBezTo>
                  <a:pt x="0" y="3"/>
                  <a:pt x="2" y="4"/>
                  <a:pt x="3" y="5"/>
                </a:cubicBezTo>
                <a:cubicBezTo>
                  <a:pt x="4" y="7"/>
                  <a:pt x="7" y="9"/>
                  <a:pt x="9" y="10"/>
                </a:cubicBezTo>
                <a:cubicBezTo>
                  <a:pt x="13" y="11"/>
                  <a:pt x="17" y="12"/>
                  <a:pt x="21" y="12"/>
                </a:cubicBezTo>
                <a:cubicBezTo>
                  <a:pt x="22" y="12"/>
                  <a:pt x="21" y="10"/>
                  <a:pt x="21" y="10"/>
                </a:cubicBezTo>
                <a:cubicBezTo>
                  <a:pt x="18" y="8"/>
                  <a:pt x="16" y="7"/>
                  <a:pt x="13" y="6"/>
                </a:cubicBezTo>
                <a:cubicBezTo>
                  <a:pt x="11" y="6"/>
                  <a:pt x="8" y="6"/>
                  <a:pt x="6" y="5"/>
                </a:cubicBezTo>
                <a:cubicBezTo>
                  <a:pt x="5" y="4"/>
                  <a:pt x="5" y="3"/>
                  <a:pt x="3" y="2"/>
                </a:cubicBezTo>
                <a:cubicBezTo>
                  <a:pt x="3" y="1"/>
                  <a:pt x="1" y="0"/>
                  <a:pt x="1" y="1"/>
                </a:cubicBezTo>
                <a:close/>
              </a:path>
            </a:pathLst>
          </a:custGeom>
          <a:solidFill>
            <a:schemeClr val="bg1">
              <a:lumMod val="95000"/>
            </a:schemeClr>
          </a:solidFill>
          <a:ln w="3175" cap="rnd">
            <a:solidFill>
              <a:srgbClr val="A5A5A5"/>
            </a:solidFill>
            <a:round/>
            <a:headEnd/>
            <a:tailEnd/>
          </a:ln>
        </xdr:spPr>
      </xdr:sp>
      <xdr:sp macro="" textlink="">
        <xdr:nvSpPr>
          <xdr:cNvPr id="307" name="Freeform 988"/>
          <xdr:cNvSpPr>
            <a:spLocks noChangeAspect="1"/>
          </xdr:cNvSpPr>
        </xdr:nvSpPr>
        <xdr:spPr bwMode="auto">
          <a:xfrm>
            <a:off x="4258693" y="7225973"/>
            <a:ext cx="22069" cy="46055"/>
          </a:xfrm>
          <a:custGeom>
            <a:avLst/>
            <a:gdLst>
              <a:gd name="T0" fmla="*/ 25990 w 12"/>
              <a:gd name="T1" fmla="*/ 0 h 19"/>
              <a:gd name="T2" fmla="*/ 29703 w 12"/>
              <a:gd name="T3" fmla="*/ 11420 h 19"/>
              <a:gd name="T4" fmla="*/ 24133 w 12"/>
              <a:gd name="T5" fmla="*/ 24743 h 19"/>
              <a:gd name="T6" fmla="*/ 24133 w 12"/>
              <a:gd name="T7" fmla="*/ 41873 h 19"/>
              <a:gd name="T8" fmla="*/ 24133 w 12"/>
              <a:gd name="T9" fmla="*/ 53293 h 19"/>
              <a:gd name="T10" fmla="*/ 9282 w 12"/>
              <a:gd name="T11" fmla="*/ 41873 h 19"/>
              <a:gd name="T12" fmla="*/ 3713 w 12"/>
              <a:gd name="T13" fmla="*/ 34260 h 19"/>
              <a:gd name="T14" fmla="*/ 1856 w 12"/>
              <a:gd name="T15" fmla="*/ 13323 h 19"/>
              <a:gd name="T16" fmla="*/ 16708 w 12"/>
              <a:gd name="T17" fmla="*/ 11420 h 19"/>
              <a:gd name="T18" fmla="*/ 25990 w 12"/>
              <a:gd name="T19" fmla="*/ 11420 h 19"/>
              <a:gd name="T20" fmla="*/ 25990 w 12"/>
              <a:gd name="T21" fmla="*/ 0 h 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2"/>
              <a:gd name="T34" fmla="*/ 0 h 19"/>
              <a:gd name="T35" fmla="*/ 12 w 12"/>
              <a:gd name="T36" fmla="*/ 19 h 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2" h="19">
                <a:moveTo>
                  <a:pt x="10" y="0"/>
                </a:moveTo>
                <a:cubicBezTo>
                  <a:pt x="11" y="0"/>
                  <a:pt x="12" y="3"/>
                  <a:pt x="12" y="4"/>
                </a:cubicBezTo>
                <a:cubicBezTo>
                  <a:pt x="12" y="6"/>
                  <a:pt x="9" y="7"/>
                  <a:pt x="9" y="9"/>
                </a:cubicBezTo>
                <a:cubicBezTo>
                  <a:pt x="8" y="11"/>
                  <a:pt x="9" y="13"/>
                  <a:pt x="9" y="15"/>
                </a:cubicBezTo>
                <a:cubicBezTo>
                  <a:pt x="9" y="16"/>
                  <a:pt x="10" y="19"/>
                  <a:pt x="9" y="19"/>
                </a:cubicBezTo>
                <a:cubicBezTo>
                  <a:pt x="6" y="19"/>
                  <a:pt x="4" y="17"/>
                  <a:pt x="3" y="15"/>
                </a:cubicBezTo>
                <a:cubicBezTo>
                  <a:pt x="2" y="15"/>
                  <a:pt x="2" y="13"/>
                  <a:pt x="2" y="12"/>
                </a:cubicBezTo>
                <a:cubicBezTo>
                  <a:pt x="2" y="10"/>
                  <a:pt x="0" y="7"/>
                  <a:pt x="1" y="5"/>
                </a:cubicBezTo>
                <a:cubicBezTo>
                  <a:pt x="2" y="4"/>
                  <a:pt x="5" y="5"/>
                  <a:pt x="7" y="4"/>
                </a:cubicBezTo>
                <a:cubicBezTo>
                  <a:pt x="8" y="4"/>
                  <a:pt x="9" y="5"/>
                  <a:pt x="10" y="4"/>
                </a:cubicBezTo>
                <a:cubicBezTo>
                  <a:pt x="11" y="3"/>
                  <a:pt x="9" y="1"/>
                  <a:pt x="10" y="0"/>
                </a:cubicBezTo>
                <a:close/>
              </a:path>
            </a:pathLst>
          </a:custGeom>
          <a:solidFill>
            <a:schemeClr val="bg1">
              <a:lumMod val="95000"/>
            </a:schemeClr>
          </a:solidFill>
          <a:ln w="3175" cap="rnd">
            <a:solidFill>
              <a:srgbClr val="A5A5A5"/>
            </a:solidFill>
            <a:round/>
            <a:headEnd/>
            <a:tailEnd/>
          </a:ln>
        </xdr:spPr>
      </xdr:sp>
      <xdr:sp macro="" textlink="">
        <xdr:nvSpPr>
          <xdr:cNvPr id="308" name="Freeform 989"/>
          <xdr:cNvSpPr>
            <a:spLocks noChangeAspect="1"/>
          </xdr:cNvSpPr>
        </xdr:nvSpPr>
        <xdr:spPr bwMode="auto">
          <a:xfrm>
            <a:off x="4236624" y="7214459"/>
            <a:ext cx="11035" cy="11514"/>
          </a:xfrm>
          <a:custGeom>
            <a:avLst/>
            <a:gdLst>
              <a:gd name="T0" fmla="*/ 1909 w 5"/>
              <a:gd name="T1" fmla="*/ 3669 h 6"/>
              <a:gd name="T2" fmla="*/ 13366 w 5"/>
              <a:gd name="T3" fmla="*/ 14675 h 6"/>
              <a:gd name="T4" fmla="*/ 13366 w 5"/>
              <a:gd name="T5" fmla="*/ 11006 h 6"/>
              <a:gd name="T6" fmla="*/ 9547 w 5"/>
              <a:gd name="T7" fmla="*/ 0 h 6"/>
              <a:gd name="T8" fmla="*/ 1909 w 5"/>
              <a:gd name="T9" fmla="*/ 3669 h 6"/>
              <a:gd name="T10" fmla="*/ 0 60000 65536"/>
              <a:gd name="T11" fmla="*/ 0 60000 65536"/>
              <a:gd name="T12" fmla="*/ 0 60000 65536"/>
              <a:gd name="T13" fmla="*/ 0 60000 65536"/>
              <a:gd name="T14" fmla="*/ 0 60000 65536"/>
              <a:gd name="T15" fmla="*/ 0 w 5"/>
              <a:gd name="T16" fmla="*/ 0 h 6"/>
              <a:gd name="T17" fmla="*/ 5 w 5"/>
              <a:gd name="T18" fmla="*/ 6 h 6"/>
            </a:gdLst>
            <a:ahLst/>
            <a:cxnLst>
              <a:cxn ang="T10">
                <a:pos x="T0" y="T1"/>
              </a:cxn>
              <a:cxn ang="T11">
                <a:pos x="T2" y="T3"/>
              </a:cxn>
              <a:cxn ang="T12">
                <a:pos x="T4" y="T5"/>
              </a:cxn>
              <a:cxn ang="T13">
                <a:pos x="T6" y="T7"/>
              </a:cxn>
              <a:cxn ang="T14">
                <a:pos x="T8" y="T9"/>
              </a:cxn>
            </a:cxnLst>
            <a:rect l="T15" t="T16" r="T17" b="T18"/>
            <a:pathLst>
              <a:path w="5" h="6">
                <a:moveTo>
                  <a:pt x="1" y="2"/>
                </a:moveTo>
                <a:cubicBezTo>
                  <a:pt x="1" y="4"/>
                  <a:pt x="3" y="5"/>
                  <a:pt x="5" y="6"/>
                </a:cubicBezTo>
                <a:cubicBezTo>
                  <a:pt x="5" y="6"/>
                  <a:pt x="5" y="5"/>
                  <a:pt x="5" y="4"/>
                </a:cubicBezTo>
                <a:cubicBezTo>
                  <a:pt x="5" y="3"/>
                  <a:pt x="4" y="1"/>
                  <a:pt x="3" y="0"/>
                </a:cubicBezTo>
                <a:cubicBezTo>
                  <a:pt x="2" y="0"/>
                  <a:pt x="0" y="2"/>
                  <a:pt x="1" y="2"/>
                </a:cubicBezTo>
                <a:close/>
              </a:path>
            </a:pathLst>
          </a:custGeom>
          <a:solidFill>
            <a:schemeClr val="bg1">
              <a:lumMod val="95000"/>
            </a:schemeClr>
          </a:solidFill>
          <a:ln w="3175" cap="rnd">
            <a:solidFill>
              <a:srgbClr val="A5A5A5"/>
            </a:solidFill>
            <a:round/>
            <a:headEnd/>
            <a:tailEnd/>
          </a:ln>
        </xdr:spPr>
      </xdr:sp>
      <xdr:sp macro="" textlink="">
        <xdr:nvSpPr>
          <xdr:cNvPr id="309" name="Freeform 990"/>
          <xdr:cNvSpPr>
            <a:spLocks noChangeAspect="1"/>
          </xdr:cNvSpPr>
        </xdr:nvSpPr>
        <xdr:spPr bwMode="auto">
          <a:xfrm>
            <a:off x="4214555" y="7179917"/>
            <a:ext cx="11035" cy="23028"/>
          </a:xfrm>
          <a:custGeom>
            <a:avLst/>
            <a:gdLst>
              <a:gd name="T0" fmla="*/ 1819 w 7"/>
              <a:gd name="T1" fmla="*/ 0 h 9"/>
              <a:gd name="T2" fmla="*/ 14549 w 7"/>
              <a:gd name="T3" fmla="*/ 3843 h 9"/>
              <a:gd name="T4" fmla="*/ 16367 w 7"/>
              <a:gd name="T5" fmla="*/ 23060 h 9"/>
              <a:gd name="T6" fmla="*/ 5456 w 7"/>
              <a:gd name="T7" fmla="*/ 23060 h 9"/>
              <a:gd name="T8" fmla="*/ 1819 w 7"/>
              <a:gd name="T9" fmla="*/ 13452 h 9"/>
              <a:gd name="T10" fmla="*/ 1819 w 7"/>
              <a:gd name="T11" fmla="*/ 0 h 9"/>
              <a:gd name="T12" fmla="*/ 0 60000 65536"/>
              <a:gd name="T13" fmla="*/ 0 60000 65536"/>
              <a:gd name="T14" fmla="*/ 0 60000 65536"/>
              <a:gd name="T15" fmla="*/ 0 60000 65536"/>
              <a:gd name="T16" fmla="*/ 0 60000 65536"/>
              <a:gd name="T17" fmla="*/ 0 60000 65536"/>
              <a:gd name="T18" fmla="*/ 0 w 7"/>
              <a:gd name="T19" fmla="*/ 0 h 9"/>
              <a:gd name="T20" fmla="*/ 7 w 7"/>
              <a:gd name="T21" fmla="*/ 9 h 9"/>
            </a:gdLst>
            <a:ahLst/>
            <a:cxnLst>
              <a:cxn ang="T12">
                <a:pos x="T0" y="T1"/>
              </a:cxn>
              <a:cxn ang="T13">
                <a:pos x="T2" y="T3"/>
              </a:cxn>
              <a:cxn ang="T14">
                <a:pos x="T4" y="T5"/>
              </a:cxn>
              <a:cxn ang="T15">
                <a:pos x="T6" y="T7"/>
              </a:cxn>
              <a:cxn ang="T16">
                <a:pos x="T8" y="T9"/>
              </a:cxn>
              <a:cxn ang="T17">
                <a:pos x="T10" y="T11"/>
              </a:cxn>
            </a:cxnLst>
            <a:rect l="T18" t="T19" r="T20" b="T21"/>
            <a:pathLst>
              <a:path w="7" h="9">
                <a:moveTo>
                  <a:pt x="1" y="0"/>
                </a:moveTo>
                <a:cubicBezTo>
                  <a:pt x="3" y="0"/>
                  <a:pt x="5" y="1"/>
                  <a:pt x="6" y="2"/>
                </a:cubicBezTo>
                <a:cubicBezTo>
                  <a:pt x="7" y="4"/>
                  <a:pt x="7" y="6"/>
                  <a:pt x="7" y="8"/>
                </a:cubicBezTo>
                <a:cubicBezTo>
                  <a:pt x="6" y="9"/>
                  <a:pt x="4" y="8"/>
                  <a:pt x="3" y="8"/>
                </a:cubicBezTo>
                <a:cubicBezTo>
                  <a:pt x="2" y="7"/>
                  <a:pt x="2" y="6"/>
                  <a:pt x="1" y="5"/>
                </a:cubicBezTo>
                <a:cubicBezTo>
                  <a:pt x="1" y="3"/>
                  <a:pt x="0" y="1"/>
                  <a:pt x="1" y="0"/>
                </a:cubicBezTo>
                <a:close/>
              </a:path>
            </a:pathLst>
          </a:custGeom>
          <a:solidFill>
            <a:schemeClr val="bg1">
              <a:lumMod val="95000"/>
            </a:schemeClr>
          </a:solidFill>
          <a:ln w="3175" cap="rnd">
            <a:solidFill>
              <a:srgbClr val="A5A5A5"/>
            </a:solidFill>
            <a:round/>
            <a:headEnd/>
            <a:tailEnd/>
          </a:ln>
        </xdr:spPr>
      </xdr:sp>
      <xdr:sp macro="" textlink="">
        <xdr:nvSpPr>
          <xdr:cNvPr id="310" name="Freeform 991"/>
          <xdr:cNvSpPr>
            <a:spLocks noChangeAspect="1"/>
          </xdr:cNvSpPr>
        </xdr:nvSpPr>
        <xdr:spPr bwMode="auto">
          <a:xfrm>
            <a:off x="4192485" y="7156890"/>
            <a:ext cx="22069" cy="0"/>
          </a:xfrm>
          <a:custGeom>
            <a:avLst/>
            <a:gdLst>
              <a:gd name="T0" fmla="*/ 23641 w 14"/>
              <a:gd name="T1" fmla="*/ 1887 h 25"/>
              <a:gd name="T2" fmla="*/ 32734 w 14"/>
              <a:gd name="T3" fmla="*/ 58490 h 25"/>
              <a:gd name="T4" fmla="*/ 27279 w 14"/>
              <a:gd name="T5" fmla="*/ 67923 h 25"/>
              <a:gd name="T6" fmla="*/ 18186 w 14"/>
              <a:gd name="T7" fmla="*/ 58490 h 25"/>
              <a:gd name="T8" fmla="*/ 20004 w 14"/>
              <a:gd name="T9" fmla="*/ 41509 h 25"/>
              <a:gd name="T10" fmla="*/ 16367 w 14"/>
              <a:gd name="T11" fmla="*/ 41509 h 25"/>
              <a:gd name="T12" fmla="*/ 14549 w 14"/>
              <a:gd name="T13" fmla="*/ 52829 h 25"/>
              <a:gd name="T14" fmla="*/ 14549 w 14"/>
              <a:gd name="T15" fmla="*/ 56603 h 25"/>
              <a:gd name="T16" fmla="*/ 5456 w 14"/>
              <a:gd name="T17" fmla="*/ 43395 h 25"/>
              <a:gd name="T18" fmla="*/ 1819 w 14"/>
              <a:gd name="T19" fmla="*/ 26415 h 25"/>
              <a:gd name="T20" fmla="*/ 12730 w 14"/>
              <a:gd name="T21" fmla="*/ 30188 h 25"/>
              <a:gd name="T22" fmla="*/ 14549 w 14"/>
              <a:gd name="T23" fmla="*/ 35848 h 25"/>
              <a:gd name="T24" fmla="*/ 16367 w 14"/>
              <a:gd name="T25" fmla="*/ 18868 h 25"/>
              <a:gd name="T26" fmla="*/ 14549 w 14"/>
              <a:gd name="T27" fmla="*/ 3774 h 25"/>
              <a:gd name="T28" fmla="*/ 23641 w 14"/>
              <a:gd name="T29" fmla="*/ 1887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25"/>
              <a:gd name="T47" fmla="*/ 14 w 14"/>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25">
                <a:moveTo>
                  <a:pt x="10" y="1"/>
                </a:moveTo>
                <a:cubicBezTo>
                  <a:pt x="12" y="8"/>
                  <a:pt x="13" y="15"/>
                  <a:pt x="14" y="22"/>
                </a:cubicBezTo>
                <a:cubicBezTo>
                  <a:pt x="14" y="23"/>
                  <a:pt x="12" y="25"/>
                  <a:pt x="11" y="25"/>
                </a:cubicBezTo>
                <a:cubicBezTo>
                  <a:pt x="9" y="25"/>
                  <a:pt x="8" y="23"/>
                  <a:pt x="8" y="22"/>
                </a:cubicBezTo>
                <a:cubicBezTo>
                  <a:pt x="8" y="20"/>
                  <a:pt x="10" y="18"/>
                  <a:pt x="9" y="15"/>
                </a:cubicBezTo>
                <a:cubicBezTo>
                  <a:pt x="9" y="15"/>
                  <a:pt x="8" y="14"/>
                  <a:pt x="7" y="15"/>
                </a:cubicBezTo>
                <a:cubicBezTo>
                  <a:pt x="6" y="16"/>
                  <a:pt x="6" y="17"/>
                  <a:pt x="6" y="19"/>
                </a:cubicBezTo>
                <a:cubicBezTo>
                  <a:pt x="6" y="20"/>
                  <a:pt x="7" y="22"/>
                  <a:pt x="6" y="21"/>
                </a:cubicBezTo>
                <a:cubicBezTo>
                  <a:pt x="4" y="20"/>
                  <a:pt x="3" y="18"/>
                  <a:pt x="3" y="16"/>
                </a:cubicBezTo>
                <a:cubicBezTo>
                  <a:pt x="2" y="15"/>
                  <a:pt x="0" y="12"/>
                  <a:pt x="1" y="10"/>
                </a:cubicBezTo>
                <a:cubicBezTo>
                  <a:pt x="1" y="9"/>
                  <a:pt x="4" y="11"/>
                  <a:pt x="5" y="11"/>
                </a:cubicBezTo>
                <a:cubicBezTo>
                  <a:pt x="5" y="12"/>
                  <a:pt x="6" y="13"/>
                  <a:pt x="6" y="13"/>
                </a:cubicBezTo>
                <a:cubicBezTo>
                  <a:pt x="7" y="11"/>
                  <a:pt x="7" y="9"/>
                  <a:pt x="7" y="7"/>
                </a:cubicBezTo>
                <a:cubicBezTo>
                  <a:pt x="7" y="6"/>
                  <a:pt x="5" y="4"/>
                  <a:pt x="6" y="2"/>
                </a:cubicBezTo>
                <a:cubicBezTo>
                  <a:pt x="6" y="1"/>
                  <a:pt x="9" y="0"/>
                  <a:pt x="10" y="1"/>
                </a:cubicBezTo>
                <a:close/>
              </a:path>
            </a:pathLst>
          </a:custGeom>
          <a:solidFill>
            <a:schemeClr val="bg1">
              <a:lumMod val="95000"/>
            </a:schemeClr>
          </a:solidFill>
          <a:ln w="3175" cap="rnd">
            <a:solidFill>
              <a:srgbClr val="A5A5A5"/>
            </a:solidFill>
            <a:round/>
            <a:headEnd/>
            <a:tailEnd/>
          </a:ln>
        </xdr:spPr>
      </xdr:sp>
      <xdr:sp macro="" textlink="">
        <xdr:nvSpPr>
          <xdr:cNvPr id="311" name="Freeform 992"/>
          <xdr:cNvSpPr>
            <a:spLocks noChangeAspect="1"/>
          </xdr:cNvSpPr>
        </xdr:nvSpPr>
        <xdr:spPr bwMode="auto">
          <a:xfrm>
            <a:off x="4181451" y="7133862"/>
            <a:ext cx="11035" cy="23028"/>
          </a:xfrm>
          <a:custGeom>
            <a:avLst/>
            <a:gdLst>
              <a:gd name="T0" fmla="*/ 3819 w 5"/>
              <a:gd name="T1" fmla="*/ 1935 h 13"/>
              <a:gd name="T2" fmla="*/ 0 w 5"/>
              <a:gd name="T3" fmla="*/ 1935 h 13"/>
              <a:gd name="T4" fmla="*/ 3819 w 5"/>
              <a:gd name="T5" fmla="*/ 17416 h 13"/>
              <a:gd name="T6" fmla="*/ 3819 w 5"/>
              <a:gd name="T7" fmla="*/ 34833 h 13"/>
              <a:gd name="T8" fmla="*/ 11456 w 5"/>
              <a:gd name="T9" fmla="*/ 32898 h 13"/>
              <a:gd name="T10" fmla="*/ 13366 w 5"/>
              <a:gd name="T11" fmla="*/ 23222 h 13"/>
              <a:gd name="T12" fmla="*/ 3819 w 5"/>
              <a:gd name="T13" fmla="*/ 1935 h 13"/>
              <a:gd name="T14" fmla="*/ 0 60000 65536"/>
              <a:gd name="T15" fmla="*/ 0 60000 65536"/>
              <a:gd name="T16" fmla="*/ 0 60000 65536"/>
              <a:gd name="T17" fmla="*/ 0 60000 65536"/>
              <a:gd name="T18" fmla="*/ 0 60000 65536"/>
              <a:gd name="T19" fmla="*/ 0 60000 65536"/>
              <a:gd name="T20" fmla="*/ 0 60000 65536"/>
              <a:gd name="T21" fmla="*/ 0 w 5"/>
              <a:gd name="T22" fmla="*/ 0 h 13"/>
              <a:gd name="T23" fmla="*/ 5 w 5"/>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 h="13">
                <a:moveTo>
                  <a:pt x="2" y="1"/>
                </a:moveTo>
                <a:cubicBezTo>
                  <a:pt x="2" y="0"/>
                  <a:pt x="0" y="0"/>
                  <a:pt x="0" y="1"/>
                </a:cubicBezTo>
                <a:cubicBezTo>
                  <a:pt x="0" y="3"/>
                  <a:pt x="2" y="4"/>
                  <a:pt x="2" y="6"/>
                </a:cubicBezTo>
                <a:cubicBezTo>
                  <a:pt x="2" y="8"/>
                  <a:pt x="1" y="10"/>
                  <a:pt x="2" y="12"/>
                </a:cubicBezTo>
                <a:cubicBezTo>
                  <a:pt x="2" y="13"/>
                  <a:pt x="3" y="12"/>
                  <a:pt x="4" y="11"/>
                </a:cubicBezTo>
                <a:cubicBezTo>
                  <a:pt x="4" y="10"/>
                  <a:pt x="5" y="9"/>
                  <a:pt x="5" y="8"/>
                </a:cubicBezTo>
                <a:cubicBezTo>
                  <a:pt x="4" y="5"/>
                  <a:pt x="4" y="3"/>
                  <a:pt x="2" y="1"/>
                </a:cubicBezTo>
                <a:close/>
              </a:path>
            </a:pathLst>
          </a:custGeom>
          <a:solidFill>
            <a:schemeClr val="bg1">
              <a:lumMod val="95000"/>
            </a:schemeClr>
          </a:solidFill>
          <a:ln w="3175" cap="rnd">
            <a:solidFill>
              <a:srgbClr val="A5A5A5"/>
            </a:solidFill>
            <a:round/>
            <a:headEnd/>
            <a:tailEnd/>
          </a:ln>
        </xdr:spPr>
      </xdr:sp>
      <xdr:sp macro="" textlink="">
        <xdr:nvSpPr>
          <xdr:cNvPr id="312" name="Freeform 993"/>
          <xdr:cNvSpPr>
            <a:spLocks noChangeAspect="1"/>
          </xdr:cNvSpPr>
        </xdr:nvSpPr>
        <xdr:spPr bwMode="auto">
          <a:xfrm>
            <a:off x="4192485" y="7145375"/>
            <a:ext cx="11035" cy="11514"/>
          </a:xfrm>
          <a:custGeom>
            <a:avLst/>
            <a:gdLst>
              <a:gd name="T0" fmla="*/ 0 w 5"/>
              <a:gd name="T1" fmla="*/ 9172 h 6"/>
              <a:gd name="T2" fmla="*/ 11456 w 5"/>
              <a:gd name="T3" fmla="*/ 14675 h 6"/>
              <a:gd name="T4" fmla="*/ 11456 w 5"/>
              <a:gd name="T5" fmla="*/ 9172 h 6"/>
              <a:gd name="T6" fmla="*/ 9547 w 5"/>
              <a:gd name="T7" fmla="*/ 0 h 6"/>
              <a:gd name="T8" fmla="*/ 0 w 5"/>
              <a:gd name="T9" fmla="*/ 9172 h 6"/>
              <a:gd name="T10" fmla="*/ 0 60000 65536"/>
              <a:gd name="T11" fmla="*/ 0 60000 65536"/>
              <a:gd name="T12" fmla="*/ 0 60000 65536"/>
              <a:gd name="T13" fmla="*/ 0 60000 65536"/>
              <a:gd name="T14" fmla="*/ 0 60000 65536"/>
              <a:gd name="T15" fmla="*/ 0 w 5"/>
              <a:gd name="T16" fmla="*/ 0 h 6"/>
              <a:gd name="T17" fmla="*/ 5 w 5"/>
              <a:gd name="T18" fmla="*/ 6 h 6"/>
            </a:gdLst>
            <a:ahLst/>
            <a:cxnLst>
              <a:cxn ang="T10">
                <a:pos x="T0" y="T1"/>
              </a:cxn>
              <a:cxn ang="T11">
                <a:pos x="T2" y="T3"/>
              </a:cxn>
              <a:cxn ang="T12">
                <a:pos x="T4" y="T5"/>
              </a:cxn>
              <a:cxn ang="T13">
                <a:pos x="T6" y="T7"/>
              </a:cxn>
              <a:cxn ang="T14">
                <a:pos x="T8" y="T9"/>
              </a:cxn>
            </a:cxnLst>
            <a:rect l="T15" t="T16" r="T17" b="T18"/>
            <a:pathLst>
              <a:path w="5" h="6">
                <a:moveTo>
                  <a:pt x="0" y="3"/>
                </a:moveTo>
                <a:cubicBezTo>
                  <a:pt x="1" y="4"/>
                  <a:pt x="3" y="6"/>
                  <a:pt x="4" y="6"/>
                </a:cubicBezTo>
                <a:cubicBezTo>
                  <a:pt x="5" y="6"/>
                  <a:pt x="4" y="4"/>
                  <a:pt x="4" y="3"/>
                </a:cubicBezTo>
                <a:cubicBezTo>
                  <a:pt x="4" y="2"/>
                  <a:pt x="4" y="0"/>
                  <a:pt x="3" y="0"/>
                </a:cubicBezTo>
                <a:cubicBezTo>
                  <a:pt x="2" y="0"/>
                  <a:pt x="0" y="2"/>
                  <a:pt x="0" y="3"/>
                </a:cubicBezTo>
                <a:close/>
              </a:path>
            </a:pathLst>
          </a:custGeom>
          <a:solidFill>
            <a:schemeClr val="bg1">
              <a:lumMod val="95000"/>
            </a:schemeClr>
          </a:solidFill>
          <a:ln w="3175" cap="rnd">
            <a:solidFill>
              <a:srgbClr val="A5A5A5"/>
            </a:solidFill>
            <a:round/>
            <a:headEnd/>
            <a:tailEnd/>
          </a:ln>
        </xdr:spPr>
      </xdr:sp>
      <xdr:sp macro="" textlink="">
        <xdr:nvSpPr>
          <xdr:cNvPr id="313" name="Freeform 994"/>
          <xdr:cNvSpPr>
            <a:spLocks noChangeAspect="1"/>
          </xdr:cNvSpPr>
        </xdr:nvSpPr>
        <xdr:spPr bwMode="auto">
          <a:xfrm>
            <a:off x="4181451" y="6892070"/>
            <a:ext cx="33104" cy="69083"/>
          </a:xfrm>
          <a:custGeom>
            <a:avLst/>
            <a:gdLst>
              <a:gd name="T0" fmla="*/ 15913 w 12"/>
              <a:gd name="T1" fmla="*/ 1909 h 28"/>
              <a:gd name="T2" fmla="*/ 7956 w 12"/>
              <a:gd name="T3" fmla="*/ 22911 h 28"/>
              <a:gd name="T4" fmla="*/ 11935 w 12"/>
              <a:gd name="T5" fmla="*/ 51549 h 28"/>
              <a:gd name="T6" fmla="*/ 1989 w 12"/>
              <a:gd name="T7" fmla="*/ 74459 h 28"/>
              <a:gd name="T8" fmla="*/ 27847 w 12"/>
              <a:gd name="T9" fmla="*/ 76369 h 28"/>
              <a:gd name="T10" fmla="*/ 31825 w 12"/>
              <a:gd name="T11" fmla="*/ 61095 h 28"/>
              <a:gd name="T12" fmla="*/ 27847 w 12"/>
              <a:gd name="T13" fmla="*/ 49640 h 28"/>
              <a:gd name="T14" fmla="*/ 33814 w 12"/>
              <a:gd name="T15" fmla="*/ 43912 h 28"/>
              <a:gd name="T16" fmla="*/ 25858 w 12"/>
              <a:gd name="T17" fmla="*/ 34366 h 28"/>
              <a:gd name="T18" fmla="*/ 31825 w 12"/>
              <a:gd name="T19" fmla="*/ 28638 h 28"/>
              <a:gd name="T20" fmla="*/ 37793 w 12"/>
              <a:gd name="T21" fmla="*/ 22911 h 28"/>
              <a:gd name="T22" fmla="*/ 27847 w 12"/>
              <a:gd name="T23" fmla="*/ 3818 h 28"/>
              <a:gd name="T24" fmla="*/ 15913 w 12"/>
              <a:gd name="T25" fmla="*/ 1909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
              <a:gd name="T40" fmla="*/ 0 h 28"/>
              <a:gd name="T41" fmla="*/ 12 w 1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 h="28">
                <a:moveTo>
                  <a:pt x="5" y="1"/>
                </a:moveTo>
                <a:cubicBezTo>
                  <a:pt x="3" y="3"/>
                  <a:pt x="3" y="6"/>
                  <a:pt x="2" y="8"/>
                </a:cubicBezTo>
                <a:cubicBezTo>
                  <a:pt x="2" y="11"/>
                  <a:pt x="4" y="14"/>
                  <a:pt x="4" y="18"/>
                </a:cubicBezTo>
                <a:cubicBezTo>
                  <a:pt x="4" y="21"/>
                  <a:pt x="0" y="23"/>
                  <a:pt x="1" y="26"/>
                </a:cubicBezTo>
                <a:cubicBezTo>
                  <a:pt x="2" y="28"/>
                  <a:pt x="6" y="28"/>
                  <a:pt x="9" y="27"/>
                </a:cubicBezTo>
                <a:cubicBezTo>
                  <a:pt x="10" y="26"/>
                  <a:pt x="10" y="23"/>
                  <a:pt x="10" y="21"/>
                </a:cubicBezTo>
                <a:cubicBezTo>
                  <a:pt x="11" y="20"/>
                  <a:pt x="9" y="18"/>
                  <a:pt x="9" y="17"/>
                </a:cubicBezTo>
                <a:cubicBezTo>
                  <a:pt x="10" y="16"/>
                  <a:pt x="11" y="16"/>
                  <a:pt x="11" y="16"/>
                </a:cubicBezTo>
                <a:cubicBezTo>
                  <a:pt x="11" y="14"/>
                  <a:pt x="9" y="14"/>
                  <a:pt x="8" y="12"/>
                </a:cubicBezTo>
                <a:cubicBezTo>
                  <a:pt x="8" y="11"/>
                  <a:pt x="9" y="10"/>
                  <a:pt x="10" y="10"/>
                </a:cubicBezTo>
                <a:cubicBezTo>
                  <a:pt x="10" y="9"/>
                  <a:pt x="12" y="9"/>
                  <a:pt x="12" y="8"/>
                </a:cubicBezTo>
                <a:cubicBezTo>
                  <a:pt x="12" y="6"/>
                  <a:pt x="11" y="4"/>
                  <a:pt x="9" y="2"/>
                </a:cubicBezTo>
                <a:cubicBezTo>
                  <a:pt x="8" y="1"/>
                  <a:pt x="6" y="0"/>
                  <a:pt x="5" y="1"/>
                </a:cubicBezTo>
                <a:close/>
              </a:path>
            </a:pathLst>
          </a:custGeom>
          <a:solidFill>
            <a:schemeClr val="bg1">
              <a:lumMod val="95000"/>
            </a:schemeClr>
          </a:solidFill>
          <a:ln w="3175" cap="rnd">
            <a:solidFill>
              <a:srgbClr val="A5A5A5"/>
            </a:solidFill>
            <a:round/>
            <a:headEnd/>
            <a:tailEnd/>
          </a:ln>
        </xdr:spPr>
      </xdr:sp>
      <xdr:sp macro="" textlink="">
        <xdr:nvSpPr>
          <xdr:cNvPr id="314" name="Freeform 995"/>
          <xdr:cNvSpPr>
            <a:spLocks noChangeAspect="1"/>
          </xdr:cNvSpPr>
        </xdr:nvSpPr>
        <xdr:spPr bwMode="auto">
          <a:xfrm>
            <a:off x="4225589" y="6995695"/>
            <a:ext cx="11035" cy="23028"/>
          </a:xfrm>
          <a:custGeom>
            <a:avLst/>
            <a:gdLst>
              <a:gd name="T0" fmla="*/ 3637 w 7"/>
              <a:gd name="T1" fmla="*/ 21619 h 8"/>
              <a:gd name="T2" fmla="*/ 12730 w 7"/>
              <a:gd name="T3" fmla="*/ 13758 h 8"/>
              <a:gd name="T4" fmla="*/ 14549 w 7"/>
              <a:gd name="T5" fmla="*/ 1965 h 8"/>
              <a:gd name="T6" fmla="*/ 3637 w 7"/>
              <a:gd name="T7" fmla="*/ 0 h 8"/>
              <a:gd name="T8" fmla="*/ 0 w 7"/>
              <a:gd name="T9" fmla="*/ 9827 h 8"/>
              <a:gd name="T10" fmla="*/ 1819 w 7"/>
              <a:gd name="T11" fmla="*/ 17688 h 8"/>
              <a:gd name="T12" fmla="*/ 3637 w 7"/>
              <a:gd name="T13" fmla="*/ 21619 h 8"/>
              <a:gd name="T14" fmla="*/ 0 60000 65536"/>
              <a:gd name="T15" fmla="*/ 0 60000 65536"/>
              <a:gd name="T16" fmla="*/ 0 60000 65536"/>
              <a:gd name="T17" fmla="*/ 0 60000 65536"/>
              <a:gd name="T18" fmla="*/ 0 60000 65536"/>
              <a:gd name="T19" fmla="*/ 0 60000 65536"/>
              <a:gd name="T20" fmla="*/ 0 60000 65536"/>
              <a:gd name="T21" fmla="*/ 0 w 7"/>
              <a:gd name="T22" fmla="*/ 0 h 8"/>
              <a:gd name="T23" fmla="*/ 7 w 7"/>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 h="8">
                <a:moveTo>
                  <a:pt x="2" y="7"/>
                </a:moveTo>
                <a:cubicBezTo>
                  <a:pt x="4" y="7"/>
                  <a:pt x="5" y="6"/>
                  <a:pt x="5" y="5"/>
                </a:cubicBezTo>
                <a:cubicBezTo>
                  <a:pt x="6" y="4"/>
                  <a:pt x="7" y="2"/>
                  <a:pt x="6" y="1"/>
                </a:cubicBezTo>
                <a:cubicBezTo>
                  <a:pt x="5" y="0"/>
                  <a:pt x="4" y="0"/>
                  <a:pt x="2" y="0"/>
                </a:cubicBezTo>
                <a:cubicBezTo>
                  <a:pt x="1" y="0"/>
                  <a:pt x="0" y="2"/>
                  <a:pt x="0" y="3"/>
                </a:cubicBezTo>
                <a:cubicBezTo>
                  <a:pt x="0" y="4"/>
                  <a:pt x="0" y="5"/>
                  <a:pt x="1" y="6"/>
                </a:cubicBezTo>
                <a:cubicBezTo>
                  <a:pt x="1" y="7"/>
                  <a:pt x="2" y="8"/>
                  <a:pt x="2" y="7"/>
                </a:cubicBezTo>
                <a:close/>
              </a:path>
            </a:pathLst>
          </a:custGeom>
          <a:solidFill>
            <a:schemeClr val="bg1">
              <a:lumMod val="95000"/>
            </a:schemeClr>
          </a:solidFill>
          <a:ln w="3175" cap="rnd">
            <a:solidFill>
              <a:srgbClr val="A5A5A5"/>
            </a:solidFill>
            <a:round/>
            <a:headEnd/>
            <a:tailEnd/>
          </a:ln>
        </xdr:spPr>
      </xdr:sp>
      <xdr:sp macro="" textlink="">
        <xdr:nvSpPr>
          <xdr:cNvPr id="315" name="Freeform 996"/>
          <xdr:cNvSpPr>
            <a:spLocks noChangeAspect="1"/>
          </xdr:cNvSpPr>
        </xdr:nvSpPr>
        <xdr:spPr bwMode="auto">
          <a:xfrm>
            <a:off x="4225589" y="7030237"/>
            <a:ext cx="11035" cy="11514"/>
          </a:xfrm>
          <a:custGeom>
            <a:avLst/>
            <a:gdLst>
              <a:gd name="T0" fmla="*/ 0 w 5"/>
              <a:gd name="T1" fmla="*/ 1887 h 5"/>
              <a:gd name="T2" fmla="*/ 1909 w 5"/>
              <a:gd name="T3" fmla="*/ 11321 h 5"/>
              <a:gd name="T4" fmla="*/ 11456 w 5"/>
              <a:gd name="T5" fmla="*/ 9434 h 5"/>
              <a:gd name="T6" fmla="*/ 3819 w 5"/>
              <a:gd name="T7" fmla="*/ 1887 h 5"/>
              <a:gd name="T8" fmla="*/ 0 w 5"/>
              <a:gd name="T9" fmla="*/ 1887 h 5"/>
              <a:gd name="T10" fmla="*/ 0 60000 65536"/>
              <a:gd name="T11" fmla="*/ 0 60000 65536"/>
              <a:gd name="T12" fmla="*/ 0 60000 65536"/>
              <a:gd name="T13" fmla="*/ 0 60000 65536"/>
              <a:gd name="T14" fmla="*/ 0 60000 65536"/>
              <a:gd name="T15" fmla="*/ 0 w 5"/>
              <a:gd name="T16" fmla="*/ 0 h 5"/>
              <a:gd name="T17" fmla="*/ 5 w 5"/>
              <a:gd name="T18" fmla="*/ 5 h 5"/>
            </a:gdLst>
            <a:ahLst/>
            <a:cxnLst>
              <a:cxn ang="T10">
                <a:pos x="T0" y="T1"/>
              </a:cxn>
              <a:cxn ang="T11">
                <a:pos x="T2" y="T3"/>
              </a:cxn>
              <a:cxn ang="T12">
                <a:pos x="T4" y="T5"/>
              </a:cxn>
              <a:cxn ang="T13">
                <a:pos x="T6" y="T7"/>
              </a:cxn>
              <a:cxn ang="T14">
                <a:pos x="T8" y="T9"/>
              </a:cxn>
            </a:cxnLst>
            <a:rect l="T15" t="T16" r="T17" b="T18"/>
            <a:pathLst>
              <a:path w="5" h="5">
                <a:moveTo>
                  <a:pt x="0" y="1"/>
                </a:moveTo>
                <a:cubicBezTo>
                  <a:pt x="0" y="2"/>
                  <a:pt x="0" y="4"/>
                  <a:pt x="1" y="4"/>
                </a:cubicBezTo>
                <a:cubicBezTo>
                  <a:pt x="2" y="5"/>
                  <a:pt x="4" y="4"/>
                  <a:pt x="4" y="3"/>
                </a:cubicBezTo>
                <a:cubicBezTo>
                  <a:pt x="5" y="2"/>
                  <a:pt x="3" y="1"/>
                  <a:pt x="2" y="1"/>
                </a:cubicBezTo>
                <a:cubicBezTo>
                  <a:pt x="2" y="1"/>
                  <a:pt x="0" y="0"/>
                  <a:pt x="0" y="1"/>
                </a:cubicBezTo>
                <a:close/>
              </a:path>
            </a:pathLst>
          </a:custGeom>
          <a:solidFill>
            <a:schemeClr val="bg1">
              <a:lumMod val="95000"/>
            </a:schemeClr>
          </a:solidFill>
          <a:ln w="3175" cap="rnd">
            <a:solidFill>
              <a:srgbClr val="A5A5A5"/>
            </a:solidFill>
            <a:round/>
            <a:headEnd/>
            <a:tailEnd/>
          </a:ln>
        </xdr:spPr>
      </xdr:sp>
      <xdr:sp macro="" textlink="">
        <xdr:nvSpPr>
          <xdr:cNvPr id="316" name="Freeform 997"/>
          <xdr:cNvSpPr>
            <a:spLocks noChangeAspect="1"/>
          </xdr:cNvSpPr>
        </xdr:nvSpPr>
        <xdr:spPr bwMode="auto">
          <a:xfrm>
            <a:off x="4192485" y="7007209"/>
            <a:ext cx="11035" cy="11514"/>
          </a:xfrm>
          <a:custGeom>
            <a:avLst/>
            <a:gdLst>
              <a:gd name="T0" fmla="*/ 1857 w 6"/>
              <a:gd name="T1" fmla="*/ 1887 h 5"/>
              <a:gd name="T2" fmla="*/ 12995 w 6"/>
              <a:gd name="T3" fmla="*/ 3774 h 5"/>
              <a:gd name="T4" fmla="*/ 1857 w 6"/>
              <a:gd name="T5" fmla="*/ 11321 h 5"/>
              <a:gd name="T6" fmla="*/ 1857 w 6"/>
              <a:gd name="T7" fmla="*/ 1887 h 5"/>
              <a:gd name="T8" fmla="*/ 0 60000 65536"/>
              <a:gd name="T9" fmla="*/ 0 60000 65536"/>
              <a:gd name="T10" fmla="*/ 0 60000 65536"/>
              <a:gd name="T11" fmla="*/ 0 60000 65536"/>
              <a:gd name="T12" fmla="*/ 0 w 6"/>
              <a:gd name="T13" fmla="*/ 0 h 5"/>
              <a:gd name="T14" fmla="*/ 6 w 6"/>
              <a:gd name="T15" fmla="*/ 5 h 5"/>
            </a:gdLst>
            <a:ahLst/>
            <a:cxnLst>
              <a:cxn ang="T8">
                <a:pos x="T0" y="T1"/>
              </a:cxn>
              <a:cxn ang="T9">
                <a:pos x="T2" y="T3"/>
              </a:cxn>
              <a:cxn ang="T10">
                <a:pos x="T4" y="T5"/>
              </a:cxn>
              <a:cxn ang="T11">
                <a:pos x="T6" y="T7"/>
              </a:cxn>
            </a:cxnLst>
            <a:rect l="T12" t="T13" r="T14" b="T15"/>
            <a:pathLst>
              <a:path w="6" h="5">
                <a:moveTo>
                  <a:pt x="1" y="1"/>
                </a:moveTo>
                <a:cubicBezTo>
                  <a:pt x="2" y="0"/>
                  <a:pt x="5" y="1"/>
                  <a:pt x="5" y="2"/>
                </a:cubicBezTo>
                <a:cubicBezTo>
                  <a:pt x="6" y="4"/>
                  <a:pt x="3" y="5"/>
                  <a:pt x="1" y="4"/>
                </a:cubicBezTo>
                <a:cubicBezTo>
                  <a:pt x="0" y="4"/>
                  <a:pt x="0" y="1"/>
                  <a:pt x="1" y="1"/>
                </a:cubicBezTo>
                <a:close/>
              </a:path>
            </a:pathLst>
          </a:custGeom>
          <a:solidFill>
            <a:schemeClr val="bg1">
              <a:lumMod val="95000"/>
            </a:schemeClr>
          </a:solidFill>
          <a:ln w="3175" cap="rnd">
            <a:solidFill>
              <a:srgbClr val="A5A5A5"/>
            </a:solidFill>
            <a:round/>
            <a:headEnd/>
            <a:tailEnd/>
          </a:ln>
        </xdr:spPr>
      </xdr:sp>
      <xdr:sp macro="" textlink="">
        <xdr:nvSpPr>
          <xdr:cNvPr id="317" name="Freeform 998"/>
          <xdr:cNvSpPr>
            <a:spLocks noChangeAspect="1"/>
          </xdr:cNvSpPr>
        </xdr:nvSpPr>
        <xdr:spPr bwMode="auto">
          <a:xfrm>
            <a:off x="3604238" y="5383751"/>
            <a:ext cx="22069" cy="46055"/>
          </a:xfrm>
          <a:custGeom>
            <a:avLst/>
            <a:gdLst>
              <a:gd name="T0" fmla="*/ 0 w 10"/>
              <a:gd name="T1" fmla="*/ 3807 h 19"/>
              <a:gd name="T2" fmla="*/ 3819 w 10"/>
              <a:gd name="T3" fmla="*/ 0 h 19"/>
              <a:gd name="T4" fmla="*/ 24823 w 10"/>
              <a:gd name="T5" fmla="*/ 24743 h 19"/>
              <a:gd name="T6" fmla="*/ 26733 w 10"/>
              <a:gd name="T7" fmla="*/ 39970 h 19"/>
              <a:gd name="T8" fmla="*/ 19095 w 10"/>
              <a:gd name="T9" fmla="*/ 51390 h 19"/>
              <a:gd name="T10" fmla="*/ 9548 w 10"/>
              <a:gd name="T11" fmla="*/ 43776 h 19"/>
              <a:gd name="T12" fmla="*/ 3819 w 10"/>
              <a:gd name="T13" fmla="*/ 39970 h 19"/>
              <a:gd name="T14" fmla="*/ 13366 w 10"/>
              <a:gd name="T15" fmla="*/ 30453 h 19"/>
              <a:gd name="T16" fmla="*/ 9548 w 10"/>
              <a:gd name="T17" fmla="*/ 15227 h 19"/>
              <a:gd name="T18" fmla="*/ 0 w 10"/>
              <a:gd name="T19" fmla="*/ 3807 h 19"/>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0"/>
              <a:gd name="T31" fmla="*/ 0 h 19"/>
              <a:gd name="T32" fmla="*/ 10 w 10"/>
              <a:gd name="T33" fmla="*/ 19 h 19"/>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0" h="19">
                <a:moveTo>
                  <a:pt x="0" y="2"/>
                </a:moveTo>
                <a:cubicBezTo>
                  <a:pt x="0" y="1"/>
                  <a:pt x="1" y="0"/>
                  <a:pt x="2" y="0"/>
                </a:cubicBezTo>
                <a:cubicBezTo>
                  <a:pt x="5" y="3"/>
                  <a:pt x="7" y="6"/>
                  <a:pt x="9" y="9"/>
                </a:cubicBezTo>
                <a:cubicBezTo>
                  <a:pt x="10" y="11"/>
                  <a:pt x="10" y="12"/>
                  <a:pt x="10" y="14"/>
                </a:cubicBezTo>
                <a:cubicBezTo>
                  <a:pt x="10" y="15"/>
                  <a:pt x="9" y="17"/>
                  <a:pt x="7" y="18"/>
                </a:cubicBezTo>
                <a:cubicBezTo>
                  <a:pt x="6" y="19"/>
                  <a:pt x="4" y="18"/>
                  <a:pt x="3" y="16"/>
                </a:cubicBezTo>
                <a:cubicBezTo>
                  <a:pt x="2" y="16"/>
                  <a:pt x="2" y="15"/>
                  <a:pt x="2" y="14"/>
                </a:cubicBezTo>
                <a:cubicBezTo>
                  <a:pt x="3" y="13"/>
                  <a:pt x="5" y="12"/>
                  <a:pt x="5" y="11"/>
                </a:cubicBezTo>
                <a:cubicBezTo>
                  <a:pt x="5" y="9"/>
                  <a:pt x="4" y="8"/>
                  <a:pt x="3" y="6"/>
                </a:cubicBezTo>
                <a:cubicBezTo>
                  <a:pt x="2" y="5"/>
                  <a:pt x="0" y="4"/>
                  <a:pt x="0" y="2"/>
                </a:cubicBezTo>
                <a:close/>
              </a:path>
            </a:pathLst>
          </a:custGeom>
          <a:solidFill>
            <a:schemeClr val="bg1">
              <a:lumMod val="95000"/>
            </a:schemeClr>
          </a:solidFill>
          <a:ln w="3175" cap="rnd">
            <a:solidFill>
              <a:srgbClr val="A5A5A5"/>
            </a:solidFill>
            <a:round/>
            <a:headEnd/>
            <a:tailEnd/>
          </a:ln>
        </xdr:spPr>
      </xdr:sp>
      <xdr:sp macro="" textlink="">
        <xdr:nvSpPr>
          <xdr:cNvPr id="318" name="Freeform 999"/>
          <xdr:cNvSpPr>
            <a:spLocks noChangeAspect="1"/>
          </xdr:cNvSpPr>
        </xdr:nvSpPr>
        <xdr:spPr bwMode="auto">
          <a:xfrm>
            <a:off x="4722140" y="5406779"/>
            <a:ext cx="22069" cy="34542"/>
          </a:xfrm>
          <a:custGeom>
            <a:avLst/>
            <a:gdLst>
              <a:gd name="T0" fmla="*/ 0 w 7"/>
              <a:gd name="T1" fmla="*/ 29349 h 12"/>
              <a:gd name="T2" fmla="*/ 2046 w 7"/>
              <a:gd name="T3" fmla="*/ 29349 h 12"/>
              <a:gd name="T4" fmla="*/ 16367 w 7"/>
              <a:gd name="T5" fmla="*/ 16509 h 12"/>
              <a:gd name="T6" fmla="*/ 24550 w 7"/>
              <a:gd name="T7" fmla="*/ 1834 h 12"/>
              <a:gd name="T8" fmla="*/ 12275 w 7"/>
              <a:gd name="T9" fmla="*/ 9172 h 12"/>
              <a:gd name="T10" fmla="*/ 10229 w 7"/>
              <a:gd name="T11" fmla="*/ 20178 h 12"/>
              <a:gd name="T12" fmla="*/ 0 w 7"/>
              <a:gd name="T13" fmla="*/ 29349 h 12"/>
              <a:gd name="T14" fmla="*/ 0 60000 65536"/>
              <a:gd name="T15" fmla="*/ 0 60000 65536"/>
              <a:gd name="T16" fmla="*/ 0 60000 65536"/>
              <a:gd name="T17" fmla="*/ 0 60000 65536"/>
              <a:gd name="T18" fmla="*/ 0 60000 65536"/>
              <a:gd name="T19" fmla="*/ 0 60000 65536"/>
              <a:gd name="T20" fmla="*/ 0 60000 65536"/>
              <a:gd name="T21" fmla="*/ 0 w 7"/>
              <a:gd name="T22" fmla="*/ 0 h 12"/>
              <a:gd name="T23" fmla="*/ 7 w 7"/>
              <a:gd name="T24" fmla="*/ 12 h 1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 h="12">
                <a:moveTo>
                  <a:pt x="0" y="12"/>
                </a:moveTo>
                <a:cubicBezTo>
                  <a:pt x="0" y="12"/>
                  <a:pt x="1" y="12"/>
                  <a:pt x="1" y="12"/>
                </a:cubicBezTo>
                <a:cubicBezTo>
                  <a:pt x="3" y="11"/>
                  <a:pt x="4" y="9"/>
                  <a:pt x="5" y="7"/>
                </a:cubicBezTo>
                <a:cubicBezTo>
                  <a:pt x="6" y="5"/>
                  <a:pt x="7" y="3"/>
                  <a:pt x="7" y="1"/>
                </a:cubicBezTo>
                <a:cubicBezTo>
                  <a:pt x="7" y="0"/>
                  <a:pt x="5" y="2"/>
                  <a:pt x="4" y="3"/>
                </a:cubicBezTo>
                <a:cubicBezTo>
                  <a:pt x="3" y="5"/>
                  <a:pt x="3" y="6"/>
                  <a:pt x="3" y="8"/>
                </a:cubicBezTo>
                <a:cubicBezTo>
                  <a:pt x="2" y="9"/>
                  <a:pt x="0" y="10"/>
                  <a:pt x="0" y="12"/>
                </a:cubicBezTo>
                <a:close/>
              </a:path>
            </a:pathLst>
          </a:custGeom>
          <a:solidFill>
            <a:schemeClr val="bg1">
              <a:lumMod val="95000"/>
            </a:schemeClr>
          </a:solidFill>
          <a:ln w="3175" cap="rnd">
            <a:solidFill>
              <a:srgbClr val="A5A5A5"/>
            </a:solidFill>
            <a:round/>
            <a:headEnd/>
            <a:tailEnd/>
          </a:ln>
        </xdr:spPr>
      </xdr:sp>
      <xdr:sp macro="" textlink="">
        <xdr:nvSpPr>
          <xdr:cNvPr id="319" name="Freeform 1000"/>
          <xdr:cNvSpPr>
            <a:spLocks noChangeAspect="1"/>
          </xdr:cNvSpPr>
        </xdr:nvSpPr>
        <xdr:spPr bwMode="auto">
          <a:xfrm>
            <a:off x="4766279" y="5383751"/>
            <a:ext cx="22069" cy="11514"/>
          </a:xfrm>
          <a:custGeom>
            <a:avLst/>
            <a:gdLst>
              <a:gd name="T0" fmla="*/ 1989 w 8"/>
              <a:gd name="T1" fmla="*/ 1887 h 5"/>
              <a:gd name="T2" fmla="*/ 1989 w 8"/>
              <a:gd name="T3" fmla="*/ 11321 h 5"/>
              <a:gd name="T4" fmla="*/ 17901 w 8"/>
              <a:gd name="T5" fmla="*/ 11321 h 5"/>
              <a:gd name="T6" fmla="*/ 23868 w 8"/>
              <a:gd name="T7" fmla="*/ 1887 h 5"/>
              <a:gd name="T8" fmla="*/ 13923 w 8"/>
              <a:gd name="T9" fmla="*/ 1887 h 5"/>
              <a:gd name="T10" fmla="*/ 1989 w 8"/>
              <a:gd name="T11" fmla="*/ 1887 h 5"/>
              <a:gd name="T12" fmla="*/ 0 60000 65536"/>
              <a:gd name="T13" fmla="*/ 0 60000 65536"/>
              <a:gd name="T14" fmla="*/ 0 60000 65536"/>
              <a:gd name="T15" fmla="*/ 0 60000 65536"/>
              <a:gd name="T16" fmla="*/ 0 60000 65536"/>
              <a:gd name="T17" fmla="*/ 0 60000 65536"/>
              <a:gd name="T18" fmla="*/ 0 w 8"/>
              <a:gd name="T19" fmla="*/ 0 h 5"/>
              <a:gd name="T20" fmla="*/ 8 w 8"/>
              <a:gd name="T21" fmla="*/ 5 h 5"/>
            </a:gdLst>
            <a:ahLst/>
            <a:cxnLst>
              <a:cxn ang="T12">
                <a:pos x="T0" y="T1"/>
              </a:cxn>
              <a:cxn ang="T13">
                <a:pos x="T2" y="T3"/>
              </a:cxn>
              <a:cxn ang="T14">
                <a:pos x="T4" y="T5"/>
              </a:cxn>
              <a:cxn ang="T15">
                <a:pos x="T6" y="T7"/>
              </a:cxn>
              <a:cxn ang="T16">
                <a:pos x="T8" y="T9"/>
              </a:cxn>
              <a:cxn ang="T17">
                <a:pos x="T10" y="T11"/>
              </a:cxn>
            </a:cxnLst>
            <a:rect l="T18" t="T19" r="T20" b="T21"/>
            <a:pathLst>
              <a:path w="8" h="5">
                <a:moveTo>
                  <a:pt x="1" y="1"/>
                </a:moveTo>
                <a:cubicBezTo>
                  <a:pt x="0" y="2"/>
                  <a:pt x="0" y="4"/>
                  <a:pt x="1" y="4"/>
                </a:cubicBezTo>
                <a:cubicBezTo>
                  <a:pt x="2" y="5"/>
                  <a:pt x="4" y="5"/>
                  <a:pt x="6" y="4"/>
                </a:cubicBezTo>
                <a:cubicBezTo>
                  <a:pt x="7" y="4"/>
                  <a:pt x="8" y="2"/>
                  <a:pt x="8" y="1"/>
                </a:cubicBezTo>
                <a:cubicBezTo>
                  <a:pt x="7" y="0"/>
                  <a:pt x="6" y="1"/>
                  <a:pt x="5" y="1"/>
                </a:cubicBezTo>
                <a:cubicBezTo>
                  <a:pt x="4" y="1"/>
                  <a:pt x="2" y="0"/>
                  <a:pt x="1" y="1"/>
                </a:cubicBezTo>
                <a:close/>
              </a:path>
            </a:pathLst>
          </a:custGeom>
          <a:solidFill>
            <a:schemeClr val="bg1">
              <a:lumMod val="95000"/>
            </a:schemeClr>
          </a:solidFill>
          <a:ln w="3175" cap="rnd">
            <a:solidFill>
              <a:srgbClr val="A5A5A5"/>
            </a:solidFill>
            <a:round/>
            <a:headEnd/>
            <a:tailEnd/>
          </a:ln>
        </xdr:spPr>
      </xdr:sp>
      <xdr:sp macro="" textlink="">
        <xdr:nvSpPr>
          <xdr:cNvPr id="320" name="Freeform 1001"/>
          <xdr:cNvSpPr>
            <a:spLocks noChangeAspect="1"/>
          </xdr:cNvSpPr>
        </xdr:nvSpPr>
        <xdr:spPr bwMode="auto">
          <a:xfrm>
            <a:off x="4755244" y="5383751"/>
            <a:ext cx="11035" cy="11514"/>
          </a:xfrm>
          <a:custGeom>
            <a:avLst/>
            <a:gdLst>
              <a:gd name="T0" fmla="*/ 0 w 4"/>
              <a:gd name="T1" fmla="*/ 3774 h 5"/>
              <a:gd name="T2" fmla="*/ 7956 w 4"/>
              <a:gd name="T3" fmla="*/ 11321 h 5"/>
              <a:gd name="T4" fmla="*/ 9945 w 4"/>
              <a:gd name="T5" fmla="*/ 0 h 5"/>
              <a:gd name="T6" fmla="*/ 0 w 4"/>
              <a:gd name="T7" fmla="*/ 3774 h 5"/>
              <a:gd name="T8" fmla="*/ 0 60000 65536"/>
              <a:gd name="T9" fmla="*/ 0 60000 65536"/>
              <a:gd name="T10" fmla="*/ 0 60000 65536"/>
              <a:gd name="T11" fmla="*/ 0 60000 65536"/>
              <a:gd name="T12" fmla="*/ 0 w 4"/>
              <a:gd name="T13" fmla="*/ 0 h 5"/>
              <a:gd name="T14" fmla="*/ 4 w 4"/>
              <a:gd name="T15" fmla="*/ 5 h 5"/>
            </a:gdLst>
            <a:ahLst/>
            <a:cxnLst>
              <a:cxn ang="T8">
                <a:pos x="T0" y="T1"/>
              </a:cxn>
              <a:cxn ang="T9">
                <a:pos x="T2" y="T3"/>
              </a:cxn>
              <a:cxn ang="T10">
                <a:pos x="T4" y="T5"/>
              </a:cxn>
              <a:cxn ang="T11">
                <a:pos x="T6" y="T7"/>
              </a:cxn>
            </a:cxnLst>
            <a:rect l="T12" t="T13" r="T14" b="T15"/>
            <a:pathLst>
              <a:path w="4" h="5">
                <a:moveTo>
                  <a:pt x="0" y="2"/>
                </a:moveTo>
                <a:cubicBezTo>
                  <a:pt x="0" y="3"/>
                  <a:pt x="1" y="5"/>
                  <a:pt x="2" y="4"/>
                </a:cubicBezTo>
                <a:cubicBezTo>
                  <a:pt x="3" y="4"/>
                  <a:pt x="4" y="1"/>
                  <a:pt x="3" y="0"/>
                </a:cubicBezTo>
                <a:cubicBezTo>
                  <a:pt x="2" y="0"/>
                  <a:pt x="0" y="1"/>
                  <a:pt x="0" y="2"/>
                </a:cubicBezTo>
                <a:close/>
              </a:path>
            </a:pathLst>
          </a:custGeom>
          <a:solidFill>
            <a:schemeClr val="bg1">
              <a:lumMod val="95000"/>
            </a:schemeClr>
          </a:solidFill>
          <a:ln w="3175" cap="rnd">
            <a:solidFill>
              <a:srgbClr val="A5A5A5"/>
            </a:solidFill>
            <a:round/>
            <a:headEnd/>
            <a:tailEnd/>
          </a:ln>
        </xdr:spPr>
      </xdr:sp>
      <xdr:sp macro="" textlink="">
        <xdr:nvSpPr>
          <xdr:cNvPr id="321" name="Freeform 1002"/>
          <xdr:cNvSpPr>
            <a:spLocks noChangeAspect="1"/>
          </xdr:cNvSpPr>
        </xdr:nvSpPr>
        <xdr:spPr bwMode="auto">
          <a:xfrm>
            <a:off x="4369038" y="5015307"/>
            <a:ext cx="22069" cy="11514"/>
          </a:xfrm>
          <a:custGeom>
            <a:avLst/>
            <a:gdLst>
              <a:gd name="T0" fmla="*/ 9548 w 10"/>
              <a:gd name="T1" fmla="*/ 1887 h 5"/>
              <a:gd name="T2" fmla="*/ 1910 w 10"/>
              <a:gd name="T3" fmla="*/ 11321 h 5"/>
              <a:gd name="T4" fmla="*/ 22914 w 10"/>
              <a:gd name="T5" fmla="*/ 11321 h 5"/>
              <a:gd name="T6" fmla="*/ 24823 w 10"/>
              <a:gd name="T7" fmla="*/ 1887 h 5"/>
              <a:gd name="T8" fmla="*/ 13366 w 10"/>
              <a:gd name="T9" fmla="*/ 1887 h 5"/>
              <a:gd name="T10" fmla="*/ 9548 w 10"/>
              <a:gd name="T11" fmla="*/ 1887 h 5"/>
              <a:gd name="T12" fmla="*/ 0 60000 65536"/>
              <a:gd name="T13" fmla="*/ 0 60000 65536"/>
              <a:gd name="T14" fmla="*/ 0 60000 65536"/>
              <a:gd name="T15" fmla="*/ 0 60000 65536"/>
              <a:gd name="T16" fmla="*/ 0 60000 65536"/>
              <a:gd name="T17" fmla="*/ 0 60000 65536"/>
              <a:gd name="T18" fmla="*/ 0 w 10"/>
              <a:gd name="T19" fmla="*/ 0 h 5"/>
              <a:gd name="T20" fmla="*/ 10 w 10"/>
              <a:gd name="T21" fmla="*/ 5 h 5"/>
            </a:gdLst>
            <a:ahLst/>
            <a:cxnLst>
              <a:cxn ang="T12">
                <a:pos x="T0" y="T1"/>
              </a:cxn>
              <a:cxn ang="T13">
                <a:pos x="T2" y="T3"/>
              </a:cxn>
              <a:cxn ang="T14">
                <a:pos x="T4" y="T5"/>
              </a:cxn>
              <a:cxn ang="T15">
                <a:pos x="T6" y="T7"/>
              </a:cxn>
              <a:cxn ang="T16">
                <a:pos x="T8" y="T9"/>
              </a:cxn>
              <a:cxn ang="T17">
                <a:pos x="T10" y="T11"/>
              </a:cxn>
            </a:cxnLst>
            <a:rect l="T18" t="T19" r="T20" b="T21"/>
            <a:pathLst>
              <a:path w="10" h="5">
                <a:moveTo>
                  <a:pt x="3" y="1"/>
                </a:moveTo>
                <a:cubicBezTo>
                  <a:pt x="2" y="1"/>
                  <a:pt x="0" y="3"/>
                  <a:pt x="1" y="4"/>
                </a:cubicBezTo>
                <a:cubicBezTo>
                  <a:pt x="3" y="5"/>
                  <a:pt x="6" y="5"/>
                  <a:pt x="8" y="4"/>
                </a:cubicBezTo>
                <a:cubicBezTo>
                  <a:pt x="9" y="4"/>
                  <a:pt x="10" y="2"/>
                  <a:pt x="9" y="1"/>
                </a:cubicBezTo>
                <a:cubicBezTo>
                  <a:pt x="8" y="0"/>
                  <a:pt x="7" y="1"/>
                  <a:pt x="5" y="1"/>
                </a:cubicBezTo>
                <a:cubicBezTo>
                  <a:pt x="4" y="1"/>
                  <a:pt x="3" y="0"/>
                  <a:pt x="3" y="1"/>
                </a:cubicBezTo>
                <a:close/>
              </a:path>
            </a:pathLst>
          </a:custGeom>
          <a:solidFill>
            <a:schemeClr val="bg1">
              <a:lumMod val="95000"/>
            </a:schemeClr>
          </a:solidFill>
          <a:ln w="3175" cap="rnd">
            <a:solidFill>
              <a:srgbClr val="A5A5A5"/>
            </a:solidFill>
            <a:round/>
            <a:headEnd/>
            <a:tailEnd/>
          </a:ln>
        </xdr:spPr>
      </xdr:sp>
      <xdr:sp macro="" textlink="">
        <xdr:nvSpPr>
          <xdr:cNvPr id="322" name="Freeform 1009"/>
          <xdr:cNvSpPr>
            <a:spLocks noChangeAspect="1"/>
          </xdr:cNvSpPr>
        </xdr:nvSpPr>
        <xdr:spPr bwMode="auto">
          <a:xfrm>
            <a:off x="3856548" y="4646862"/>
            <a:ext cx="22069" cy="11514"/>
          </a:xfrm>
          <a:custGeom>
            <a:avLst/>
            <a:gdLst>
              <a:gd name="T0" fmla="*/ 13614 w 9"/>
              <a:gd name="T1" fmla="*/ 0 h 8"/>
              <a:gd name="T2" fmla="*/ 23339 w 9"/>
              <a:gd name="T3" fmla="*/ 12546 h 8"/>
              <a:gd name="T4" fmla="*/ 1945 w 9"/>
              <a:gd name="T5" fmla="*/ 14114 h 8"/>
              <a:gd name="T6" fmla="*/ 3890 w 9"/>
              <a:gd name="T7" fmla="*/ 9409 h 8"/>
              <a:gd name="T8" fmla="*/ 1945 w 9"/>
              <a:gd name="T9" fmla="*/ 1568 h 8"/>
              <a:gd name="T10" fmla="*/ 13614 w 9"/>
              <a:gd name="T11" fmla="*/ 0 h 8"/>
              <a:gd name="T12" fmla="*/ 0 60000 65536"/>
              <a:gd name="T13" fmla="*/ 0 60000 65536"/>
              <a:gd name="T14" fmla="*/ 0 60000 65536"/>
              <a:gd name="T15" fmla="*/ 0 60000 65536"/>
              <a:gd name="T16" fmla="*/ 0 60000 65536"/>
              <a:gd name="T17" fmla="*/ 0 60000 65536"/>
              <a:gd name="T18" fmla="*/ 0 w 9"/>
              <a:gd name="T19" fmla="*/ 0 h 8"/>
              <a:gd name="T20" fmla="*/ 9 w 9"/>
              <a:gd name="T21" fmla="*/ 8 h 8"/>
            </a:gdLst>
            <a:ahLst/>
            <a:cxnLst>
              <a:cxn ang="T12">
                <a:pos x="T0" y="T1"/>
              </a:cxn>
              <a:cxn ang="T13">
                <a:pos x="T2" y="T3"/>
              </a:cxn>
              <a:cxn ang="T14">
                <a:pos x="T4" y="T5"/>
              </a:cxn>
              <a:cxn ang="T15">
                <a:pos x="T6" y="T7"/>
              </a:cxn>
              <a:cxn ang="T16">
                <a:pos x="T8" y="T9"/>
              </a:cxn>
              <a:cxn ang="T17">
                <a:pos x="T10" y="T11"/>
              </a:cxn>
            </a:cxnLst>
            <a:rect l="T18" t="T19" r="T20" b="T21"/>
            <a:pathLst>
              <a:path w="9" h="8">
                <a:moveTo>
                  <a:pt x="5" y="0"/>
                </a:moveTo>
                <a:cubicBezTo>
                  <a:pt x="6" y="2"/>
                  <a:pt x="9" y="4"/>
                  <a:pt x="8" y="6"/>
                </a:cubicBezTo>
                <a:cubicBezTo>
                  <a:pt x="7" y="8"/>
                  <a:pt x="3" y="8"/>
                  <a:pt x="1" y="7"/>
                </a:cubicBezTo>
                <a:cubicBezTo>
                  <a:pt x="0" y="7"/>
                  <a:pt x="2" y="5"/>
                  <a:pt x="2" y="4"/>
                </a:cubicBezTo>
                <a:cubicBezTo>
                  <a:pt x="2" y="3"/>
                  <a:pt x="1" y="2"/>
                  <a:pt x="1" y="1"/>
                </a:cubicBezTo>
                <a:cubicBezTo>
                  <a:pt x="2" y="0"/>
                  <a:pt x="4" y="0"/>
                  <a:pt x="5" y="0"/>
                </a:cubicBezTo>
                <a:close/>
              </a:path>
            </a:pathLst>
          </a:custGeom>
          <a:solidFill>
            <a:schemeClr val="bg1">
              <a:lumMod val="95000"/>
            </a:schemeClr>
          </a:solidFill>
          <a:ln w="3175" cap="rnd">
            <a:solidFill>
              <a:srgbClr val="A5A5A5"/>
            </a:solidFill>
            <a:round/>
            <a:headEnd/>
            <a:tailEnd/>
          </a:ln>
        </xdr:spPr>
      </xdr:sp>
      <xdr:sp macro="" textlink="">
        <xdr:nvSpPr>
          <xdr:cNvPr id="323" name="Freeform 1015"/>
          <xdr:cNvSpPr>
            <a:spLocks noChangeAspect="1"/>
          </xdr:cNvSpPr>
        </xdr:nvSpPr>
        <xdr:spPr bwMode="auto">
          <a:xfrm>
            <a:off x="4115244" y="4600807"/>
            <a:ext cx="0" cy="0"/>
          </a:xfrm>
          <a:custGeom>
            <a:avLst/>
            <a:gdLst>
              <a:gd name="T0" fmla="*/ 3183 w 4"/>
              <a:gd name="T1" fmla="*/ 3145 h 2"/>
              <a:gd name="T2" fmla="*/ 0 w 4"/>
              <a:gd name="T3" fmla="*/ 1573 h 2"/>
              <a:gd name="T4" fmla="*/ 3183 w 4"/>
              <a:gd name="T5" fmla="*/ 0 h 2"/>
              <a:gd name="T6" fmla="*/ 6365 w 4"/>
              <a:gd name="T7" fmla="*/ 1573 h 2"/>
              <a:gd name="T8" fmla="*/ 3183 w 4"/>
              <a:gd name="T9" fmla="*/ 3145 h 2"/>
              <a:gd name="T10" fmla="*/ 0 60000 65536"/>
              <a:gd name="T11" fmla="*/ 0 60000 65536"/>
              <a:gd name="T12" fmla="*/ 0 60000 65536"/>
              <a:gd name="T13" fmla="*/ 0 60000 65536"/>
              <a:gd name="T14" fmla="*/ 0 60000 65536"/>
              <a:gd name="T15" fmla="*/ 0 w 4"/>
              <a:gd name="T16" fmla="*/ 0 h 2"/>
              <a:gd name="T17" fmla="*/ 4 w 4"/>
              <a:gd name="T18" fmla="*/ 2 h 2"/>
            </a:gdLst>
            <a:ahLst/>
            <a:cxnLst>
              <a:cxn ang="T10">
                <a:pos x="T0" y="T1"/>
              </a:cxn>
              <a:cxn ang="T11">
                <a:pos x="T2" y="T3"/>
              </a:cxn>
              <a:cxn ang="T12">
                <a:pos x="T4" y="T5"/>
              </a:cxn>
              <a:cxn ang="T13">
                <a:pos x="T6" y="T7"/>
              </a:cxn>
              <a:cxn ang="T14">
                <a:pos x="T8" y="T9"/>
              </a:cxn>
            </a:cxnLst>
            <a:rect l="T15" t="T16" r="T17" b="T18"/>
            <a:pathLst>
              <a:path w="4" h="2">
                <a:moveTo>
                  <a:pt x="2" y="2"/>
                </a:moveTo>
                <a:cubicBezTo>
                  <a:pt x="1" y="2"/>
                  <a:pt x="0" y="1"/>
                  <a:pt x="0" y="1"/>
                </a:cubicBezTo>
                <a:cubicBezTo>
                  <a:pt x="0" y="0"/>
                  <a:pt x="1" y="0"/>
                  <a:pt x="2" y="0"/>
                </a:cubicBezTo>
                <a:cubicBezTo>
                  <a:pt x="2" y="0"/>
                  <a:pt x="4" y="0"/>
                  <a:pt x="4" y="1"/>
                </a:cubicBezTo>
                <a:cubicBezTo>
                  <a:pt x="4" y="2"/>
                  <a:pt x="2" y="2"/>
                  <a:pt x="2" y="2"/>
                </a:cubicBezTo>
                <a:close/>
              </a:path>
            </a:pathLst>
          </a:custGeom>
          <a:solidFill>
            <a:schemeClr val="bg1">
              <a:lumMod val="95000"/>
            </a:schemeClr>
          </a:solidFill>
          <a:ln w="3175" cap="rnd">
            <a:solidFill>
              <a:srgbClr val="A5A5A5"/>
            </a:solidFill>
            <a:round/>
            <a:headEnd/>
            <a:tailEnd/>
          </a:ln>
        </xdr:spPr>
      </xdr:sp>
      <xdr:sp macro="" textlink="">
        <xdr:nvSpPr>
          <xdr:cNvPr id="324" name="Oval 831"/>
          <xdr:cNvSpPr>
            <a:spLocks noChangeAspect="1" noChangeArrowheads="1"/>
          </xdr:cNvSpPr>
        </xdr:nvSpPr>
        <xdr:spPr bwMode="auto">
          <a:xfrm>
            <a:off x="4115244" y="4543238"/>
            <a:ext cx="0" cy="11514"/>
          </a:xfrm>
          <a:prstGeom prst="ellipse">
            <a:avLst/>
          </a:prstGeom>
          <a:solidFill>
            <a:schemeClr val="bg1">
              <a:lumMod val="95000"/>
            </a:schemeClr>
          </a:solidFill>
          <a:ln w="3175" cap="rnd">
            <a:solidFill>
              <a:srgbClr val="A5A5A5"/>
            </a:solidFill>
            <a:round/>
            <a:headEnd/>
            <a:tailEnd/>
          </a:ln>
        </xdr:spPr>
      </xdr:sp>
      <xdr:sp macro="" textlink="">
        <xdr:nvSpPr>
          <xdr:cNvPr id="325" name="Freeform 837"/>
          <xdr:cNvSpPr>
            <a:spLocks noChangeAspect="1"/>
          </xdr:cNvSpPr>
        </xdr:nvSpPr>
        <xdr:spPr bwMode="auto">
          <a:xfrm>
            <a:off x="4181451" y="4646862"/>
            <a:ext cx="11035" cy="0"/>
          </a:xfrm>
          <a:custGeom>
            <a:avLst/>
            <a:gdLst>
              <a:gd name="T0" fmla="*/ 8487 w 3"/>
              <a:gd name="T1" fmla="*/ 1573 h 2"/>
              <a:gd name="T2" fmla="*/ 8487 w 3"/>
              <a:gd name="T3" fmla="*/ 1573 h 2"/>
              <a:gd name="T4" fmla="*/ 2122 w 3"/>
              <a:gd name="T5" fmla="*/ 3145 h 2"/>
              <a:gd name="T6" fmla="*/ 0 w 3"/>
              <a:gd name="T7" fmla="*/ 1573 h 2"/>
              <a:gd name="T8" fmla="*/ 8487 w 3"/>
              <a:gd name="T9" fmla="*/ 1573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1"/>
                </a:moveTo>
                <a:cubicBezTo>
                  <a:pt x="2" y="1"/>
                  <a:pt x="3" y="1"/>
                  <a:pt x="2" y="1"/>
                </a:cubicBezTo>
                <a:cubicBezTo>
                  <a:pt x="2" y="2"/>
                  <a:pt x="2" y="2"/>
                  <a:pt x="1" y="2"/>
                </a:cubicBezTo>
                <a:cubicBezTo>
                  <a:pt x="1" y="2"/>
                  <a:pt x="0" y="2"/>
                  <a:pt x="0" y="1"/>
                </a:cubicBezTo>
                <a:cubicBezTo>
                  <a:pt x="0" y="0"/>
                  <a:pt x="1" y="0"/>
                  <a:pt x="2" y="1"/>
                </a:cubicBezTo>
                <a:close/>
              </a:path>
            </a:pathLst>
          </a:custGeom>
          <a:solidFill>
            <a:schemeClr val="bg1">
              <a:lumMod val="95000"/>
            </a:schemeClr>
          </a:solidFill>
          <a:ln w="3175" cap="rnd">
            <a:solidFill>
              <a:srgbClr val="A5A5A5"/>
            </a:solidFill>
            <a:round/>
            <a:headEnd/>
            <a:tailEnd/>
          </a:ln>
        </xdr:spPr>
      </xdr:sp>
      <xdr:sp macro="" textlink="">
        <xdr:nvSpPr>
          <xdr:cNvPr id="326" name="Freeform 1011"/>
          <xdr:cNvSpPr>
            <a:spLocks noChangeAspect="1"/>
          </xdr:cNvSpPr>
        </xdr:nvSpPr>
        <xdr:spPr bwMode="auto">
          <a:xfrm>
            <a:off x="4066203" y="4566265"/>
            <a:ext cx="0" cy="11514"/>
          </a:xfrm>
          <a:custGeom>
            <a:avLst/>
            <a:gdLst>
              <a:gd name="T0" fmla="*/ 4774 w 4"/>
              <a:gd name="T1" fmla="*/ 7861 h 4"/>
              <a:gd name="T2" fmla="*/ 6365 w 4"/>
              <a:gd name="T3" fmla="*/ 11791 h 4"/>
              <a:gd name="T4" fmla="*/ 1591 w 4"/>
              <a:gd name="T5" fmla="*/ 9826 h 4"/>
              <a:gd name="T6" fmla="*/ 0 w 4"/>
              <a:gd name="T7" fmla="*/ 1965 h 4"/>
              <a:gd name="T8" fmla="*/ 4774 w 4"/>
              <a:gd name="T9" fmla="*/ 7861 h 4"/>
              <a:gd name="T10" fmla="*/ 0 60000 65536"/>
              <a:gd name="T11" fmla="*/ 0 60000 65536"/>
              <a:gd name="T12" fmla="*/ 0 60000 65536"/>
              <a:gd name="T13" fmla="*/ 0 60000 65536"/>
              <a:gd name="T14" fmla="*/ 0 60000 65536"/>
              <a:gd name="T15" fmla="*/ 0 w 4"/>
              <a:gd name="T16" fmla="*/ 0 h 4"/>
              <a:gd name="T17" fmla="*/ 4 w 4"/>
              <a:gd name="T18" fmla="*/ 4 h 4"/>
            </a:gdLst>
            <a:ahLst/>
            <a:cxnLst>
              <a:cxn ang="T10">
                <a:pos x="T0" y="T1"/>
              </a:cxn>
              <a:cxn ang="T11">
                <a:pos x="T2" y="T3"/>
              </a:cxn>
              <a:cxn ang="T12">
                <a:pos x="T4" y="T5"/>
              </a:cxn>
              <a:cxn ang="T13">
                <a:pos x="T6" y="T7"/>
              </a:cxn>
              <a:cxn ang="T14">
                <a:pos x="T8" y="T9"/>
              </a:cxn>
            </a:cxnLst>
            <a:rect l="T15" t="T16" r="T17" b="T18"/>
            <a:pathLst>
              <a:path w="4" h="4">
                <a:moveTo>
                  <a:pt x="3" y="2"/>
                </a:moveTo>
                <a:cubicBezTo>
                  <a:pt x="3" y="3"/>
                  <a:pt x="4" y="4"/>
                  <a:pt x="4" y="4"/>
                </a:cubicBezTo>
                <a:cubicBezTo>
                  <a:pt x="3" y="4"/>
                  <a:pt x="2" y="4"/>
                  <a:pt x="1" y="3"/>
                </a:cubicBezTo>
                <a:cubicBezTo>
                  <a:pt x="1" y="2"/>
                  <a:pt x="0" y="1"/>
                  <a:pt x="0" y="1"/>
                </a:cubicBezTo>
                <a:cubicBezTo>
                  <a:pt x="1" y="0"/>
                  <a:pt x="2" y="2"/>
                  <a:pt x="3" y="2"/>
                </a:cubicBezTo>
                <a:close/>
              </a:path>
            </a:pathLst>
          </a:custGeom>
          <a:solidFill>
            <a:schemeClr val="bg1">
              <a:lumMod val="95000"/>
            </a:schemeClr>
          </a:solidFill>
          <a:ln w="3175" cap="rnd">
            <a:solidFill>
              <a:srgbClr val="A5A5A5"/>
            </a:solidFill>
            <a:round/>
            <a:headEnd/>
            <a:tailEnd/>
          </a:ln>
        </xdr:spPr>
      </xdr:sp>
      <xdr:sp macro="" textlink="">
        <xdr:nvSpPr>
          <xdr:cNvPr id="327" name="Freeform 1148"/>
          <xdr:cNvSpPr>
            <a:spLocks noChangeAspect="1"/>
          </xdr:cNvSpPr>
        </xdr:nvSpPr>
        <xdr:spPr bwMode="auto">
          <a:xfrm>
            <a:off x="4578693" y="7214459"/>
            <a:ext cx="44138" cy="34542"/>
          </a:xfrm>
          <a:custGeom>
            <a:avLst/>
            <a:gdLst>
              <a:gd name="T0" fmla="*/ 15276 w 20"/>
              <a:gd name="T1" fmla="*/ 39208 h 16"/>
              <a:gd name="T2" fmla="*/ 53466 w 20"/>
              <a:gd name="T3" fmla="*/ 3734 h 16"/>
              <a:gd name="T4" fmla="*/ 45828 w 20"/>
              <a:gd name="T5" fmla="*/ 0 h 16"/>
              <a:gd name="T6" fmla="*/ 30552 w 20"/>
              <a:gd name="T7" fmla="*/ 3734 h 16"/>
              <a:gd name="T8" fmla="*/ 15276 w 20"/>
              <a:gd name="T9" fmla="*/ 1867 h 16"/>
              <a:gd name="T10" fmla="*/ 15276 w 20"/>
              <a:gd name="T11" fmla="*/ 9335 h 16"/>
              <a:gd name="T12" fmla="*/ 11457 w 20"/>
              <a:gd name="T13" fmla="*/ 13069 h 16"/>
              <a:gd name="T14" fmla="*/ 24823 w 20"/>
              <a:gd name="T15" fmla="*/ 14937 h 16"/>
              <a:gd name="T16" fmla="*/ 13366 w 20"/>
              <a:gd name="T17" fmla="*/ 26139 h 16"/>
              <a:gd name="T18" fmla="*/ 0 w 20"/>
              <a:gd name="T19" fmla="*/ 33607 h 16"/>
              <a:gd name="T20" fmla="*/ 15276 w 20"/>
              <a:gd name="T21" fmla="*/ 39208 h 1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0"/>
              <a:gd name="T34" fmla="*/ 0 h 16"/>
              <a:gd name="T35" fmla="*/ 20 w 20"/>
              <a:gd name="T36" fmla="*/ 16 h 1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0" h="16">
                <a:moveTo>
                  <a:pt x="6" y="15"/>
                </a:moveTo>
                <a:cubicBezTo>
                  <a:pt x="11" y="12"/>
                  <a:pt x="15" y="7"/>
                  <a:pt x="19" y="2"/>
                </a:cubicBezTo>
                <a:cubicBezTo>
                  <a:pt x="20" y="1"/>
                  <a:pt x="18" y="0"/>
                  <a:pt x="17" y="0"/>
                </a:cubicBezTo>
                <a:cubicBezTo>
                  <a:pt x="15" y="0"/>
                  <a:pt x="13" y="2"/>
                  <a:pt x="11" y="2"/>
                </a:cubicBezTo>
                <a:cubicBezTo>
                  <a:pt x="9" y="2"/>
                  <a:pt x="8" y="1"/>
                  <a:pt x="6" y="1"/>
                </a:cubicBezTo>
                <a:cubicBezTo>
                  <a:pt x="6" y="1"/>
                  <a:pt x="7" y="3"/>
                  <a:pt x="6" y="3"/>
                </a:cubicBezTo>
                <a:cubicBezTo>
                  <a:pt x="6" y="4"/>
                  <a:pt x="4" y="4"/>
                  <a:pt x="4" y="5"/>
                </a:cubicBezTo>
                <a:cubicBezTo>
                  <a:pt x="6" y="6"/>
                  <a:pt x="9" y="4"/>
                  <a:pt x="9" y="6"/>
                </a:cubicBezTo>
                <a:cubicBezTo>
                  <a:pt x="10" y="8"/>
                  <a:pt x="6" y="9"/>
                  <a:pt x="5" y="10"/>
                </a:cubicBezTo>
                <a:cubicBezTo>
                  <a:pt x="3" y="11"/>
                  <a:pt x="0" y="11"/>
                  <a:pt x="0" y="13"/>
                </a:cubicBezTo>
                <a:cubicBezTo>
                  <a:pt x="1" y="15"/>
                  <a:pt x="4" y="16"/>
                  <a:pt x="6" y="15"/>
                </a:cubicBezTo>
                <a:close/>
              </a:path>
            </a:pathLst>
          </a:custGeom>
          <a:solidFill>
            <a:schemeClr val="bg1">
              <a:lumMod val="95000"/>
            </a:schemeClr>
          </a:solidFill>
          <a:ln w="3175" cap="rnd">
            <a:solidFill>
              <a:srgbClr val="A5A5A5"/>
            </a:solidFill>
            <a:round/>
            <a:headEnd/>
            <a:tailEnd/>
          </a:ln>
        </xdr:spPr>
      </xdr:sp>
      <xdr:sp macro="" textlink="">
        <xdr:nvSpPr>
          <xdr:cNvPr id="328" name="Freeform 1149"/>
          <xdr:cNvSpPr>
            <a:spLocks noChangeAspect="1"/>
          </xdr:cNvSpPr>
        </xdr:nvSpPr>
        <xdr:spPr bwMode="auto">
          <a:xfrm>
            <a:off x="4622831" y="7214459"/>
            <a:ext cx="44138" cy="34542"/>
          </a:xfrm>
          <a:custGeom>
            <a:avLst/>
            <a:gdLst>
              <a:gd name="T0" fmla="*/ 1937 w 23"/>
              <a:gd name="T1" fmla="*/ 27191 h 17"/>
              <a:gd name="T2" fmla="*/ 52304 w 23"/>
              <a:gd name="T3" fmla="*/ 1942 h 17"/>
              <a:gd name="T4" fmla="*/ 65864 w 23"/>
              <a:gd name="T5" fmla="*/ 11653 h 17"/>
              <a:gd name="T6" fmla="*/ 54241 w 23"/>
              <a:gd name="T7" fmla="*/ 21365 h 17"/>
              <a:gd name="T8" fmla="*/ 42618 w 23"/>
              <a:gd name="T9" fmla="*/ 23307 h 17"/>
              <a:gd name="T10" fmla="*/ 29058 w 23"/>
              <a:gd name="T11" fmla="*/ 33018 h 17"/>
              <a:gd name="T12" fmla="*/ 17435 w 23"/>
              <a:gd name="T13" fmla="*/ 36902 h 17"/>
              <a:gd name="T14" fmla="*/ 17435 w 23"/>
              <a:gd name="T15" fmla="*/ 44671 h 17"/>
              <a:gd name="T16" fmla="*/ 1937 w 23"/>
              <a:gd name="T17" fmla="*/ 48556 h 17"/>
              <a:gd name="T18" fmla="*/ 1937 w 23"/>
              <a:gd name="T19" fmla="*/ 27191 h 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3"/>
              <a:gd name="T31" fmla="*/ 0 h 17"/>
              <a:gd name="T32" fmla="*/ 23 w 23"/>
              <a:gd name="T33" fmla="*/ 17 h 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3" h="17">
                <a:moveTo>
                  <a:pt x="1" y="9"/>
                </a:moveTo>
                <a:cubicBezTo>
                  <a:pt x="6" y="5"/>
                  <a:pt x="12" y="2"/>
                  <a:pt x="18" y="1"/>
                </a:cubicBezTo>
                <a:cubicBezTo>
                  <a:pt x="20" y="0"/>
                  <a:pt x="22" y="2"/>
                  <a:pt x="23" y="4"/>
                </a:cubicBezTo>
                <a:cubicBezTo>
                  <a:pt x="23" y="6"/>
                  <a:pt x="21" y="6"/>
                  <a:pt x="19" y="7"/>
                </a:cubicBezTo>
                <a:cubicBezTo>
                  <a:pt x="18" y="7"/>
                  <a:pt x="16" y="7"/>
                  <a:pt x="15" y="8"/>
                </a:cubicBezTo>
                <a:cubicBezTo>
                  <a:pt x="13" y="9"/>
                  <a:pt x="12" y="10"/>
                  <a:pt x="10" y="11"/>
                </a:cubicBezTo>
                <a:cubicBezTo>
                  <a:pt x="9" y="12"/>
                  <a:pt x="7" y="11"/>
                  <a:pt x="6" y="12"/>
                </a:cubicBezTo>
                <a:cubicBezTo>
                  <a:pt x="5" y="12"/>
                  <a:pt x="6" y="14"/>
                  <a:pt x="6" y="15"/>
                </a:cubicBezTo>
                <a:cubicBezTo>
                  <a:pt x="4" y="15"/>
                  <a:pt x="2" y="17"/>
                  <a:pt x="1" y="16"/>
                </a:cubicBezTo>
                <a:cubicBezTo>
                  <a:pt x="0" y="14"/>
                  <a:pt x="0" y="10"/>
                  <a:pt x="1" y="9"/>
                </a:cubicBezTo>
                <a:close/>
              </a:path>
            </a:pathLst>
          </a:custGeom>
          <a:solidFill>
            <a:schemeClr val="bg1">
              <a:lumMod val="95000"/>
            </a:schemeClr>
          </a:solidFill>
          <a:ln w="3175" cap="rnd">
            <a:solidFill>
              <a:srgbClr val="A5A5A5"/>
            </a:solidFill>
            <a:round/>
            <a:headEnd/>
            <a:tailEnd/>
          </a:ln>
        </xdr:spPr>
      </xdr:sp>
      <xdr:sp macro="" textlink="">
        <xdr:nvSpPr>
          <xdr:cNvPr id="329" name="Freeform 1150"/>
          <xdr:cNvSpPr>
            <a:spLocks noChangeAspect="1"/>
          </xdr:cNvSpPr>
        </xdr:nvSpPr>
        <xdr:spPr bwMode="auto">
          <a:xfrm>
            <a:off x="5201528" y="7318084"/>
            <a:ext cx="55173" cy="46055"/>
          </a:xfrm>
          <a:custGeom>
            <a:avLst/>
            <a:gdLst>
              <a:gd name="T0" fmla="*/ 76380 w 26"/>
              <a:gd name="T1" fmla="*/ 40355 h 18"/>
              <a:gd name="T2" fmla="*/ 64629 w 26"/>
              <a:gd name="T3" fmla="*/ 23846 h 18"/>
              <a:gd name="T4" fmla="*/ 43086 w 26"/>
              <a:gd name="T5" fmla="*/ 3669 h 18"/>
              <a:gd name="T6" fmla="*/ 17626 w 26"/>
              <a:gd name="T7" fmla="*/ 0 h 18"/>
              <a:gd name="T8" fmla="*/ 0 w 26"/>
              <a:gd name="T9" fmla="*/ 0 h 18"/>
              <a:gd name="T10" fmla="*/ 23502 w 26"/>
              <a:gd name="T11" fmla="*/ 11006 h 18"/>
              <a:gd name="T12" fmla="*/ 54837 w 26"/>
              <a:gd name="T13" fmla="*/ 31184 h 18"/>
              <a:gd name="T14" fmla="*/ 72463 w 26"/>
              <a:gd name="T15" fmla="*/ 44024 h 18"/>
              <a:gd name="T16" fmla="*/ 76380 w 26"/>
              <a:gd name="T17" fmla="*/ 40355 h 1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18"/>
              <a:gd name="T29" fmla="*/ 26 w 26"/>
              <a:gd name="T30" fmla="*/ 18 h 18"/>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18">
                <a:moveTo>
                  <a:pt x="26" y="16"/>
                </a:moveTo>
                <a:cubicBezTo>
                  <a:pt x="25" y="13"/>
                  <a:pt x="24" y="11"/>
                  <a:pt x="22" y="9"/>
                </a:cubicBezTo>
                <a:cubicBezTo>
                  <a:pt x="20" y="6"/>
                  <a:pt x="18" y="4"/>
                  <a:pt x="15" y="2"/>
                </a:cubicBezTo>
                <a:cubicBezTo>
                  <a:pt x="12" y="1"/>
                  <a:pt x="9" y="1"/>
                  <a:pt x="6" y="0"/>
                </a:cubicBezTo>
                <a:cubicBezTo>
                  <a:pt x="4" y="0"/>
                  <a:pt x="2" y="0"/>
                  <a:pt x="0" y="0"/>
                </a:cubicBezTo>
                <a:cubicBezTo>
                  <a:pt x="3" y="2"/>
                  <a:pt x="5" y="2"/>
                  <a:pt x="8" y="4"/>
                </a:cubicBezTo>
                <a:cubicBezTo>
                  <a:pt x="12" y="7"/>
                  <a:pt x="16" y="10"/>
                  <a:pt x="19" y="13"/>
                </a:cubicBezTo>
                <a:cubicBezTo>
                  <a:pt x="21" y="14"/>
                  <a:pt x="23" y="16"/>
                  <a:pt x="24" y="18"/>
                </a:cubicBezTo>
                <a:cubicBezTo>
                  <a:pt x="25" y="17"/>
                  <a:pt x="26" y="17"/>
                  <a:pt x="26" y="16"/>
                </a:cubicBezTo>
                <a:close/>
              </a:path>
            </a:pathLst>
          </a:custGeom>
          <a:solidFill>
            <a:schemeClr val="bg1">
              <a:lumMod val="95000"/>
            </a:schemeClr>
          </a:solidFill>
          <a:ln w="3175" cap="rnd">
            <a:solidFill>
              <a:srgbClr val="A5A5A5"/>
            </a:solidFill>
            <a:round/>
            <a:headEnd/>
            <a:tailEnd/>
          </a:ln>
        </xdr:spPr>
      </xdr:sp>
      <xdr:sp macro="" textlink="">
        <xdr:nvSpPr>
          <xdr:cNvPr id="330" name="Freeform 1162"/>
          <xdr:cNvSpPr>
            <a:spLocks noChangeAspect="1"/>
          </xdr:cNvSpPr>
        </xdr:nvSpPr>
        <xdr:spPr bwMode="auto">
          <a:xfrm>
            <a:off x="3780789" y="4992279"/>
            <a:ext cx="0" cy="11514"/>
          </a:xfrm>
          <a:custGeom>
            <a:avLst/>
            <a:gdLst>
              <a:gd name="T0" fmla="*/ 3183 w 3"/>
              <a:gd name="T1" fmla="*/ 3145 h 3"/>
              <a:gd name="T2" fmla="*/ 4774 w 3"/>
              <a:gd name="T3" fmla="*/ 4717 h 3"/>
              <a:gd name="T4" fmla="*/ 1591 w 3"/>
              <a:gd name="T5" fmla="*/ 3145 h 3"/>
              <a:gd name="T6" fmla="*/ 1591 w 3"/>
              <a:gd name="T7" fmla="*/ 1572 h 3"/>
              <a:gd name="T8" fmla="*/ 3183 w 3"/>
              <a:gd name="T9" fmla="*/ 314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3" y="2"/>
                  <a:pt x="3" y="2"/>
                  <a:pt x="3" y="3"/>
                </a:cubicBezTo>
                <a:cubicBezTo>
                  <a:pt x="2" y="3"/>
                  <a:pt x="2" y="3"/>
                  <a:pt x="1" y="2"/>
                </a:cubicBezTo>
                <a:cubicBezTo>
                  <a:pt x="1" y="2"/>
                  <a:pt x="0" y="1"/>
                  <a:pt x="1" y="1"/>
                </a:cubicBezTo>
                <a:cubicBezTo>
                  <a:pt x="1" y="0"/>
                  <a:pt x="2" y="1"/>
                  <a:pt x="2" y="2"/>
                </a:cubicBezTo>
                <a:close/>
              </a:path>
            </a:pathLst>
          </a:custGeom>
          <a:solidFill>
            <a:schemeClr val="bg1">
              <a:lumMod val="95000"/>
            </a:schemeClr>
          </a:solidFill>
          <a:ln w="3175" cap="rnd">
            <a:solidFill>
              <a:srgbClr val="A5A5A5"/>
            </a:solidFill>
            <a:round/>
            <a:headEnd/>
            <a:tailEnd/>
          </a:ln>
        </xdr:spPr>
      </xdr:sp>
      <xdr:sp macro="" textlink="">
        <xdr:nvSpPr>
          <xdr:cNvPr id="331" name="Freeform 1163"/>
          <xdr:cNvSpPr>
            <a:spLocks noChangeAspect="1"/>
          </xdr:cNvSpPr>
        </xdr:nvSpPr>
        <xdr:spPr bwMode="auto">
          <a:xfrm>
            <a:off x="4501451" y="7352625"/>
            <a:ext cx="33104" cy="11514"/>
          </a:xfrm>
          <a:custGeom>
            <a:avLst/>
            <a:gdLst>
              <a:gd name="T0" fmla="*/ 1836 w 13"/>
              <a:gd name="T1" fmla="*/ 9434 h 5"/>
              <a:gd name="T2" fmla="*/ 11016 w 13"/>
              <a:gd name="T3" fmla="*/ 1887 h 5"/>
              <a:gd name="T4" fmla="*/ 29377 w 13"/>
              <a:gd name="T5" fmla="*/ 1887 h 5"/>
              <a:gd name="T6" fmla="*/ 25705 w 13"/>
              <a:gd name="T7" fmla="*/ 9434 h 5"/>
              <a:gd name="T8" fmla="*/ 12853 w 13"/>
              <a:gd name="T9" fmla="*/ 9434 h 5"/>
              <a:gd name="T10" fmla="*/ 5508 w 13"/>
              <a:gd name="T11" fmla="*/ 13208 h 5"/>
              <a:gd name="T12" fmla="*/ 1836 w 13"/>
              <a:gd name="T13" fmla="*/ 9434 h 5"/>
              <a:gd name="T14" fmla="*/ 0 60000 65536"/>
              <a:gd name="T15" fmla="*/ 0 60000 65536"/>
              <a:gd name="T16" fmla="*/ 0 60000 65536"/>
              <a:gd name="T17" fmla="*/ 0 60000 65536"/>
              <a:gd name="T18" fmla="*/ 0 60000 65536"/>
              <a:gd name="T19" fmla="*/ 0 60000 65536"/>
              <a:gd name="T20" fmla="*/ 0 60000 65536"/>
              <a:gd name="T21" fmla="*/ 0 w 13"/>
              <a:gd name="T22" fmla="*/ 0 h 5"/>
              <a:gd name="T23" fmla="*/ 13 w 13"/>
              <a:gd name="T24" fmla="*/ 5 h 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5">
                <a:moveTo>
                  <a:pt x="1" y="3"/>
                </a:moveTo>
                <a:cubicBezTo>
                  <a:pt x="1" y="2"/>
                  <a:pt x="3" y="1"/>
                  <a:pt x="4" y="1"/>
                </a:cubicBezTo>
                <a:cubicBezTo>
                  <a:pt x="7" y="1"/>
                  <a:pt x="10" y="0"/>
                  <a:pt x="12" y="1"/>
                </a:cubicBezTo>
                <a:cubicBezTo>
                  <a:pt x="13" y="2"/>
                  <a:pt x="11" y="3"/>
                  <a:pt x="10" y="3"/>
                </a:cubicBezTo>
                <a:cubicBezTo>
                  <a:pt x="8" y="4"/>
                  <a:pt x="7" y="3"/>
                  <a:pt x="5" y="3"/>
                </a:cubicBezTo>
                <a:cubicBezTo>
                  <a:pt x="4" y="3"/>
                  <a:pt x="4" y="5"/>
                  <a:pt x="3" y="5"/>
                </a:cubicBezTo>
                <a:cubicBezTo>
                  <a:pt x="2" y="4"/>
                  <a:pt x="0" y="4"/>
                  <a:pt x="1" y="3"/>
                </a:cubicBezTo>
                <a:close/>
              </a:path>
            </a:pathLst>
          </a:custGeom>
          <a:solidFill>
            <a:schemeClr val="bg1">
              <a:lumMod val="95000"/>
            </a:schemeClr>
          </a:solidFill>
          <a:ln w="3175" cap="rnd">
            <a:solidFill>
              <a:srgbClr val="A5A5A5"/>
            </a:solidFill>
            <a:round/>
            <a:headEnd/>
            <a:tailEnd/>
          </a:ln>
        </xdr:spPr>
      </xdr:sp>
      <xdr:sp macro="" textlink="">
        <xdr:nvSpPr>
          <xdr:cNvPr id="332" name="HTI"/>
          <xdr:cNvSpPr>
            <a:spLocks noChangeAspect="1"/>
          </xdr:cNvSpPr>
        </xdr:nvSpPr>
        <xdr:spPr bwMode="auto">
          <a:xfrm>
            <a:off x="4104210" y="4704432"/>
            <a:ext cx="77242" cy="57570"/>
          </a:xfrm>
          <a:custGeom>
            <a:avLst/>
            <a:gdLst>
              <a:gd name="T0" fmla="*/ 97596 w 39"/>
              <a:gd name="T1" fmla="*/ 69362 h 26"/>
              <a:gd name="T2" fmla="*/ 99473 w 39"/>
              <a:gd name="T3" fmla="*/ 65613 h 26"/>
              <a:gd name="T4" fmla="*/ 86335 w 39"/>
              <a:gd name="T5" fmla="*/ 50616 h 26"/>
              <a:gd name="T6" fmla="*/ 97596 w 39"/>
              <a:gd name="T7" fmla="*/ 39368 h 26"/>
              <a:gd name="T8" fmla="*/ 93842 w 39"/>
              <a:gd name="T9" fmla="*/ 31869 h 26"/>
              <a:gd name="T10" fmla="*/ 99473 w 39"/>
              <a:gd name="T11" fmla="*/ 24371 h 26"/>
              <a:gd name="T12" fmla="*/ 97596 w 39"/>
              <a:gd name="T13" fmla="*/ 3749 h 26"/>
              <a:gd name="T14" fmla="*/ 82581 w 39"/>
              <a:gd name="T15" fmla="*/ 9373 h 26"/>
              <a:gd name="T16" fmla="*/ 71320 w 39"/>
              <a:gd name="T17" fmla="*/ 1875 h 26"/>
              <a:gd name="T18" fmla="*/ 46921 w 39"/>
              <a:gd name="T19" fmla="*/ 1875 h 26"/>
              <a:gd name="T20" fmla="*/ 39414 w 39"/>
              <a:gd name="T21" fmla="*/ 13123 h 26"/>
              <a:gd name="T22" fmla="*/ 41291 w 39"/>
              <a:gd name="T23" fmla="*/ 18747 h 26"/>
              <a:gd name="T24" fmla="*/ 58182 w 39"/>
              <a:gd name="T25" fmla="*/ 18747 h 26"/>
              <a:gd name="T26" fmla="*/ 60059 w 39"/>
              <a:gd name="T27" fmla="*/ 37493 h 26"/>
              <a:gd name="T28" fmla="*/ 75074 w 39"/>
              <a:gd name="T29" fmla="*/ 50616 h 26"/>
              <a:gd name="T30" fmla="*/ 61936 w 39"/>
              <a:gd name="T31" fmla="*/ 50616 h 26"/>
              <a:gd name="T32" fmla="*/ 24399 w 39"/>
              <a:gd name="T33" fmla="*/ 46866 h 26"/>
              <a:gd name="T34" fmla="*/ 11261 w 39"/>
              <a:gd name="T35" fmla="*/ 44992 h 26"/>
              <a:gd name="T36" fmla="*/ 0 w 39"/>
              <a:gd name="T37" fmla="*/ 54365 h 26"/>
              <a:gd name="T38" fmla="*/ 11261 w 39"/>
              <a:gd name="T39" fmla="*/ 59989 h 26"/>
              <a:gd name="T40" fmla="*/ 26276 w 39"/>
              <a:gd name="T41" fmla="*/ 67488 h 26"/>
              <a:gd name="T42" fmla="*/ 48798 w 39"/>
              <a:gd name="T43" fmla="*/ 59989 h 26"/>
              <a:gd name="T44" fmla="*/ 63813 w 39"/>
              <a:gd name="T45" fmla="*/ 65613 h 26"/>
              <a:gd name="T46" fmla="*/ 82581 w 39"/>
              <a:gd name="T47" fmla="*/ 59989 h 26"/>
              <a:gd name="T48" fmla="*/ 97596 w 39"/>
              <a:gd name="T49" fmla="*/ 69362 h 2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9"/>
              <a:gd name="T76" fmla="*/ 0 h 26"/>
              <a:gd name="T77" fmla="*/ 39 w 39"/>
              <a:gd name="T78" fmla="*/ 26 h 2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9" h="26">
                <a:moveTo>
                  <a:pt x="37" y="26"/>
                </a:moveTo>
                <a:cubicBezTo>
                  <a:pt x="37" y="26"/>
                  <a:pt x="38" y="25"/>
                  <a:pt x="38" y="24"/>
                </a:cubicBezTo>
                <a:cubicBezTo>
                  <a:pt x="37" y="22"/>
                  <a:pt x="34" y="21"/>
                  <a:pt x="33" y="19"/>
                </a:cubicBezTo>
                <a:cubicBezTo>
                  <a:pt x="33" y="18"/>
                  <a:pt x="36" y="17"/>
                  <a:pt x="37" y="15"/>
                </a:cubicBezTo>
                <a:cubicBezTo>
                  <a:pt x="37" y="14"/>
                  <a:pt x="36" y="13"/>
                  <a:pt x="36" y="12"/>
                </a:cubicBezTo>
                <a:cubicBezTo>
                  <a:pt x="37" y="11"/>
                  <a:pt x="38" y="11"/>
                  <a:pt x="38" y="9"/>
                </a:cubicBezTo>
                <a:cubicBezTo>
                  <a:pt x="39" y="7"/>
                  <a:pt x="38" y="5"/>
                  <a:pt x="37" y="2"/>
                </a:cubicBezTo>
                <a:cubicBezTo>
                  <a:pt x="35" y="3"/>
                  <a:pt x="33" y="4"/>
                  <a:pt x="31" y="3"/>
                </a:cubicBezTo>
                <a:cubicBezTo>
                  <a:pt x="30" y="3"/>
                  <a:pt x="29" y="1"/>
                  <a:pt x="27" y="1"/>
                </a:cubicBezTo>
                <a:cubicBezTo>
                  <a:pt x="24" y="0"/>
                  <a:pt x="21" y="0"/>
                  <a:pt x="18" y="1"/>
                </a:cubicBezTo>
                <a:cubicBezTo>
                  <a:pt x="17" y="2"/>
                  <a:pt x="15" y="4"/>
                  <a:pt x="15" y="5"/>
                </a:cubicBezTo>
                <a:cubicBezTo>
                  <a:pt x="14" y="6"/>
                  <a:pt x="16" y="7"/>
                  <a:pt x="16" y="7"/>
                </a:cubicBezTo>
                <a:cubicBezTo>
                  <a:pt x="18" y="7"/>
                  <a:pt x="20" y="6"/>
                  <a:pt x="22" y="7"/>
                </a:cubicBezTo>
                <a:cubicBezTo>
                  <a:pt x="23" y="9"/>
                  <a:pt x="22" y="12"/>
                  <a:pt x="23" y="14"/>
                </a:cubicBezTo>
                <a:cubicBezTo>
                  <a:pt x="25" y="16"/>
                  <a:pt x="29" y="16"/>
                  <a:pt x="29" y="19"/>
                </a:cubicBezTo>
                <a:cubicBezTo>
                  <a:pt x="29" y="20"/>
                  <a:pt x="25" y="19"/>
                  <a:pt x="24" y="19"/>
                </a:cubicBezTo>
                <a:cubicBezTo>
                  <a:pt x="19" y="19"/>
                  <a:pt x="14" y="19"/>
                  <a:pt x="9" y="18"/>
                </a:cubicBezTo>
                <a:cubicBezTo>
                  <a:pt x="7" y="18"/>
                  <a:pt x="6" y="16"/>
                  <a:pt x="4" y="17"/>
                </a:cubicBezTo>
                <a:cubicBezTo>
                  <a:pt x="2" y="17"/>
                  <a:pt x="0" y="19"/>
                  <a:pt x="0" y="20"/>
                </a:cubicBezTo>
                <a:cubicBezTo>
                  <a:pt x="0" y="22"/>
                  <a:pt x="3" y="23"/>
                  <a:pt x="4" y="23"/>
                </a:cubicBezTo>
                <a:cubicBezTo>
                  <a:pt x="6" y="24"/>
                  <a:pt x="8" y="25"/>
                  <a:pt x="10" y="25"/>
                </a:cubicBezTo>
                <a:cubicBezTo>
                  <a:pt x="13" y="25"/>
                  <a:pt x="16" y="24"/>
                  <a:pt x="19" y="23"/>
                </a:cubicBezTo>
                <a:cubicBezTo>
                  <a:pt x="21" y="23"/>
                  <a:pt x="23" y="24"/>
                  <a:pt x="25" y="24"/>
                </a:cubicBezTo>
                <a:cubicBezTo>
                  <a:pt x="27" y="24"/>
                  <a:pt x="29" y="22"/>
                  <a:pt x="31" y="23"/>
                </a:cubicBezTo>
                <a:cubicBezTo>
                  <a:pt x="33" y="24"/>
                  <a:pt x="34" y="25"/>
                  <a:pt x="37" y="26"/>
                </a:cubicBezTo>
                <a:close/>
              </a:path>
            </a:pathLst>
          </a:custGeom>
          <a:solidFill>
            <a:schemeClr val="bg1">
              <a:lumMod val="95000"/>
            </a:schemeClr>
          </a:solidFill>
          <a:ln w="3175" cap="rnd">
            <a:solidFill>
              <a:srgbClr val="A5A5A5"/>
            </a:solidFill>
            <a:round/>
            <a:headEnd/>
            <a:tailEnd/>
          </a:ln>
        </xdr:spPr>
      </xdr:sp>
      <xdr:sp macro="" textlink="">
        <xdr:nvSpPr>
          <xdr:cNvPr id="333" name="GUY"/>
          <xdr:cNvSpPr>
            <a:spLocks noChangeAspect="1"/>
          </xdr:cNvSpPr>
        </xdr:nvSpPr>
        <xdr:spPr bwMode="auto">
          <a:xfrm>
            <a:off x="4457313" y="5118932"/>
            <a:ext cx="132414" cy="241792"/>
          </a:xfrm>
          <a:custGeom>
            <a:avLst/>
            <a:gdLst>
              <a:gd name="T0" fmla="*/ 168596 w 63"/>
              <a:gd name="T1" fmla="*/ 244044 h 103"/>
              <a:gd name="T2" fmla="*/ 161018 w 63"/>
              <a:gd name="T3" fmla="*/ 234658 h 103"/>
              <a:gd name="T4" fmla="*/ 153441 w 63"/>
              <a:gd name="T5" fmla="*/ 221517 h 103"/>
              <a:gd name="T6" fmla="*/ 145864 w 63"/>
              <a:gd name="T7" fmla="*/ 198990 h 103"/>
              <a:gd name="T8" fmla="*/ 142075 w 63"/>
              <a:gd name="T9" fmla="*/ 197113 h 103"/>
              <a:gd name="T10" fmla="*/ 142075 w 63"/>
              <a:gd name="T11" fmla="*/ 185849 h 103"/>
              <a:gd name="T12" fmla="*/ 134498 w 63"/>
              <a:gd name="T13" fmla="*/ 185849 h 103"/>
              <a:gd name="T14" fmla="*/ 117449 w 63"/>
              <a:gd name="T15" fmla="*/ 159567 h 103"/>
              <a:gd name="T16" fmla="*/ 123132 w 63"/>
              <a:gd name="T17" fmla="*/ 144549 h 103"/>
              <a:gd name="T18" fmla="*/ 126920 w 63"/>
              <a:gd name="T19" fmla="*/ 129531 h 103"/>
              <a:gd name="T20" fmla="*/ 140181 w 63"/>
              <a:gd name="T21" fmla="*/ 129531 h 103"/>
              <a:gd name="T22" fmla="*/ 143969 w 63"/>
              <a:gd name="T23" fmla="*/ 118268 h 103"/>
              <a:gd name="T24" fmla="*/ 142075 w 63"/>
              <a:gd name="T25" fmla="*/ 101372 h 103"/>
              <a:gd name="T26" fmla="*/ 151547 w 63"/>
              <a:gd name="T27" fmla="*/ 90109 h 103"/>
              <a:gd name="T28" fmla="*/ 143969 w 63"/>
              <a:gd name="T29" fmla="*/ 78845 h 103"/>
              <a:gd name="T30" fmla="*/ 134498 w 63"/>
              <a:gd name="T31" fmla="*/ 69459 h 103"/>
              <a:gd name="T32" fmla="*/ 117449 w 63"/>
              <a:gd name="T33" fmla="*/ 58195 h 103"/>
              <a:gd name="T34" fmla="*/ 104188 w 63"/>
              <a:gd name="T35" fmla="*/ 56318 h 103"/>
              <a:gd name="T36" fmla="*/ 98505 w 63"/>
              <a:gd name="T37" fmla="*/ 69459 h 103"/>
              <a:gd name="T38" fmla="*/ 98505 w 63"/>
              <a:gd name="T39" fmla="*/ 56318 h 103"/>
              <a:gd name="T40" fmla="*/ 98505 w 63"/>
              <a:gd name="T41" fmla="*/ 41300 h 103"/>
              <a:gd name="T42" fmla="*/ 87139 w 63"/>
              <a:gd name="T43" fmla="*/ 18773 h 103"/>
              <a:gd name="T44" fmla="*/ 81456 w 63"/>
              <a:gd name="T45" fmla="*/ 11264 h 103"/>
              <a:gd name="T46" fmla="*/ 68196 w 63"/>
              <a:gd name="T47" fmla="*/ 1877 h 103"/>
              <a:gd name="T48" fmla="*/ 60619 w 63"/>
              <a:gd name="T49" fmla="*/ 0 h 103"/>
              <a:gd name="T50" fmla="*/ 51147 w 63"/>
              <a:gd name="T51" fmla="*/ 3755 h 103"/>
              <a:gd name="T52" fmla="*/ 37887 w 63"/>
              <a:gd name="T53" fmla="*/ 15018 h 103"/>
              <a:gd name="T54" fmla="*/ 24626 w 63"/>
              <a:gd name="T55" fmla="*/ 31913 h 103"/>
              <a:gd name="T56" fmla="*/ 32204 w 63"/>
              <a:gd name="T57" fmla="*/ 43177 h 103"/>
              <a:gd name="T58" fmla="*/ 43570 w 63"/>
              <a:gd name="T59" fmla="*/ 48809 h 103"/>
              <a:gd name="T60" fmla="*/ 26521 w 63"/>
              <a:gd name="T61" fmla="*/ 56318 h 103"/>
              <a:gd name="T62" fmla="*/ 9472 w 63"/>
              <a:gd name="T63" fmla="*/ 63827 h 103"/>
              <a:gd name="T64" fmla="*/ 3789 w 63"/>
              <a:gd name="T65" fmla="*/ 69459 h 103"/>
              <a:gd name="T66" fmla="*/ 3789 w 63"/>
              <a:gd name="T67" fmla="*/ 84477 h 103"/>
              <a:gd name="T68" fmla="*/ 0 w 63"/>
              <a:gd name="T69" fmla="*/ 88231 h 103"/>
              <a:gd name="T70" fmla="*/ 26521 w 63"/>
              <a:gd name="T71" fmla="*/ 118268 h 103"/>
              <a:gd name="T72" fmla="*/ 45464 w 63"/>
              <a:gd name="T73" fmla="*/ 118268 h 103"/>
              <a:gd name="T74" fmla="*/ 47358 w 63"/>
              <a:gd name="T75" fmla="*/ 129531 h 103"/>
              <a:gd name="T76" fmla="*/ 43570 w 63"/>
              <a:gd name="T77" fmla="*/ 135163 h 103"/>
              <a:gd name="T78" fmla="*/ 45464 w 63"/>
              <a:gd name="T79" fmla="*/ 144549 h 103"/>
              <a:gd name="T80" fmla="*/ 60619 w 63"/>
              <a:gd name="T81" fmla="*/ 144549 h 103"/>
              <a:gd name="T82" fmla="*/ 60619 w 63"/>
              <a:gd name="T83" fmla="*/ 159567 h 103"/>
              <a:gd name="T84" fmla="*/ 71985 w 63"/>
              <a:gd name="T85" fmla="*/ 165199 h 103"/>
              <a:gd name="T86" fmla="*/ 51147 w 63"/>
              <a:gd name="T87" fmla="*/ 178340 h 103"/>
              <a:gd name="T88" fmla="*/ 51147 w 63"/>
              <a:gd name="T89" fmla="*/ 217762 h 103"/>
              <a:gd name="T90" fmla="*/ 58724 w 63"/>
              <a:gd name="T91" fmla="*/ 225271 h 103"/>
              <a:gd name="T92" fmla="*/ 58724 w 63"/>
              <a:gd name="T93" fmla="*/ 240290 h 103"/>
              <a:gd name="T94" fmla="*/ 66302 w 63"/>
              <a:gd name="T95" fmla="*/ 247799 h 103"/>
              <a:gd name="T96" fmla="*/ 81456 w 63"/>
              <a:gd name="T97" fmla="*/ 255308 h 103"/>
              <a:gd name="T98" fmla="*/ 81456 w 63"/>
              <a:gd name="T99" fmla="*/ 266571 h 103"/>
              <a:gd name="T100" fmla="*/ 90928 w 63"/>
              <a:gd name="T101" fmla="*/ 275958 h 103"/>
              <a:gd name="T102" fmla="*/ 102294 w 63"/>
              <a:gd name="T103" fmla="*/ 277835 h 103"/>
              <a:gd name="T104" fmla="*/ 98505 w 63"/>
              <a:gd name="T105" fmla="*/ 266571 h 103"/>
              <a:gd name="T106" fmla="*/ 113660 w 63"/>
              <a:gd name="T107" fmla="*/ 255308 h 103"/>
              <a:gd name="T108" fmla="*/ 121237 w 63"/>
              <a:gd name="T109" fmla="*/ 262817 h 103"/>
              <a:gd name="T110" fmla="*/ 126920 w 63"/>
              <a:gd name="T111" fmla="*/ 247799 h 103"/>
              <a:gd name="T112" fmla="*/ 138286 w 63"/>
              <a:gd name="T113" fmla="*/ 247799 h 103"/>
              <a:gd name="T114" fmla="*/ 142075 w 63"/>
              <a:gd name="T115" fmla="*/ 242167 h 103"/>
              <a:gd name="T116" fmla="*/ 153441 w 63"/>
              <a:gd name="T117" fmla="*/ 244044 h 103"/>
              <a:gd name="T118" fmla="*/ 168596 w 63"/>
              <a:gd name="T119" fmla="*/ 244044 h 10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63"/>
              <a:gd name="T181" fmla="*/ 0 h 103"/>
              <a:gd name="T182" fmla="*/ 63 w 63"/>
              <a:gd name="T183" fmla="*/ 103 h 10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63" h="103">
                <a:moveTo>
                  <a:pt x="63" y="90"/>
                </a:moveTo>
                <a:cubicBezTo>
                  <a:pt x="62" y="89"/>
                  <a:pt x="60" y="87"/>
                  <a:pt x="60" y="86"/>
                </a:cubicBezTo>
                <a:cubicBezTo>
                  <a:pt x="59" y="84"/>
                  <a:pt x="58" y="83"/>
                  <a:pt x="57" y="81"/>
                </a:cubicBezTo>
                <a:cubicBezTo>
                  <a:pt x="56" y="78"/>
                  <a:pt x="54" y="75"/>
                  <a:pt x="55" y="73"/>
                </a:cubicBezTo>
                <a:cubicBezTo>
                  <a:pt x="55" y="72"/>
                  <a:pt x="53" y="73"/>
                  <a:pt x="53" y="72"/>
                </a:cubicBezTo>
                <a:cubicBezTo>
                  <a:pt x="52" y="71"/>
                  <a:pt x="54" y="69"/>
                  <a:pt x="53" y="68"/>
                </a:cubicBezTo>
                <a:cubicBezTo>
                  <a:pt x="52" y="67"/>
                  <a:pt x="51" y="69"/>
                  <a:pt x="50" y="68"/>
                </a:cubicBezTo>
                <a:cubicBezTo>
                  <a:pt x="48" y="65"/>
                  <a:pt x="45" y="62"/>
                  <a:pt x="44" y="59"/>
                </a:cubicBezTo>
                <a:cubicBezTo>
                  <a:pt x="44" y="57"/>
                  <a:pt x="46" y="55"/>
                  <a:pt x="46" y="53"/>
                </a:cubicBezTo>
                <a:cubicBezTo>
                  <a:pt x="47" y="51"/>
                  <a:pt x="46" y="49"/>
                  <a:pt x="47" y="47"/>
                </a:cubicBezTo>
                <a:cubicBezTo>
                  <a:pt x="48" y="46"/>
                  <a:pt x="50" y="47"/>
                  <a:pt x="52" y="47"/>
                </a:cubicBezTo>
                <a:cubicBezTo>
                  <a:pt x="53" y="46"/>
                  <a:pt x="54" y="45"/>
                  <a:pt x="54" y="43"/>
                </a:cubicBezTo>
                <a:cubicBezTo>
                  <a:pt x="54" y="41"/>
                  <a:pt x="53" y="39"/>
                  <a:pt x="53" y="37"/>
                </a:cubicBezTo>
                <a:cubicBezTo>
                  <a:pt x="53" y="36"/>
                  <a:pt x="55" y="35"/>
                  <a:pt x="56" y="33"/>
                </a:cubicBezTo>
                <a:cubicBezTo>
                  <a:pt x="56" y="32"/>
                  <a:pt x="55" y="30"/>
                  <a:pt x="54" y="29"/>
                </a:cubicBezTo>
                <a:cubicBezTo>
                  <a:pt x="53" y="28"/>
                  <a:pt x="51" y="27"/>
                  <a:pt x="50" y="26"/>
                </a:cubicBezTo>
                <a:cubicBezTo>
                  <a:pt x="48" y="25"/>
                  <a:pt x="46" y="23"/>
                  <a:pt x="44" y="22"/>
                </a:cubicBezTo>
                <a:cubicBezTo>
                  <a:pt x="43" y="21"/>
                  <a:pt x="41" y="20"/>
                  <a:pt x="39" y="21"/>
                </a:cubicBezTo>
                <a:cubicBezTo>
                  <a:pt x="38" y="22"/>
                  <a:pt x="38" y="26"/>
                  <a:pt x="37" y="26"/>
                </a:cubicBezTo>
                <a:cubicBezTo>
                  <a:pt x="35" y="26"/>
                  <a:pt x="37" y="23"/>
                  <a:pt x="37" y="21"/>
                </a:cubicBezTo>
                <a:cubicBezTo>
                  <a:pt x="37" y="19"/>
                  <a:pt x="37" y="17"/>
                  <a:pt x="37" y="15"/>
                </a:cubicBezTo>
                <a:cubicBezTo>
                  <a:pt x="36" y="12"/>
                  <a:pt x="34" y="10"/>
                  <a:pt x="33" y="7"/>
                </a:cubicBezTo>
                <a:cubicBezTo>
                  <a:pt x="32" y="6"/>
                  <a:pt x="31" y="5"/>
                  <a:pt x="30" y="4"/>
                </a:cubicBezTo>
                <a:cubicBezTo>
                  <a:pt x="28" y="3"/>
                  <a:pt x="27" y="1"/>
                  <a:pt x="25" y="1"/>
                </a:cubicBezTo>
                <a:cubicBezTo>
                  <a:pt x="24" y="0"/>
                  <a:pt x="24" y="0"/>
                  <a:pt x="23" y="0"/>
                </a:cubicBezTo>
                <a:cubicBezTo>
                  <a:pt x="22" y="1"/>
                  <a:pt x="20" y="1"/>
                  <a:pt x="19" y="2"/>
                </a:cubicBezTo>
                <a:cubicBezTo>
                  <a:pt x="17" y="3"/>
                  <a:pt x="15" y="5"/>
                  <a:pt x="14" y="6"/>
                </a:cubicBezTo>
                <a:cubicBezTo>
                  <a:pt x="12" y="8"/>
                  <a:pt x="9" y="10"/>
                  <a:pt x="9" y="12"/>
                </a:cubicBezTo>
                <a:cubicBezTo>
                  <a:pt x="9" y="14"/>
                  <a:pt x="11" y="15"/>
                  <a:pt x="12" y="16"/>
                </a:cubicBezTo>
                <a:cubicBezTo>
                  <a:pt x="13" y="17"/>
                  <a:pt x="17" y="17"/>
                  <a:pt x="16" y="18"/>
                </a:cubicBezTo>
                <a:cubicBezTo>
                  <a:pt x="15" y="20"/>
                  <a:pt x="12" y="20"/>
                  <a:pt x="10" y="21"/>
                </a:cubicBezTo>
                <a:cubicBezTo>
                  <a:pt x="8" y="22"/>
                  <a:pt x="5" y="22"/>
                  <a:pt x="3" y="23"/>
                </a:cubicBezTo>
                <a:cubicBezTo>
                  <a:pt x="3" y="24"/>
                  <a:pt x="2" y="25"/>
                  <a:pt x="2" y="26"/>
                </a:cubicBezTo>
                <a:cubicBezTo>
                  <a:pt x="2" y="27"/>
                  <a:pt x="2" y="29"/>
                  <a:pt x="2" y="31"/>
                </a:cubicBezTo>
                <a:cubicBezTo>
                  <a:pt x="2" y="31"/>
                  <a:pt x="0" y="31"/>
                  <a:pt x="0" y="32"/>
                </a:cubicBezTo>
                <a:cubicBezTo>
                  <a:pt x="3" y="36"/>
                  <a:pt x="7" y="39"/>
                  <a:pt x="10" y="43"/>
                </a:cubicBezTo>
                <a:cubicBezTo>
                  <a:pt x="13" y="43"/>
                  <a:pt x="15" y="42"/>
                  <a:pt x="17" y="43"/>
                </a:cubicBezTo>
                <a:cubicBezTo>
                  <a:pt x="19" y="43"/>
                  <a:pt x="18" y="46"/>
                  <a:pt x="18" y="47"/>
                </a:cubicBezTo>
                <a:cubicBezTo>
                  <a:pt x="18" y="48"/>
                  <a:pt x="16" y="49"/>
                  <a:pt x="16" y="50"/>
                </a:cubicBezTo>
                <a:cubicBezTo>
                  <a:pt x="16" y="51"/>
                  <a:pt x="16" y="53"/>
                  <a:pt x="17" y="53"/>
                </a:cubicBezTo>
                <a:cubicBezTo>
                  <a:pt x="19" y="54"/>
                  <a:pt x="21" y="52"/>
                  <a:pt x="23" y="53"/>
                </a:cubicBezTo>
                <a:cubicBezTo>
                  <a:pt x="24" y="54"/>
                  <a:pt x="22" y="57"/>
                  <a:pt x="23" y="59"/>
                </a:cubicBezTo>
                <a:cubicBezTo>
                  <a:pt x="24" y="60"/>
                  <a:pt x="27" y="59"/>
                  <a:pt x="27" y="61"/>
                </a:cubicBezTo>
                <a:cubicBezTo>
                  <a:pt x="25" y="63"/>
                  <a:pt x="20" y="63"/>
                  <a:pt x="19" y="66"/>
                </a:cubicBezTo>
                <a:cubicBezTo>
                  <a:pt x="19" y="70"/>
                  <a:pt x="19" y="76"/>
                  <a:pt x="19" y="80"/>
                </a:cubicBezTo>
                <a:cubicBezTo>
                  <a:pt x="19" y="82"/>
                  <a:pt x="22" y="82"/>
                  <a:pt x="22" y="83"/>
                </a:cubicBezTo>
                <a:cubicBezTo>
                  <a:pt x="23" y="84"/>
                  <a:pt x="22" y="87"/>
                  <a:pt x="22" y="88"/>
                </a:cubicBezTo>
                <a:cubicBezTo>
                  <a:pt x="22" y="90"/>
                  <a:pt x="23" y="91"/>
                  <a:pt x="24" y="91"/>
                </a:cubicBezTo>
                <a:cubicBezTo>
                  <a:pt x="25" y="93"/>
                  <a:pt x="28" y="93"/>
                  <a:pt x="30" y="94"/>
                </a:cubicBezTo>
                <a:cubicBezTo>
                  <a:pt x="31" y="95"/>
                  <a:pt x="29" y="97"/>
                  <a:pt x="30" y="98"/>
                </a:cubicBezTo>
                <a:cubicBezTo>
                  <a:pt x="31" y="99"/>
                  <a:pt x="32" y="101"/>
                  <a:pt x="34" y="101"/>
                </a:cubicBezTo>
                <a:cubicBezTo>
                  <a:pt x="35" y="102"/>
                  <a:pt x="37" y="103"/>
                  <a:pt x="38" y="102"/>
                </a:cubicBezTo>
                <a:cubicBezTo>
                  <a:pt x="39" y="101"/>
                  <a:pt x="37" y="99"/>
                  <a:pt x="37" y="98"/>
                </a:cubicBezTo>
                <a:cubicBezTo>
                  <a:pt x="38" y="96"/>
                  <a:pt x="40" y="95"/>
                  <a:pt x="42" y="94"/>
                </a:cubicBezTo>
                <a:cubicBezTo>
                  <a:pt x="43" y="94"/>
                  <a:pt x="44" y="96"/>
                  <a:pt x="45" y="96"/>
                </a:cubicBezTo>
                <a:cubicBezTo>
                  <a:pt x="46" y="95"/>
                  <a:pt x="45" y="92"/>
                  <a:pt x="47" y="91"/>
                </a:cubicBezTo>
                <a:cubicBezTo>
                  <a:pt x="48" y="91"/>
                  <a:pt x="49" y="92"/>
                  <a:pt x="51" y="91"/>
                </a:cubicBezTo>
                <a:cubicBezTo>
                  <a:pt x="52" y="91"/>
                  <a:pt x="52" y="89"/>
                  <a:pt x="53" y="89"/>
                </a:cubicBezTo>
                <a:cubicBezTo>
                  <a:pt x="55" y="89"/>
                  <a:pt x="56" y="90"/>
                  <a:pt x="57" y="90"/>
                </a:cubicBezTo>
                <a:cubicBezTo>
                  <a:pt x="59" y="91"/>
                  <a:pt x="61" y="90"/>
                  <a:pt x="63" y="90"/>
                </a:cubicBezTo>
                <a:close/>
              </a:path>
            </a:pathLst>
          </a:custGeom>
          <a:solidFill>
            <a:schemeClr val="bg1">
              <a:lumMod val="95000"/>
            </a:schemeClr>
          </a:solidFill>
          <a:ln w="3175" cap="rnd">
            <a:solidFill>
              <a:srgbClr val="A5A5A5"/>
            </a:solidFill>
            <a:round/>
            <a:headEnd/>
            <a:tailEnd/>
          </a:ln>
        </xdr:spPr>
      </xdr:sp>
      <xdr:sp macro="" textlink="">
        <xdr:nvSpPr>
          <xdr:cNvPr id="334" name="GUF"/>
          <xdr:cNvSpPr>
            <a:spLocks noChangeAspect="1"/>
          </xdr:cNvSpPr>
        </xdr:nvSpPr>
        <xdr:spPr bwMode="auto">
          <a:xfrm>
            <a:off x="4644900" y="5199529"/>
            <a:ext cx="88276" cy="126653"/>
          </a:xfrm>
          <a:custGeom>
            <a:avLst/>
            <a:gdLst>
              <a:gd name="T0" fmla="*/ 113660 w 42"/>
              <a:gd name="T1" fmla="*/ 59989 h 52"/>
              <a:gd name="T2" fmla="*/ 104188 w 42"/>
              <a:gd name="T3" fmla="*/ 46866 h 52"/>
              <a:gd name="T4" fmla="*/ 94717 w 42"/>
              <a:gd name="T5" fmla="*/ 46866 h 52"/>
              <a:gd name="T6" fmla="*/ 73879 w 42"/>
              <a:gd name="T7" fmla="*/ 29994 h 52"/>
              <a:gd name="T8" fmla="*/ 68196 w 42"/>
              <a:gd name="T9" fmla="*/ 14997 h 52"/>
              <a:gd name="T10" fmla="*/ 51147 w 42"/>
              <a:gd name="T11" fmla="*/ 13123 h 52"/>
              <a:gd name="T12" fmla="*/ 37887 w 42"/>
              <a:gd name="T13" fmla="*/ 1875 h 52"/>
              <a:gd name="T14" fmla="*/ 26521 w 42"/>
              <a:gd name="T15" fmla="*/ 1875 h 52"/>
              <a:gd name="T16" fmla="*/ 22732 w 42"/>
              <a:gd name="T17" fmla="*/ 14997 h 52"/>
              <a:gd name="T18" fmla="*/ 9472 w 42"/>
              <a:gd name="T19" fmla="*/ 35618 h 52"/>
              <a:gd name="T20" fmla="*/ 15155 w 42"/>
              <a:gd name="T21" fmla="*/ 65613 h 52"/>
              <a:gd name="T22" fmla="*/ 24626 w 42"/>
              <a:gd name="T23" fmla="*/ 80610 h 52"/>
              <a:gd name="T24" fmla="*/ 15155 w 42"/>
              <a:gd name="T25" fmla="*/ 95607 h 52"/>
              <a:gd name="T26" fmla="*/ 13260 w 42"/>
              <a:gd name="T27" fmla="*/ 119978 h 52"/>
              <a:gd name="T28" fmla="*/ 0 w 42"/>
              <a:gd name="T29" fmla="*/ 125602 h 52"/>
              <a:gd name="T30" fmla="*/ 13260 w 42"/>
              <a:gd name="T31" fmla="*/ 136850 h 52"/>
              <a:gd name="T32" fmla="*/ 26521 w 42"/>
              <a:gd name="T33" fmla="*/ 136850 h 52"/>
              <a:gd name="T34" fmla="*/ 34098 w 42"/>
              <a:gd name="T35" fmla="*/ 129351 h 52"/>
              <a:gd name="T36" fmla="*/ 45464 w 42"/>
              <a:gd name="T37" fmla="*/ 129351 h 52"/>
              <a:gd name="T38" fmla="*/ 51147 w 42"/>
              <a:gd name="T39" fmla="*/ 136850 h 52"/>
              <a:gd name="T40" fmla="*/ 68196 w 42"/>
              <a:gd name="T41" fmla="*/ 136850 h 52"/>
              <a:gd name="T42" fmla="*/ 73879 w 42"/>
              <a:gd name="T43" fmla="*/ 119978 h 52"/>
              <a:gd name="T44" fmla="*/ 81456 w 42"/>
              <a:gd name="T45" fmla="*/ 93733 h 52"/>
              <a:gd name="T46" fmla="*/ 94717 w 42"/>
              <a:gd name="T47" fmla="*/ 73112 h 52"/>
              <a:gd name="T48" fmla="*/ 113660 w 42"/>
              <a:gd name="T49" fmla="*/ 59989 h 5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42"/>
              <a:gd name="T76" fmla="*/ 0 h 52"/>
              <a:gd name="T77" fmla="*/ 42 w 42"/>
              <a:gd name="T78" fmla="*/ 52 h 5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42" h="52">
                <a:moveTo>
                  <a:pt x="42" y="23"/>
                </a:moveTo>
                <a:cubicBezTo>
                  <a:pt x="41" y="22"/>
                  <a:pt x="40" y="19"/>
                  <a:pt x="39" y="18"/>
                </a:cubicBezTo>
                <a:cubicBezTo>
                  <a:pt x="38" y="17"/>
                  <a:pt x="36" y="19"/>
                  <a:pt x="35" y="18"/>
                </a:cubicBezTo>
                <a:cubicBezTo>
                  <a:pt x="32" y="16"/>
                  <a:pt x="30" y="13"/>
                  <a:pt x="28" y="11"/>
                </a:cubicBezTo>
                <a:cubicBezTo>
                  <a:pt x="27" y="9"/>
                  <a:pt x="27" y="6"/>
                  <a:pt x="25" y="6"/>
                </a:cubicBezTo>
                <a:cubicBezTo>
                  <a:pt x="23" y="6"/>
                  <a:pt x="21" y="6"/>
                  <a:pt x="19" y="5"/>
                </a:cubicBezTo>
                <a:cubicBezTo>
                  <a:pt x="17" y="4"/>
                  <a:pt x="16" y="1"/>
                  <a:pt x="14" y="1"/>
                </a:cubicBezTo>
                <a:cubicBezTo>
                  <a:pt x="13" y="0"/>
                  <a:pt x="12" y="1"/>
                  <a:pt x="10" y="1"/>
                </a:cubicBezTo>
                <a:cubicBezTo>
                  <a:pt x="10" y="2"/>
                  <a:pt x="8" y="5"/>
                  <a:pt x="8" y="6"/>
                </a:cubicBezTo>
                <a:cubicBezTo>
                  <a:pt x="6" y="8"/>
                  <a:pt x="4" y="10"/>
                  <a:pt x="3" y="13"/>
                </a:cubicBezTo>
                <a:cubicBezTo>
                  <a:pt x="3" y="17"/>
                  <a:pt x="5" y="20"/>
                  <a:pt x="6" y="24"/>
                </a:cubicBezTo>
                <a:cubicBezTo>
                  <a:pt x="7" y="26"/>
                  <a:pt x="9" y="28"/>
                  <a:pt x="9" y="30"/>
                </a:cubicBezTo>
                <a:cubicBezTo>
                  <a:pt x="9" y="32"/>
                  <a:pt x="7" y="34"/>
                  <a:pt x="6" y="36"/>
                </a:cubicBezTo>
                <a:cubicBezTo>
                  <a:pt x="5" y="39"/>
                  <a:pt x="6" y="42"/>
                  <a:pt x="5" y="45"/>
                </a:cubicBezTo>
                <a:cubicBezTo>
                  <a:pt x="4" y="46"/>
                  <a:pt x="2" y="46"/>
                  <a:pt x="0" y="47"/>
                </a:cubicBezTo>
                <a:cubicBezTo>
                  <a:pt x="2" y="49"/>
                  <a:pt x="3" y="50"/>
                  <a:pt x="5" y="51"/>
                </a:cubicBezTo>
                <a:cubicBezTo>
                  <a:pt x="7" y="52"/>
                  <a:pt x="9" y="52"/>
                  <a:pt x="10" y="51"/>
                </a:cubicBezTo>
                <a:cubicBezTo>
                  <a:pt x="11" y="51"/>
                  <a:pt x="12" y="49"/>
                  <a:pt x="13" y="49"/>
                </a:cubicBezTo>
                <a:cubicBezTo>
                  <a:pt x="15" y="48"/>
                  <a:pt x="16" y="48"/>
                  <a:pt x="17" y="49"/>
                </a:cubicBezTo>
                <a:cubicBezTo>
                  <a:pt x="18" y="49"/>
                  <a:pt x="18" y="51"/>
                  <a:pt x="19" y="51"/>
                </a:cubicBezTo>
                <a:cubicBezTo>
                  <a:pt x="20" y="52"/>
                  <a:pt x="23" y="52"/>
                  <a:pt x="25" y="51"/>
                </a:cubicBezTo>
                <a:cubicBezTo>
                  <a:pt x="27" y="50"/>
                  <a:pt x="28" y="47"/>
                  <a:pt x="28" y="45"/>
                </a:cubicBezTo>
                <a:cubicBezTo>
                  <a:pt x="29" y="42"/>
                  <a:pt x="29" y="39"/>
                  <a:pt x="30" y="35"/>
                </a:cubicBezTo>
                <a:cubicBezTo>
                  <a:pt x="31" y="33"/>
                  <a:pt x="33" y="30"/>
                  <a:pt x="35" y="28"/>
                </a:cubicBezTo>
                <a:cubicBezTo>
                  <a:pt x="37" y="26"/>
                  <a:pt x="39" y="25"/>
                  <a:pt x="42" y="23"/>
                </a:cubicBezTo>
                <a:close/>
              </a:path>
            </a:pathLst>
          </a:custGeom>
          <a:solidFill>
            <a:schemeClr val="bg1">
              <a:lumMod val="95000"/>
            </a:schemeClr>
          </a:solidFill>
          <a:ln w="3175" cap="rnd">
            <a:solidFill>
              <a:srgbClr val="A5A5A5"/>
            </a:solidFill>
            <a:round/>
            <a:headEnd/>
            <a:tailEnd/>
          </a:ln>
        </xdr:spPr>
      </xdr:sp>
      <xdr:sp macro="" textlink="">
        <xdr:nvSpPr>
          <xdr:cNvPr id="335" name="BLZ"/>
          <xdr:cNvSpPr>
            <a:spLocks noChangeAspect="1"/>
          </xdr:cNvSpPr>
        </xdr:nvSpPr>
        <xdr:spPr bwMode="auto">
          <a:xfrm>
            <a:off x="3692514" y="4750487"/>
            <a:ext cx="33104" cy="92111"/>
          </a:xfrm>
          <a:custGeom>
            <a:avLst/>
            <a:gdLst>
              <a:gd name="T0" fmla="*/ 13104 w 17"/>
              <a:gd name="T1" fmla="*/ 95778 h 36"/>
              <a:gd name="T2" fmla="*/ 20593 w 17"/>
              <a:gd name="T3" fmla="*/ 82632 h 36"/>
              <a:gd name="T4" fmla="*/ 33697 w 17"/>
              <a:gd name="T5" fmla="*/ 71364 h 36"/>
              <a:gd name="T6" fmla="*/ 33697 w 17"/>
              <a:gd name="T7" fmla="*/ 45072 h 36"/>
              <a:gd name="T8" fmla="*/ 35569 w 17"/>
              <a:gd name="T9" fmla="*/ 30048 h 36"/>
              <a:gd name="T10" fmla="*/ 44929 w 17"/>
              <a:gd name="T11" fmla="*/ 3756 h 36"/>
              <a:gd name="T12" fmla="*/ 33697 w 17"/>
              <a:gd name="T13" fmla="*/ 9390 h 36"/>
              <a:gd name="T14" fmla="*/ 35569 w 17"/>
              <a:gd name="T15" fmla="*/ 0 h 36"/>
              <a:gd name="T16" fmla="*/ 24337 w 17"/>
              <a:gd name="T17" fmla="*/ 11268 h 36"/>
              <a:gd name="T18" fmla="*/ 16849 w 17"/>
              <a:gd name="T19" fmla="*/ 24414 h 36"/>
              <a:gd name="T20" fmla="*/ 11232 w 17"/>
              <a:gd name="T21" fmla="*/ 22536 h 36"/>
              <a:gd name="T22" fmla="*/ 3744 w 17"/>
              <a:gd name="T23" fmla="*/ 26292 h 36"/>
              <a:gd name="T24" fmla="*/ 9360 w 17"/>
              <a:gd name="T25" fmla="*/ 54462 h 36"/>
              <a:gd name="T26" fmla="*/ 0 w 17"/>
              <a:gd name="T27" fmla="*/ 95778 h 36"/>
              <a:gd name="T28" fmla="*/ 13104 w 17"/>
              <a:gd name="T29" fmla="*/ 95778 h 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7"/>
              <a:gd name="T46" fmla="*/ 0 h 36"/>
              <a:gd name="T47" fmla="*/ 17 w 17"/>
              <a:gd name="T48" fmla="*/ 36 h 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7" h="36">
                <a:moveTo>
                  <a:pt x="5" y="36"/>
                </a:moveTo>
                <a:cubicBezTo>
                  <a:pt x="6" y="35"/>
                  <a:pt x="7" y="32"/>
                  <a:pt x="8" y="31"/>
                </a:cubicBezTo>
                <a:cubicBezTo>
                  <a:pt x="9" y="29"/>
                  <a:pt x="12" y="29"/>
                  <a:pt x="13" y="27"/>
                </a:cubicBezTo>
                <a:cubicBezTo>
                  <a:pt x="14" y="24"/>
                  <a:pt x="12" y="21"/>
                  <a:pt x="13" y="17"/>
                </a:cubicBezTo>
                <a:cubicBezTo>
                  <a:pt x="13" y="15"/>
                  <a:pt x="13" y="13"/>
                  <a:pt x="14" y="11"/>
                </a:cubicBezTo>
                <a:cubicBezTo>
                  <a:pt x="15" y="8"/>
                  <a:pt x="17" y="5"/>
                  <a:pt x="17" y="2"/>
                </a:cubicBezTo>
                <a:cubicBezTo>
                  <a:pt x="17" y="1"/>
                  <a:pt x="15" y="4"/>
                  <a:pt x="13" y="3"/>
                </a:cubicBezTo>
                <a:cubicBezTo>
                  <a:pt x="13" y="3"/>
                  <a:pt x="14" y="1"/>
                  <a:pt x="14" y="0"/>
                </a:cubicBezTo>
                <a:cubicBezTo>
                  <a:pt x="12" y="1"/>
                  <a:pt x="10" y="3"/>
                  <a:pt x="9" y="4"/>
                </a:cubicBezTo>
                <a:cubicBezTo>
                  <a:pt x="9" y="6"/>
                  <a:pt x="9" y="8"/>
                  <a:pt x="7" y="9"/>
                </a:cubicBezTo>
                <a:cubicBezTo>
                  <a:pt x="6" y="10"/>
                  <a:pt x="5" y="7"/>
                  <a:pt x="4" y="8"/>
                </a:cubicBezTo>
                <a:cubicBezTo>
                  <a:pt x="3" y="8"/>
                  <a:pt x="3" y="9"/>
                  <a:pt x="2" y="10"/>
                </a:cubicBezTo>
                <a:cubicBezTo>
                  <a:pt x="2" y="14"/>
                  <a:pt x="2" y="16"/>
                  <a:pt x="3" y="20"/>
                </a:cubicBezTo>
                <a:cubicBezTo>
                  <a:pt x="2" y="25"/>
                  <a:pt x="1" y="31"/>
                  <a:pt x="0" y="36"/>
                </a:cubicBezTo>
                <a:cubicBezTo>
                  <a:pt x="2" y="36"/>
                  <a:pt x="3" y="36"/>
                  <a:pt x="5" y="36"/>
                </a:cubicBezTo>
                <a:close/>
              </a:path>
            </a:pathLst>
          </a:custGeom>
          <a:solidFill>
            <a:schemeClr val="bg1">
              <a:lumMod val="95000"/>
            </a:schemeClr>
          </a:solidFill>
          <a:ln w="3175" cap="rnd">
            <a:solidFill>
              <a:srgbClr val="A5A5A5"/>
            </a:solidFill>
            <a:round/>
            <a:headEnd/>
            <a:tailEnd/>
          </a:ln>
        </xdr:spPr>
      </xdr:sp>
      <xdr:grpSp>
        <xdr:nvGrpSpPr>
          <xdr:cNvPr id="336" name="BHS"/>
          <xdr:cNvGrpSpPr>
            <a:grpSpLocks/>
          </xdr:cNvGrpSpPr>
        </xdr:nvGrpSpPr>
        <xdr:grpSpPr bwMode="auto">
          <a:xfrm>
            <a:off x="3988961" y="4451126"/>
            <a:ext cx="170421" cy="230277"/>
            <a:chOff x="5663832" y="4032640"/>
            <a:chExt cx="147985" cy="172918"/>
          </a:xfrm>
          <a:solidFill>
            <a:schemeClr val="bg1">
              <a:lumMod val="95000"/>
            </a:schemeClr>
          </a:solidFill>
        </xdr:grpSpPr>
        <xdr:sp macro="" textlink="">
          <xdr:nvSpPr>
            <xdr:cNvPr id="370" name="Freeform 683"/>
            <xdr:cNvSpPr>
              <a:spLocks noChangeAspect="1"/>
            </xdr:cNvSpPr>
          </xdr:nvSpPr>
          <xdr:spPr bwMode="auto">
            <a:xfrm>
              <a:off x="5797496" y="4156850"/>
              <a:ext cx="14321" cy="4717"/>
            </a:xfrm>
            <a:custGeom>
              <a:avLst/>
              <a:gdLst>
                <a:gd name="T0" fmla="*/ 12531 w 8"/>
                <a:gd name="T1" fmla="*/ 7075 h 2"/>
                <a:gd name="T2" fmla="*/ 17901 w 8"/>
                <a:gd name="T3" fmla="*/ 9434 h 2"/>
                <a:gd name="T4" fmla="*/ 10741 w 8"/>
                <a:gd name="T5" fmla="*/ 9434 h 2"/>
                <a:gd name="T6" fmla="*/ 0 w 8"/>
                <a:gd name="T7" fmla="*/ 7075 h 2"/>
                <a:gd name="T8" fmla="*/ 12531 w 8"/>
                <a:gd name="T9" fmla="*/ 7075 h 2"/>
                <a:gd name="T10" fmla="*/ 0 60000 65536"/>
                <a:gd name="T11" fmla="*/ 0 60000 65536"/>
                <a:gd name="T12" fmla="*/ 0 60000 65536"/>
                <a:gd name="T13" fmla="*/ 0 60000 65536"/>
                <a:gd name="T14" fmla="*/ 0 60000 65536"/>
                <a:gd name="T15" fmla="*/ 0 w 8"/>
                <a:gd name="T16" fmla="*/ 0 h 2"/>
                <a:gd name="T17" fmla="*/ 8 w 8"/>
                <a:gd name="T18" fmla="*/ 2 h 2"/>
              </a:gdLst>
              <a:ahLst/>
              <a:cxnLst>
                <a:cxn ang="T10">
                  <a:pos x="T0" y="T1"/>
                </a:cxn>
                <a:cxn ang="T11">
                  <a:pos x="T2" y="T3"/>
                </a:cxn>
                <a:cxn ang="T12">
                  <a:pos x="T4" y="T5"/>
                </a:cxn>
                <a:cxn ang="T13">
                  <a:pos x="T6" y="T7"/>
                </a:cxn>
                <a:cxn ang="T14">
                  <a:pos x="T8" y="T9"/>
                </a:cxn>
              </a:cxnLst>
              <a:rect l="T15" t="T16" r="T17" b="T18"/>
              <a:pathLst>
                <a:path w="8" h="2">
                  <a:moveTo>
                    <a:pt x="5" y="1"/>
                  </a:moveTo>
                  <a:cubicBezTo>
                    <a:pt x="6" y="1"/>
                    <a:pt x="8" y="1"/>
                    <a:pt x="8" y="2"/>
                  </a:cubicBezTo>
                  <a:cubicBezTo>
                    <a:pt x="7" y="2"/>
                    <a:pt x="5" y="2"/>
                    <a:pt x="4" y="2"/>
                  </a:cubicBezTo>
                  <a:cubicBezTo>
                    <a:pt x="3" y="2"/>
                    <a:pt x="0" y="2"/>
                    <a:pt x="0" y="1"/>
                  </a:cubicBezTo>
                  <a:cubicBezTo>
                    <a:pt x="1" y="0"/>
                    <a:pt x="4" y="0"/>
                    <a:pt x="5" y="1"/>
                  </a:cubicBezTo>
                  <a:close/>
                </a:path>
              </a:pathLst>
            </a:custGeom>
            <a:grpFill/>
            <a:ln w="3175" cap="rnd">
              <a:solidFill>
                <a:srgbClr val="A5A5A5"/>
              </a:solidFill>
              <a:round/>
              <a:headEnd/>
              <a:tailEnd/>
            </a:ln>
          </xdr:spPr>
        </xdr:sp>
        <xdr:sp macro="" textlink="">
          <xdr:nvSpPr>
            <xdr:cNvPr id="371" name="Freeform 740"/>
            <xdr:cNvSpPr>
              <a:spLocks noChangeAspect="1"/>
            </xdr:cNvSpPr>
          </xdr:nvSpPr>
          <xdr:spPr bwMode="auto">
            <a:xfrm>
              <a:off x="5689292" y="4117543"/>
              <a:ext cx="4774" cy="9434"/>
            </a:xfrm>
            <a:custGeom>
              <a:avLst/>
              <a:gdLst>
                <a:gd name="T0" fmla="*/ 9548 w 2"/>
                <a:gd name="T1" fmla="*/ 9434 h 5"/>
                <a:gd name="T2" fmla="*/ 7161 w 2"/>
                <a:gd name="T3" fmla="*/ 13208 h 5"/>
                <a:gd name="T4" fmla="*/ 0 w 2"/>
                <a:gd name="T5" fmla="*/ 3774 h 5"/>
                <a:gd name="T6" fmla="*/ 7161 w 2"/>
                <a:gd name="T7" fmla="*/ 0 h 5"/>
                <a:gd name="T8" fmla="*/ 9548 w 2"/>
                <a:gd name="T9" fmla="*/ 9434 h 5"/>
                <a:gd name="T10" fmla="*/ 0 60000 65536"/>
                <a:gd name="T11" fmla="*/ 0 60000 65536"/>
                <a:gd name="T12" fmla="*/ 0 60000 65536"/>
                <a:gd name="T13" fmla="*/ 0 60000 65536"/>
                <a:gd name="T14" fmla="*/ 0 60000 65536"/>
                <a:gd name="T15" fmla="*/ 0 w 2"/>
                <a:gd name="T16" fmla="*/ 0 h 5"/>
                <a:gd name="T17" fmla="*/ 2 w 2"/>
                <a:gd name="T18" fmla="*/ 5 h 5"/>
              </a:gdLst>
              <a:ahLst/>
              <a:cxnLst>
                <a:cxn ang="T10">
                  <a:pos x="T0" y="T1"/>
                </a:cxn>
                <a:cxn ang="T11">
                  <a:pos x="T2" y="T3"/>
                </a:cxn>
                <a:cxn ang="T12">
                  <a:pos x="T4" y="T5"/>
                </a:cxn>
                <a:cxn ang="T13">
                  <a:pos x="T6" y="T7"/>
                </a:cxn>
                <a:cxn ang="T14">
                  <a:pos x="T8" y="T9"/>
                </a:cxn>
              </a:cxnLst>
              <a:rect l="T15" t="T16" r="T17" b="T18"/>
              <a:pathLst>
                <a:path w="2" h="5">
                  <a:moveTo>
                    <a:pt x="2" y="3"/>
                  </a:moveTo>
                  <a:cubicBezTo>
                    <a:pt x="2" y="4"/>
                    <a:pt x="2" y="5"/>
                    <a:pt x="1" y="5"/>
                  </a:cubicBezTo>
                  <a:cubicBezTo>
                    <a:pt x="0" y="4"/>
                    <a:pt x="0" y="3"/>
                    <a:pt x="0" y="2"/>
                  </a:cubicBezTo>
                  <a:cubicBezTo>
                    <a:pt x="0" y="1"/>
                    <a:pt x="0" y="0"/>
                    <a:pt x="1" y="0"/>
                  </a:cubicBezTo>
                  <a:cubicBezTo>
                    <a:pt x="2" y="0"/>
                    <a:pt x="2" y="2"/>
                    <a:pt x="2" y="3"/>
                  </a:cubicBezTo>
                  <a:close/>
                </a:path>
              </a:pathLst>
            </a:custGeom>
            <a:grpFill/>
            <a:ln w="3175" cap="rnd">
              <a:solidFill>
                <a:srgbClr val="A5A5A5"/>
              </a:solidFill>
              <a:round/>
              <a:headEnd/>
              <a:tailEnd/>
            </a:ln>
          </xdr:spPr>
        </xdr:sp>
        <xdr:sp macro="" textlink="">
          <xdr:nvSpPr>
            <xdr:cNvPr id="372" name="Freeform 1005"/>
            <xdr:cNvSpPr>
              <a:spLocks noChangeAspect="1"/>
            </xdr:cNvSpPr>
          </xdr:nvSpPr>
          <xdr:spPr bwMode="auto">
            <a:xfrm>
              <a:off x="5781584" y="4191407"/>
              <a:ext cx="20686" cy="14151"/>
            </a:xfrm>
            <a:custGeom>
              <a:avLst/>
              <a:gdLst>
                <a:gd name="T0" fmla="*/ 16925 w 11"/>
                <a:gd name="T1" fmla="*/ 10108 h 7"/>
                <a:gd name="T2" fmla="*/ 26328 w 11"/>
                <a:gd name="T3" fmla="*/ 0 h 7"/>
                <a:gd name="T4" fmla="*/ 26328 w 11"/>
                <a:gd name="T5" fmla="*/ 10108 h 7"/>
                <a:gd name="T6" fmla="*/ 20686 w 11"/>
                <a:gd name="T7" fmla="*/ 20216 h 7"/>
                <a:gd name="T8" fmla="*/ 3761 w 11"/>
                <a:gd name="T9" fmla="*/ 20216 h 7"/>
                <a:gd name="T10" fmla="*/ 0 w 11"/>
                <a:gd name="T11" fmla="*/ 16173 h 7"/>
                <a:gd name="T12" fmla="*/ 9403 w 11"/>
                <a:gd name="T13" fmla="*/ 8086 h 7"/>
                <a:gd name="T14" fmla="*/ 16925 w 11"/>
                <a:gd name="T15" fmla="*/ 10108 h 7"/>
                <a:gd name="T16" fmla="*/ 0 60000 65536"/>
                <a:gd name="T17" fmla="*/ 0 60000 65536"/>
                <a:gd name="T18" fmla="*/ 0 60000 65536"/>
                <a:gd name="T19" fmla="*/ 0 60000 65536"/>
                <a:gd name="T20" fmla="*/ 0 60000 65536"/>
                <a:gd name="T21" fmla="*/ 0 60000 65536"/>
                <a:gd name="T22" fmla="*/ 0 60000 65536"/>
                <a:gd name="T23" fmla="*/ 0 60000 65536"/>
                <a:gd name="T24" fmla="*/ 0 w 11"/>
                <a:gd name="T25" fmla="*/ 0 h 7"/>
                <a:gd name="T26" fmla="*/ 11 w 11"/>
                <a:gd name="T27" fmla="*/ 7 h 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1" h="7">
                  <a:moveTo>
                    <a:pt x="7" y="3"/>
                  </a:moveTo>
                  <a:cubicBezTo>
                    <a:pt x="8" y="2"/>
                    <a:pt x="9" y="0"/>
                    <a:pt x="10" y="0"/>
                  </a:cubicBezTo>
                  <a:cubicBezTo>
                    <a:pt x="11" y="0"/>
                    <a:pt x="10" y="2"/>
                    <a:pt x="10" y="3"/>
                  </a:cubicBezTo>
                  <a:cubicBezTo>
                    <a:pt x="9" y="4"/>
                    <a:pt x="9" y="6"/>
                    <a:pt x="8" y="6"/>
                  </a:cubicBezTo>
                  <a:cubicBezTo>
                    <a:pt x="6" y="7"/>
                    <a:pt x="4" y="7"/>
                    <a:pt x="2" y="6"/>
                  </a:cubicBezTo>
                  <a:cubicBezTo>
                    <a:pt x="1" y="6"/>
                    <a:pt x="0" y="5"/>
                    <a:pt x="0" y="5"/>
                  </a:cubicBezTo>
                  <a:cubicBezTo>
                    <a:pt x="1" y="3"/>
                    <a:pt x="2" y="2"/>
                    <a:pt x="3" y="2"/>
                  </a:cubicBezTo>
                  <a:cubicBezTo>
                    <a:pt x="5" y="2"/>
                    <a:pt x="6" y="3"/>
                    <a:pt x="7" y="3"/>
                  </a:cubicBezTo>
                  <a:close/>
                </a:path>
              </a:pathLst>
            </a:custGeom>
            <a:grpFill/>
            <a:ln w="3175" cap="rnd">
              <a:solidFill>
                <a:srgbClr val="A5A5A5"/>
              </a:solidFill>
              <a:round/>
              <a:headEnd/>
              <a:tailEnd/>
            </a:ln>
          </xdr:spPr>
        </xdr:sp>
        <xdr:sp macro="" textlink="">
          <xdr:nvSpPr>
            <xdr:cNvPr id="373" name="Freeform 1012"/>
            <xdr:cNvSpPr>
              <a:spLocks noChangeAspect="1"/>
            </xdr:cNvSpPr>
          </xdr:nvSpPr>
          <xdr:spPr bwMode="auto">
            <a:xfrm>
              <a:off x="5737029" y="4097103"/>
              <a:ext cx="12730" cy="11006"/>
            </a:xfrm>
            <a:custGeom>
              <a:avLst/>
              <a:gdLst>
                <a:gd name="T0" fmla="*/ 14852 w 6"/>
                <a:gd name="T1" fmla="*/ 9172 h 6"/>
                <a:gd name="T2" fmla="*/ 23338 w 6"/>
                <a:gd name="T3" fmla="*/ 14675 h 6"/>
                <a:gd name="T4" fmla="*/ 10608 w 6"/>
                <a:gd name="T5" fmla="*/ 11006 h 6"/>
                <a:gd name="T6" fmla="*/ 2122 w 6"/>
                <a:gd name="T7" fmla="*/ 0 h 6"/>
                <a:gd name="T8" fmla="*/ 14852 w 6"/>
                <a:gd name="T9" fmla="*/ 9172 h 6"/>
                <a:gd name="T10" fmla="*/ 0 60000 65536"/>
                <a:gd name="T11" fmla="*/ 0 60000 65536"/>
                <a:gd name="T12" fmla="*/ 0 60000 65536"/>
                <a:gd name="T13" fmla="*/ 0 60000 65536"/>
                <a:gd name="T14" fmla="*/ 0 60000 65536"/>
                <a:gd name="T15" fmla="*/ 0 w 6"/>
                <a:gd name="T16" fmla="*/ 0 h 6"/>
                <a:gd name="T17" fmla="*/ 6 w 6"/>
                <a:gd name="T18" fmla="*/ 6 h 6"/>
              </a:gdLst>
              <a:ahLst/>
              <a:cxnLst>
                <a:cxn ang="T10">
                  <a:pos x="T0" y="T1"/>
                </a:cxn>
                <a:cxn ang="T11">
                  <a:pos x="T2" y="T3"/>
                </a:cxn>
                <a:cxn ang="T12">
                  <a:pos x="T4" y="T5"/>
                </a:cxn>
                <a:cxn ang="T13">
                  <a:pos x="T6" y="T7"/>
                </a:cxn>
                <a:cxn ang="T14">
                  <a:pos x="T8" y="T9"/>
                </a:cxn>
              </a:cxnLst>
              <a:rect l="T15" t="T16" r="T17" b="T18"/>
              <a:pathLst>
                <a:path w="6" h="6">
                  <a:moveTo>
                    <a:pt x="4" y="3"/>
                  </a:moveTo>
                  <a:cubicBezTo>
                    <a:pt x="5" y="4"/>
                    <a:pt x="6" y="6"/>
                    <a:pt x="6" y="6"/>
                  </a:cubicBezTo>
                  <a:cubicBezTo>
                    <a:pt x="5" y="6"/>
                    <a:pt x="4" y="5"/>
                    <a:pt x="3" y="4"/>
                  </a:cubicBezTo>
                  <a:cubicBezTo>
                    <a:pt x="2" y="3"/>
                    <a:pt x="0" y="0"/>
                    <a:pt x="1" y="0"/>
                  </a:cubicBezTo>
                  <a:cubicBezTo>
                    <a:pt x="2" y="0"/>
                    <a:pt x="3" y="2"/>
                    <a:pt x="4" y="3"/>
                  </a:cubicBezTo>
                  <a:close/>
                </a:path>
              </a:pathLst>
            </a:custGeom>
            <a:grpFill/>
            <a:ln w="3175" cap="rnd">
              <a:solidFill>
                <a:srgbClr val="A5A5A5"/>
              </a:solidFill>
              <a:round/>
              <a:headEnd/>
              <a:tailEnd/>
            </a:ln>
          </xdr:spPr>
        </xdr:sp>
        <xdr:sp macro="" textlink="">
          <xdr:nvSpPr>
            <xdr:cNvPr id="374" name="Freeform 1013"/>
            <xdr:cNvSpPr>
              <a:spLocks noChangeAspect="1"/>
            </xdr:cNvSpPr>
          </xdr:nvSpPr>
          <xdr:spPr bwMode="auto">
            <a:xfrm>
              <a:off x="5749759" y="4133266"/>
              <a:ext cx="11139" cy="11006"/>
            </a:xfrm>
            <a:custGeom>
              <a:avLst/>
              <a:gdLst>
                <a:gd name="T0" fmla="*/ 11139 w 6"/>
                <a:gd name="T1" fmla="*/ 9172 h 6"/>
                <a:gd name="T2" fmla="*/ 12995 w 6"/>
                <a:gd name="T3" fmla="*/ 14675 h 6"/>
                <a:gd name="T4" fmla="*/ 3713 w 6"/>
                <a:gd name="T5" fmla="*/ 9172 h 6"/>
                <a:gd name="T6" fmla="*/ 1857 w 6"/>
                <a:gd name="T7" fmla="*/ 0 h 6"/>
                <a:gd name="T8" fmla="*/ 11139 w 6"/>
                <a:gd name="T9" fmla="*/ 9172 h 6"/>
                <a:gd name="T10" fmla="*/ 0 60000 65536"/>
                <a:gd name="T11" fmla="*/ 0 60000 65536"/>
                <a:gd name="T12" fmla="*/ 0 60000 65536"/>
                <a:gd name="T13" fmla="*/ 0 60000 65536"/>
                <a:gd name="T14" fmla="*/ 0 60000 65536"/>
                <a:gd name="T15" fmla="*/ 0 w 6"/>
                <a:gd name="T16" fmla="*/ 0 h 6"/>
                <a:gd name="T17" fmla="*/ 6 w 6"/>
                <a:gd name="T18" fmla="*/ 6 h 6"/>
              </a:gdLst>
              <a:ahLst/>
              <a:cxnLst>
                <a:cxn ang="T10">
                  <a:pos x="T0" y="T1"/>
                </a:cxn>
                <a:cxn ang="T11">
                  <a:pos x="T2" y="T3"/>
                </a:cxn>
                <a:cxn ang="T12">
                  <a:pos x="T4" y="T5"/>
                </a:cxn>
                <a:cxn ang="T13">
                  <a:pos x="T6" y="T7"/>
                </a:cxn>
                <a:cxn ang="T14">
                  <a:pos x="T8" y="T9"/>
                </a:cxn>
              </a:cxnLst>
              <a:rect l="T15" t="T16" r="T17" b="T18"/>
              <a:pathLst>
                <a:path w="6" h="6">
                  <a:moveTo>
                    <a:pt x="4" y="3"/>
                  </a:moveTo>
                  <a:cubicBezTo>
                    <a:pt x="5" y="4"/>
                    <a:pt x="6" y="6"/>
                    <a:pt x="5" y="6"/>
                  </a:cubicBezTo>
                  <a:cubicBezTo>
                    <a:pt x="4" y="6"/>
                    <a:pt x="3" y="5"/>
                    <a:pt x="2" y="3"/>
                  </a:cubicBezTo>
                  <a:cubicBezTo>
                    <a:pt x="1" y="2"/>
                    <a:pt x="0" y="0"/>
                    <a:pt x="1" y="0"/>
                  </a:cubicBezTo>
                  <a:cubicBezTo>
                    <a:pt x="1" y="0"/>
                    <a:pt x="3" y="2"/>
                    <a:pt x="4" y="3"/>
                  </a:cubicBezTo>
                  <a:close/>
                </a:path>
              </a:pathLst>
            </a:custGeom>
            <a:grpFill/>
            <a:ln w="3175" cap="rnd">
              <a:solidFill>
                <a:srgbClr val="A5A5A5"/>
              </a:solidFill>
              <a:round/>
              <a:headEnd/>
              <a:tailEnd/>
            </a:ln>
          </xdr:spPr>
        </xdr:sp>
        <xdr:sp macro="" textlink="">
          <xdr:nvSpPr>
            <xdr:cNvPr id="375" name="Freeform 1014"/>
            <xdr:cNvSpPr>
              <a:spLocks noChangeAspect="1"/>
            </xdr:cNvSpPr>
          </xdr:nvSpPr>
          <xdr:spPr bwMode="auto">
            <a:xfrm>
              <a:off x="5772037" y="4155278"/>
              <a:ext cx="9547" cy="14151"/>
            </a:xfrm>
            <a:custGeom>
              <a:avLst/>
              <a:gdLst>
                <a:gd name="T0" fmla="*/ 9547 w 5"/>
                <a:gd name="T1" fmla="*/ 8086 h 7"/>
                <a:gd name="T2" fmla="*/ 13366 w 5"/>
                <a:gd name="T3" fmla="*/ 0 h 7"/>
                <a:gd name="T4" fmla="*/ 9547 w 5"/>
                <a:gd name="T5" fmla="*/ 10108 h 7"/>
                <a:gd name="T6" fmla="*/ 0 w 5"/>
                <a:gd name="T7" fmla="*/ 20216 h 7"/>
                <a:gd name="T8" fmla="*/ 9547 w 5"/>
                <a:gd name="T9" fmla="*/ 8086 h 7"/>
                <a:gd name="T10" fmla="*/ 0 60000 65536"/>
                <a:gd name="T11" fmla="*/ 0 60000 65536"/>
                <a:gd name="T12" fmla="*/ 0 60000 65536"/>
                <a:gd name="T13" fmla="*/ 0 60000 65536"/>
                <a:gd name="T14" fmla="*/ 0 60000 65536"/>
                <a:gd name="T15" fmla="*/ 0 w 5"/>
                <a:gd name="T16" fmla="*/ 0 h 7"/>
                <a:gd name="T17" fmla="*/ 5 w 5"/>
                <a:gd name="T18" fmla="*/ 7 h 7"/>
              </a:gdLst>
              <a:ahLst/>
              <a:cxnLst>
                <a:cxn ang="T10">
                  <a:pos x="T0" y="T1"/>
                </a:cxn>
                <a:cxn ang="T11">
                  <a:pos x="T2" y="T3"/>
                </a:cxn>
                <a:cxn ang="T12">
                  <a:pos x="T4" y="T5"/>
                </a:cxn>
                <a:cxn ang="T13">
                  <a:pos x="T6" y="T7"/>
                </a:cxn>
                <a:cxn ang="T14">
                  <a:pos x="T8" y="T9"/>
                </a:cxn>
              </a:cxnLst>
              <a:rect l="T15" t="T16" r="T17" b="T18"/>
              <a:pathLst>
                <a:path w="5" h="7">
                  <a:moveTo>
                    <a:pt x="3" y="2"/>
                  </a:moveTo>
                  <a:cubicBezTo>
                    <a:pt x="4" y="1"/>
                    <a:pt x="5" y="0"/>
                    <a:pt x="5" y="0"/>
                  </a:cubicBezTo>
                  <a:cubicBezTo>
                    <a:pt x="5" y="1"/>
                    <a:pt x="4" y="2"/>
                    <a:pt x="3" y="3"/>
                  </a:cubicBezTo>
                  <a:cubicBezTo>
                    <a:pt x="3" y="5"/>
                    <a:pt x="1" y="7"/>
                    <a:pt x="0" y="6"/>
                  </a:cubicBezTo>
                  <a:cubicBezTo>
                    <a:pt x="0" y="5"/>
                    <a:pt x="2" y="3"/>
                    <a:pt x="3" y="2"/>
                  </a:cubicBezTo>
                  <a:close/>
                </a:path>
              </a:pathLst>
            </a:custGeom>
            <a:grpFill/>
            <a:ln w="3175" cap="rnd">
              <a:solidFill>
                <a:srgbClr val="A5A5A5"/>
              </a:solidFill>
              <a:round/>
              <a:headEnd/>
              <a:tailEnd/>
            </a:ln>
          </xdr:spPr>
        </xdr:sp>
        <xdr:sp macro="" textlink="">
          <xdr:nvSpPr>
            <xdr:cNvPr id="376" name="Form152585"/>
            <xdr:cNvSpPr>
              <a:spLocks noChangeAspect="1"/>
            </xdr:cNvSpPr>
          </xdr:nvSpPr>
          <xdr:spPr bwMode="auto">
            <a:xfrm>
              <a:off x="5678153" y="4086097"/>
              <a:ext cx="14321" cy="22012"/>
            </a:xfrm>
            <a:custGeom>
              <a:avLst/>
              <a:gdLst>
                <a:gd name="T0" fmla="*/ 16367 w 7"/>
                <a:gd name="T1" fmla="*/ 1834 h 12"/>
                <a:gd name="T2" fmla="*/ 10229 w 7"/>
                <a:gd name="T3" fmla="*/ 1834 h 12"/>
                <a:gd name="T4" fmla="*/ 0 w 7"/>
                <a:gd name="T5" fmla="*/ 20178 h 12"/>
                <a:gd name="T6" fmla="*/ 10229 w 7"/>
                <a:gd name="T7" fmla="*/ 27515 h 12"/>
                <a:gd name="T8" fmla="*/ 24550 w 7"/>
                <a:gd name="T9" fmla="*/ 23846 h 12"/>
                <a:gd name="T10" fmla="*/ 16367 w 7"/>
                <a:gd name="T11" fmla="*/ 1834 h 12"/>
                <a:gd name="T12" fmla="*/ 0 60000 65536"/>
                <a:gd name="T13" fmla="*/ 0 60000 65536"/>
                <a:gd name="T14" fmla="*/ 0 60000 65536"/>
                <a:gd name="T15" fmla="*/ 0 60000 65536"/>
                <a:gd name="T16" fmla="*/ 0 60000 65536"/>
                <a:gd name="T17" fmla="*/ 0 60000 65536"/>
                <a:gd name="T18" fmla="*/ 0 w 7"/>
                <a:gd name="T19" fmla="*/ 0 h 12"/>
                <a:gd name="T20" fmla="*/ 7 w 7"/>
                <a:gd name="T21" fmla="*/ 12 h 12"/>
              </a:gdLst>
              <a:ahLst/>
              <a:cxnLst>
                <a:cxn ang="T12">
                  <a:pos x="T0" y="T1"/>
                </a:cxn>
                <a:cxn ang="T13">
                  <a:pos x="T2" y="T3"/>
                </a:cxn>
                <a:cxn ang="T14">
                  <a:pos x="T4" y="T5"/>
                </a:cxn>
                <a:cxn ang="T15">
                  <a:pos x="T6" y="T7"/>
                </a:cxn>
                <a:cxn ang="T16">
                  <a:pos x="T8" y="T9"/>
                </a:cxn>
                <a:cxn ang="T17">
                  <a:pos x="T10" y="T11"/>
                </a:cxn>
              </a:cxnLst>
              <a:rect l="T18" t="T19" r="T20" b="T21"/>
              <a:pathLst>
                <a:path w="7" h="12">
                  <a:moveTo>
                    <a:pt x="5" y="1"/>
                  </a:moveTo>
                  <a:cubicBezTo>
                    <a:pt x="5" y="0"/>
                    <a:pt x="3" y="0"/>
                    <a:pt x="3" y="1"/>
                  </a:cubicBezTo>
                  <a:cubicBezTo>
                    <a:pt x="1" y="3"/>
                    <a:pt x="0" y="5"/>
                    <a:pt x="0" y="8"/>
                  </a:cubicBezTo>
                  <a:cubicBezTo>
                    <a:pt x="0" y="9"/>
                    <a:pt x="1" y="11"/>
                    <a:pt x="3" y="11"/>
                  </a:cubicBezTo>
                  <a:cubicBezTo>
                    <a:pt x="5" y="12"/>
                    <a:pt x="6" y="10"/>
                    <a:pt x="7" y="9"/>
                  </a:cubicBezTo>
                  <a:cubicBezTo>
                    <a:pt x="7" y="6"/>
                    <a:pt x="7" y="3"/>
                    <a:pt x="5" y="1"/>
                  </a:cubicBezTo>
                  <a:close/>
                </a:path>
              </a:pathLst>
            </a:custGeom>
            <a:grpFill/>
            <a:ln w="3175" cap="rnd">
              <a:solidFill>
                <a:srgbClr val="A5A5A5"/>
              </a:solidFill>
              <a:round/>
              <a:headEnd/>
              <a:tailEnd/>
            </a:ln>
          </xdr:spPr>
        </xdr:sp>
        <xdr:sp macro="" textlink="">
          <xdr:nvSpPr>
            <xdr:cNvPr id="377" name="Freeform 1017"/>
            <xdr:cNvSpPr>
              <a:spLocks noChangeAspect="1"/>
            </xdr:cNvSpPr>
          </xdr:nvSpPr>
          <xdr:spPr bwMode="auto">
            <a:xfrm>
              <a:off x="5663832" y="4038929"/>
              <a:ext cx="31825" cy="7861"/>
            </a:xfrm>
            <a:custGeom>
              <a:avLst/>
              <a:gdLst>
                <a:gd name="T0" fmla="*/ 39313 w 17"/>
                <a:gd name="T1" fmla="*/ 0 h 4"/>
                <a:gd name="T2" fmla="*/ 41185 w 17"/>
                <a:gd name="T3" fmla="*/ 7861 h 4"/>
                <a:gd name="T4" fmla="*/ 28081 w 17"/>
                <a:gd name="T5" fmla="*/ 7861 h 4"/>
                <a:gd name="T6" fmla="*/ 11232 w 17"/>
                <a:gd name="T7" fmla="*/ 11791 h 4"/>
                <a:gd name="T8" fmla="*/ 1872 w 17"/>
                <a:gd name="T9" fmla="*/ 1965 h 4"/>
                <a:gd name="T10" fmla="*/ 14976 w 17"/>
                <a:gd name="T11" fmla="*/ 1965 h 4"/>
                <a:gd name="T12" fmla="*/ 29953 w 17"/>
                <a:gd name="T13" fmla="*/ 0 h 4"/>
                <a:gd name="T14" fmla="*/ 39313 w 17"/>
                <a:gd name="T15" fmla="*/ 0 h 4"/>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
                <a:gd name="T26" fmla="*/ 17 w 17"/>
                <a:gd name="T27" fmla="*/ 4 h 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
                  <a:moveTo>
                    <a:pt x="15" y="0"/>
                  </a:moveTo>
                  <a:cubicBezTo>
                    <a:pt x="16" y="1"/>
                    <a:pt x="17" y="2"/>
                    <a:pt x="16" y="2"/>
                  </a:cubicBezTo>
                  <a:cubicBezTo>
                    <a:pt x="15" y="3"/>
                    <a:pt x="13" y="2"/>
                    <a:pt x="11" y="2"/>
                  </a:cubicBezTo>
                  <a:cubicBezTo>
                    <a:pt x="9" y="2"/>
                    <a:pt x="7" y="4"/>
                    <a:pt x="4" y="4"/>
                  </a:cubicBezTo>
                  <a:cubicBezTo>
                    <a:pt x="3" y="4"/>
                    <a:pt x="0" y="2"/>
                    <a:pt x="1" y="1"/>
                  </a:cubicBezTo>
                  <a:cubicBezTo>
                    <a:pt x="2" y="0"/>
                    <a:pt x="4" y="1"/>
                    <a:pt x="6" y="1"/>
                  </a:cubicBezTo>
                  <a:cubicBezTo>
                    <a:pt x="8" y="1"/>
                    <a:pt x="10" y="0"/>
                    <a:pt x="12" y="0"/>
                  </a:cubicBezTo>
                  <a:cubicBezTo>
                    <a:pt x="13" y="0"/>
                    <a:pt x="14" y="0"/>
                    <a:pt x="15" y="0"/>
                  </a:cubicBezTo>
                  <a:close/>
                </a:path>
              </a:pathLst>
            </a:custGeom>
            <a:grpFill/>
            <a:ln w="3175" cap="rnd">
              <a:solidFill>
                <a:srgbClr val="A5A5A5"/>
              </a:solidFill>
              <a:round/>
              <a:headEnd/>
              <a:tailEnd/>
            </a:ln>
          </xdr:spPr>
        </xdr:sp>
        <xdr:sp macro="" textlink="">
          <xdr:nvSpPr>
            <xdr:cNvPr id="378" name="Freeform 1018"/>
            <xdr:cNvSpPr>
              <a:spLocks noChangeAspect="1"/>
            </xdr:cNvSpPr>
          </xdr:nvSpPr>
          <xdr:spPr bwMode="auto">
            <a:xfrm>
              <a:off x="5698839" y="4032640"/>
              <a:ext cx="14321" cy="36163"/>
            </a:xfrm>
            <a:custGeom>
              <a:avLst/>
              <a:gdLst>
                <a:gd name="T0" fmla="*/ 2046 w 7"/>
                <a:gd name="T1" fmla="*/ 1903 h 19"/>
                <a:gd name="T2" fmla="*/ 8183 w 7"/>
                <a:gd name="T3" fmla="*/ 13323 h 19"/>
                <a:gd name="T4" fmla="*/ 16367 w 7"/>
                <a:gd name="T5" fmla="*/ 15227 h 19"/>
                <a:gd name="T6" fmla="*/ 10229 w 7"/>
                <a:gd name="T7" fmla="*/ 36163 h 19"/>
                <a:gd name="T8" fmla="*/ 2046 w 7"/>
                <a:gd name="T9" fmla="*/ 43776 h 19"/>
                <a:gd name="T10" fmla="*/ 10229 w 7"/>
                <a:gd name="T11" fmla="*/ 51390 h 19"/>
                <a:gd name="T12" fmla="*/ 12275 w 7"/>
                <a:gd name="T13" fmla="*/ 41873 h 19"/>
                <a:gd name="T14" fmla="*/ 24550 w 7"/>
                <a:gd name="T15" fmla="*/ 19033 h 19"/>
                <a:gd name="T16" fmla="*/ 24550 w 7"/>
                <a:gd name="T17" fmla="*/ 13323 h 19"/>
                <a:gd name="T18" fmla="*/ 12275 w 7"/>
                <a:gd name="T19" fmla="*/ 9517 h 19"/>
                <a:gd name="T20" fmla="*/ 2046 w 7"/>
                <a:gd name="T21" fmla="*/ 1903 h 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7"/>
                <a:gd name="T34" fmla="*/ 0 h 19"/>
                <a:gd name="T35" fmla="*/ 7 w 7"/>
                <a:gd name="T36" fmla="*/ 19 h 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7" h="19">
                  <a:moveTo>
                    <a:pt x="1" y="1"/>
                  </a:moveTo>
                  <a:cubicBezTo>
                    <a:pt x="0" y="2"/>
                    <a:pt x="1" y="4"/>
                    <a:pt x="2" y="5"/>
                  </a:cubicBezTo>
                  <a:cubicBezTo>
                    <a:pt x="3" y="6"/>
                    <a:pt x="5" y="5"/>
                    <a:pt x="5" y="6"/>
                  </a:cubicBezTo>
                  <a:cubicBezTo>
                    <a:pt x="6" y="9"/>
                    <a:pt x="4" y="11"/>
                    <a:pt x="3" y="13"/>
                  </a:cubicBezTo>
                  <a:cubicBezTo>
                    <a:pt x="3" y="14"/>
                    <a:pt x="1" y="15"/>
                    <a:pt x="1" y="16"/>
                  </a:cubicBezTo>
                  <a:cubicBezTo>
                    <a:pt x="1" y="17"/>
                    <a:pt x="2" y="19"/>
                    <a:pt x="3" y="18"/>
                  </a:cubicBezTo>
                  <a:cubicBezTo>
                    <a:pt x="4" y="18"/>
                    <a:pt x="4" y="16"/>
                    <a:pt x="4" y="15"/>
                  </a:cubicBezTo>
                  <a:cubicBezTo>
                    <a:pt x="5" y="12"/>
                    <a:pt x="6" y="10"/>
                    <a:pt x="7" y="7"/>
                  </a:cubicBezTo>
                  <a:cubicBezTo>
                    <a:pt x="7" y="6"/>
                    <a:pt x="7" y="6"/>
                    <a:pt x="7" y="5"/>
                  </a:cubicBezTo>
                  <a:cubicBezTo>
                    <a:pt x="6" y="4"/>
                    <a:pt x="5" y="4"/>
                    <a:pt x="4" y="3"/>
                  </a:cubicBezTo>
                  <a:cubicBezTo>
                    <a:pt x="3" y="2"/>
                    <a:pt x="2" y="0"/>
                    <a:pt x="1" y="1"/>
                  </a:cubicBezTo>
                  <a:close/>
                </a:path>
              </a:pathLst>
            </a:custGeom>
            <a:grpFill/>
            <a:ln w="3175" cap="rnd">
              <a:solidFill>
                <a:srgbClr val="A5A5A5"/>
              </a:solidFill>
              <a:round/>
              <a:headEnd/>
              <a:tailEnd/>
            </a:ln>
          </xdr:spPr>
        </xdr:sp>
        <xdr:sp macro="" textlink="">
          <xdr:nvSpPr>
            <xdr:cNvPr id="379" name="Freeform 1019"/>
            <xdr:cNvSpPr>
              <a:spLocks noChangeAspect="1"/>
            </xdr:cNvSpPr>
          </xdr:nvSpPr>
          <xdr:spPr bwMode="auto">
            <a:xfrm>
              <a:off x="5716343" y="4078236"/>
              <a:ext cx="14321" cy="22012"/>
            </a:xfrm>
            <a:custGeom>
              <a:avLst/>
              <a:gdLst>
                <a:gd name="T0" fmla="*/ 0 w 7"/>
                <a:gd name="T1" fmla="*/ 1834 h 12"/>
                <a:gd name="T2" fmla="*/ 16367 w 7"/>
                <a:gd name="T3" fmla="*/ 12840 h 12"/>
                <a:gd name="T4" fmla="*/ 20459 w 7"/>
                <a:gd name="T5" fmla="*/ 27515 h 12"/>
                <a:gd name="T6" fmla="*/ 24550 w 7"/>
                <a:gd name="T7" fmla="*/ 25681 h 12"/>
                <a:gd name="T8" fmla="*/ 20459 w 7"/>
                <a:gd name="T9" fmla="*/ 11006 h 12"/>
                <a:gd name="T10" fmla="*/ 10229 w 7"/>
                <a:gd name="T11" fmla="*/ 0 h 12"/>
                <a:gd name="T12" fmla="*/ 0 w 7"/>
                <a:gd name="T13" fmla="*/ 1834 h 12"/>
                <a:gd name="T14" fmla="*/ 0 60000 65536"/>
                <a:gd name="T15" fmla="*/ 0 60000 65536"/>
                <a:gd name="T16" fmla="*/ 0 60000 65536"/>
                <a:gd name="T17" fmla="*/ 0 60000 65536"/>
                <a:gd name="T18" fmla="*/ 0 60000 65536"/>
                <a:gd name="T19" fmla="*/ 0 60000 65536"/>
                <a:gd name="T20" fmla="*/ 0 60000 65536"/>
                <a:gd name="T21" fmla="*/ 0 w 7"/>
                <a:gd name="T22" fmla="*/ 0 h 12"/>
                <a:gd name="T23" fmla="*/ 7 w 7"/>
                <a:gd name="T24" fmla="*/ 12 h 1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 h="12">
                  <a:moveTo>
                    <a:pt x="0" y="1"/>
                  </a:moveTo>
                  <a:cubicBezTo>
                    <a:pt x="1" y="3"/>
                    <a:pt x="4" y="3"/>
                    <a:pt x="5" y="5"/>
                  </a:cubicBezTo>
                  <a:cubicBezTo>
                    <a:pt x="6" y="7"/>
                    <a:pt x="5" y="9"/>
                    <a:pt x="6" y="11"/>
                  </a:cubicBezTo>
                  <a:cubicBezTo>
                    <a:pt x="6" y="12"/>
                    <a:pt x="7" y="11"/>
                    <a:pt x="7" y="10"/>
                  </a:cubicBezTo>
                  <a:cubicBezTo>
                    <a:pt x="7" y="8"/>
                    <a:pt x="7" y="6"/>
                    <a:pt x="6" y="4"/>
                  </a:cubicBezTo>
                  <a:cubicBezTo>
                    <a:pt x="6" y="2"/>
                    <a:pt x="4" y="1"/>
                    <a:pt x="3" y="0"/>
                  </a:cubicBezTo>
                  <a:cubicBezTo>
                    <a:pt x="2" y="0"/>
                    <a:pt x="0" y="0"/>
                    <a:pt x="0" y="1"/>
                  </a:cubicBezTo>
                  <a:close/>
                </a:path>
              </a:pathLst>
            </a:custGeom>
            <a:grpFill/>
            <a:ln w="3175" cap="rnd">
              <a:solidFill>
                <a:srgbClr val="A5A5A5"/>
              </a:solidFill>
              <a:round/>
              <a:headEnd/>
              <a:tailEnd/>
            </a:ln>
          </xdr:spPr>
        </xdr:sp>
      </xdr:grpSp>
      <xdr:sp macro="" textlink="">
        <xdr:nvSpPr>
          <xdr:cNvPr id="337" name="BRB"/>
          <xdr:cNvSpPr>
            <a:spLocks noChangeAspect="1"/>
          </xdr:cNvSpPr>
        </xdr:nvSpPr>
        <xdr:spPr bwMode="auto">
          <a:xfrm>
            <a:off x="4479382" y="5003792"/>
            <a:ext cx="0" cy="0"/>
          </a:xfrm>
          <a:custGeom>
            <a:avLst/>
            <a:gdLst>
              <a:gd name="T0" fmla="*/ 3183 w 3"/>
              <a:gd name="T1" fmla="*/ 8385 h 3"/>
              <a:gd name="T2" fmla="*/ 0 w 3"/>
              <a:gd name="T3" fmla="*/ 8385 h 3"/>
              <a:gd name="T4" fmla="*/ 1591 w 3"/>
              <a:gd name="T5" fmla="*/ 2096 h 3"/>
              <a:gd name="T6" fmla="*/ 3183 w 3"/>
              <a:gd name="T7" fmla="*/ 2096 h 3"/>
              <a:gd name="T8" fmla="*/ 3183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1" y="2"/>
                  <a:pt x="1" y="3"/>
                  <a:pt x="0" y="2"/>
                </a:cubicBezTo>
                <a:cubicBezTo>
                  <a:pt x="0" y="2"/>
                  <a:pt x="0" y="1"/>
                  <a:pt x="1" y="1"/>
                </a:cubicBezTo>
                <a:cubicBezTo>
                  <a:pt x="1" y="1"/>
                  <a:pt x="2" y="0"/>
                  <a:pt x="2" y="1"/>
                </a:cubicBezTo>
                <a:cubicBezTo>
                  <a:pt x="3" y="1"/>
                  <a:pt x="2" y="2"/>
                  <a:pt x="2" y="2"/>
                </a:cubicBezTo>
                <a:close/>
              </a:path>
            </a:pathLst>
          </a:custGeom>
          <a:solidFill>
            <a:schemeClr val="bg1">
              <a:lumMod val="95000"/>
            </a:schemeClr>
          </a:solidFill>
          <a:ln w="3175" cap="rnd">
            <a:solidFill>
              <a:srgbClr val="A5A5A5"/>
            </a:solidFill>
            <a:round/>
            <a:headEnd/>
            <a:tailEnd/>
          </a:ln>
        </xdr:spPr>
      </xdr:sp>
      <xdr:grpSp>
        <xdr:nvGrpSpPr>
          <xdr:cNvPr id="338" name="CPV"/>
          <xdr:cNvGrpSpPr>
            <a:grpSpLocks/>
          </xdr:cNvGrpSpPr>
        </xdr:nvGrpSpPr>
        <xdr:grpSpPr bwMode="auto">
          <a:xfrm>
            <a:off x="5481001" y="4808057"/>
            <a:ext cx="71112" cy="80598"/>
            <a:chOff x="5222198" y="3557700"/>
            <a:chExt cx="57284" cy="63116"/>
          </a:xfrm>
          <a:solidFill>
            <a:schemeClr val="bg1">
              <a:lumMod val="95000"/>
            </a:schemeClr>
          </a:solidFill>
        </xdr:grpSpPr>
        <xdr:sp macro="" textlink="">
          <xdr:nvSpPr>
            <xdr:cNvPr id="364" name="Oval 161"/>
            <xdr:cNvSpPr>
              <a:spLocks noChangeAspect="1" noChangeArrowheads="1"/>
            </xdr:cNvSpPr>
          </xdr:nvSpPr>
          <xdr:spPr bwMode="auto">
            <a:xfrm>
              <a:off x="5231746" y="3611158"/>
              <a:ext cx="9547" cy="9658"/>
            </a:xfrm>
            <a:prstGeom prst="ellipse">
              <a:avLst/>
            </a:prstGeom>
            <a:grpFill/>
            <a:ln w="3175" cap="rnd">
              <a:solidFill>
                <a:srgbClr val="A5A5A5"/>
              </a:solidFill>
              <a:round/>
              <a:headEnd/>
              <a:tailEnd/>
            </a:ln>
          </xdr:spPr>
        </xdr:sp>
        <xdr:sp macro="" textlink="">
          <xdr:nvSpPr>
            <xdr:cNvPr id="365" name="Oval 162"/>
            <xdr:cNvSpPr>
              <a:spLocks noChangeAspect="1" noChangeArrowheads="1"/>
            </xdr:cNvSpPr>
          </xdr:nvSpPr>
          <xdr:spPr bwMode="auto">
            <a:xfrm>
              <a:off x="5269935" y="3576567"/>
              <a:ext cx="9547" cy="6289"/>
            </a:xfrm>
            <a:prstGeom prst="ellipse">
              <a:avLst/>
            </a:prstGeom>
            <a:grpFill/>
            <a:ln w="3175" cap="rnd">
              <a:solidFill>
                <a:srgbClr val="A5A5A5"/>
              </a:solidFill>
              <a:round/>
              <a:headEnd/>
              <a:tailEnd/>
            </a:ln>
          </xdr:spPr>
        </xdr:sp>
        <xdr:sp macro="" textlink="">
          <xdr:nvSpPr>
            <xdr:cNvPr id="366" name="Freeform 163"/>
            <xdr:cNvSpPr>
              <a:spLocks noChangeAspect="1"/>
            </xdr:cNvSpPr>
          </xdr:nvSpPr>
          <xdr:spPr bwMode="auto">
            <a:xfrm>
              <a:off x="5238111" y="3565561"/>
              <a:ext cx="11139" cy="7861"/>
            </a:xfrm>
            <a:custGeom>
              <a:avLst/>
              <a:gdLst>
                <a:gd name="T0" fmla="*/ 9283 w 6"/>
                <a:gd name="T1" fmla="*/ 0 h 4"/>
                <a:gd name="T2" fmla="*/ 12995 w 6"/>
                <a:gd name="T3" fmla="*/ 7861 h 4"/>
                <a:gd name="T4" fmla="*/ 3713 w 6"/>
                <a:gd name="T5" fmla="*/ 9826 h 4"/>
                <a:gd name="T6" fmla="*/ 0 w 6"/>
                <a:gd name="T7" fmla="*/ 1965 h 4"/>
                <a:gd name="T8" fmla="*/ 9283 w 6"/>
                <a:gd name="T9" fmla="*/ 0 h 4"/>
                <a:gd name="T10" fmla="*/ 0 60000 65536"/>
                <a:gd name="T11" fmla="*/ 0 60000 65536"/>
                <a:gd name="T12" fmla="*/ 0 60000 65536"/>
                <a:gd name="T13" fmla="*/ 0 60000 65536"/>
                <a:gd name="T14" fmla="*/ 0 60000 65536"/>
                <a:gd name="T15" fmla="*/ 0 w 6"/>
                <a:gd name="T16" fmla="*/ 0 h 4"/>
                <a:gd name="T17" fmla="*/ 6 w 6"/>
                <a:gd name="T18" fmla="*/ 4 h 4"/>
              </a:gdLst>
              <a:ahLst/>
              <a:cxnLst>
                <a:cxn ang="T10">
                  <a:pos x="T0" y="T1"/>
                </a:cxn>
                <a:cxn ang="T11">
                  <a:pos x="T2" y="T3"/>
                </a:cxn>
                <a:cxn ang="T12">
                  <a:pos x="T4" y="T5"/>
                </a:cxn>
                <a:cxn ang="T13">
                  <a:pos x="T6" y="T7"/>
                </a:cxn>
                <a:cxn ang="T14">
                  <a:pos x="T8" y="T9"/>
                </a:cxn>
              </a:cxnLst>
              <a:rect l="T15" t="T16" r="T17" b="T18"/>
              <a:pathLst>
                <a:path w="6" h="4">
                  <a:moveTo>
                    <a:pt x="3" y="0"/>
                  </a:moveTo>
                  <a:cubicBezTo>
                    <a:pt x="4" y="0"/>
                    <a:pt x="6" y="1"/>
                    <a:pt x="5" y="2"/>
                  </a:cubicBezTo>
                  <a:cubicBezTo>
                    <a:pt x="5" y="3"/>
                    <a:pt x="3" y="4"/>
                    <a:pt x="2" y="3"/>
                  </a:cubicBezTo>
                  <a:cubicBezTo>
                    <a:pt x="1" y="3"/>
                    <a:pt x="0" y="2"/>
                    <a:pt x="0" y="1"/>
                  </a:cubicBezTo>
                  <a:cubicBezTo>
                    <a:pt x="0" y="0"/>
                    <a:pt x="2" y="0"/>
                    <a:pt x="3" y="0"/>
                  </a:cubicBezTo>
                  <a:close/>
                </a:path>
              </a:pathLst>
            </a:custGeom>
            <a:grpFill/>
            <a:ln w="3175" cap="rnd">
              <a:solidFill>
                <a:srgbClr val="A5A5A5"/>
              </a:solidFill>
              <a:round/>
              <a:headEnd/>
              <a:tailEnd/>
            </a:ln>
          </xdr:spPr>
        </xdr:sp>
        <xdr:sp macro="" textlink="">
          <xdr:nvSpPr>
            <xdr:cNvPr id="367" name="Freeform 164"/>
            <xdr:cNvSpPr>
              <a:spLocks noChangeAspect="1"/>
            </xdr:cNvSpPr>
          </xdr:nvSpPr>
          <xdr:spPr bwMode="auto">
            <a:xfrm>
              <a:off x="5269935" y="3562417"/>
              <a:ext cx="6365" cy="4717"/>
            </a:xfrm>
            <a:custGeom>
              <a:avLst/>
              <a:gdLst>
                <a:gd name="T0" fmla="*/ 2122 w 3"/>
                <a:gd name="T1" fmla="*/ 0 h 3"/>
                <a:gd name="T2" fmla="*/ 10608 w 3"/>
                <a:gd name="T3" fmla="*/ 1572 h 3"/>
                <a:gd name="T4" fmla="*/ 8487 w 3"/>
                <a:gd name="T5" fmla="*/ 4717 h 3"/>
                <a:gd name="T6" fmla="*/ 0 w 3"/>
                <a:gd name="T7" fmla="*/ 1572 h 3"/>
                <a:gd name="T8" fmla="*/ 2122 w 3"/>
                <a:gd name="T9" fmla="*/ 0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1" y="0"/>
                  </a:moveTo>
                  <a:cubicBezTo>
                    <a:pt x="2" y="0"/>
                    <a:pt x="3" y="0"/>
                    <a:pt x="3" y="1"/>
                  </a:cubicBezTo>
                  <a:cubicBezTo>
                    <a:pt x="3" y="2"/>
                    <a:pt x="2" y="2"/>
                    <a:pt x="2" y="3"/>
                  </a:cubicBezTo>
                  <a:cubicBezTo>
                    <a:pt x="1" y="3"/>
                    <a:pt x="0" y="2"/>
                    <a:pt x="0" y="1"/>
                  </a:cubicBezTo>
                  <a:cubicBezTo>
                    <a:pt x="0" y="1"/>
                    <a:pt x="1" y="0"/>
                    <a:pt x="1" y="0"/>
                  </a:cubicBezTo>
                  <a:close/>
                </a:path>
              </a:pathLst>
            </a:custGeom>
            <a:grpFill/>
            <a:ln w="3175" cap="rnd">
              <a:solidFill>
                <a:srgbClr val="A5A5A5"/>
              </a:solidFill>
              <a:round/>
              <a:headEnd/>
              <a:tailEnd/>
            </a:ln>
          </xdr:spPr>
        </xdr:sp>
        <xdr:sp macro="" textlink="">
          <xdr:nvSpPr>
            <xdr:cNvPr id="368" name="Freeform 165"/>
            <xdr:cNvSpPr>
              <a:spLocks noChangeAspect="1"/>
            </xdr:cNvSpPr>
          </xdr:nvSpPr>
          <xdr:spPr bwMode="auto">
            <a:xfrm>
              <a:off x="5222198" y="3557700"/>
              <a:ext cx="6365" cy="6289"/>
            </a:xfrm>
            <a:custGeom>
              <a:avLst/>
              <a:gdLst>
                <a:gd name="T0" fmla="*/ 2122 w 3"/>
                <a:gd name="T1" fmla="*/ 0 h 3"/>
                <a:gd name="T2" fmla="*/ 10608 w 3"/>
                <a:gd name="T3" fmla="*/ 2096 h 3"/>
                <a:gd name="T4" fmla="*/ 8487 w 3"/>
                <a:gd name="T5" fmla="*/ 10482 h 3"/>
                <a:gd name="T6" fmla="*/ 0 w 3"/>
                <a:gd name="T7" fmla="*/ 8385 h 3"/>
                <a:gd name="T8" fmla="*/ 2122 w 3"/>
                <a:gd name="T9" fmla="*/ 0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1" y="0"/>
                  </a:moveTo>
                  <a:cubicBezTo>
                    <a:pt x="2" y="0"/>
                    <a:pt x="3" y="0"/>
                    <a:pt x="3" y="1"/>
                  </a:cubicBezTo>
                  <a:cubicBezTo>
                    <a:pt x="3" y="2"/>
                    <a:pt x="2" y="3"/>
                    <a:pt x="2" y="3"/>
                  </a:cubicBezTo>
                  <a:cubicBezTo>
                    <a:pt x="1" y="3"/>
                    <a:pt x="0" y="2"/>
                    <a:pt x="0" y="2"/>
                  </a:cubicBezTo>
                  <a:cubicBezTo>
                    <a:pt x="0" y="1"/>
                    <a:pt x="1" y="0"/>
                    <a:pt x="1" y="0"/>
                  </a:cubicBezTo>
                  <a:close/>
                </a:path>
              </a:pathLst>
            </a:custGeom>
            <a:grpFill/>
            <a:ln w="3175" cap="rnd">
              <a:solidFill>
                <a:srgbClr val="A5A5A5"/>
              </a:solidFill>
              <a:round/>
              <a:headEnd/>
              <a:tailEnd/>
            </a:ln>
          </xdr:spPr>
        </xdr:sp>
        <xdr:sp macro="" textlink="">
          <xdr:nvSpPr>
            <xdr:cNvPr id="369" name="Freeform 166"/>
            <xdr:cNvSpPr>
              <a:spLocks noChangeAspect="1"/>
            </xdr:cNvSpPr>
          </xdr:nvSpPr>
          <xdr:spPr bwMode="auto">
            <a:xfrm>
              <a:off x="5260388" y="3603296"/>
              <a:ext cx="7956" cy="6289"/>
            </a:xfrm>
            <a:custGeom>
              <a:avLst/>
              <a:gdLst>
                <a:gd name="T0" fmla="*/ 7956 w 4"/>
                <a:gd name="T1" fmla="*/ 0 h 3"/>
                <a:gd name="T2" fmla="*/ 11934 w 4"/>
                <a:gd name="T3" fmla="*/ 2096 h 3"/>
                <a:gd name="T4" fmla="*/ 7956 w 4"/>
                <a:gd name="T5" fmla="*/ 8385 h 3"/>
                <a:gd name="T6" fmla="*/ 0 w 4"/>
                <a:gd name="T7" fmla="*/ 2096 h 3"/>
                <a:gd name="T8" fmla="*/ 7956 w 4"/>
                <a:gd name="T9" fmla="*/ 0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0"/>
                  </a:moveTo>
                  <a:cubicBezTo>
                    <a:pt x="2" y="0"/>
                    <a:pt x="4" y="0"/>
                    <a:pt x="4" y="1"/>
                  </a:cubicBezTo>
                  <a:cubicBezTo>
                    <a:pt x="4" y="2"/>
                    <a:pt x="3" y="2"/>
                    <a:pt x="2" y="2"/>
                  </a:cubicBezTo>
                  <a:cubicBezTo>
                    <a:pt x="1" y="3"/>
                    <a:pt x="0" y="2"/>
                    <a:pt x="0" y="1"/>
                  </a:cubicBezTo>
                  <a:cubicBezTo>
                    <a:pt x="0" y="1"/>
                    <a:pt x="1" y="0"/>
                    <a:pt x="2" y="0"/>
                  </a:cubicBezTo>
                  <a:close/>
                </a:path>
              </a:pathLst>
            </a:custGeom>
            <a:grpFill/>
            <a:ln w="3175" cap="rnd">
              <a:solidFill>
                <a:srgbClr val="A5A5A5"/>
              </a:solidFill>
              <a:round/>
              <a:headEnd/>
              <a:tailEnd/>
            </a:ln>
          </xdr:spPr>
        </xdr:sp>
      </xdr:grpSp>
      <xdr:sp macro="" textlink="">
        <xdr:nvSpPr>
          <xdr:cNvPr id="339" name="CYM"/>
          <xdr:cNvSpPr>
            <a:spLocks noChangeAspect="1"/>
          </xdr:cNvSpPr>
        </xdr:nvSpPr>
        <xdr:spPr bwMode="auto">
          <a:xfrm>
            <a:off x="3900685" y="4727460"/>
            <a:ext cx="11035" cy="0"/>
          </a:xfrm>
          <a:custGeom>
            <a:avLst/>
            <a:gdLst>
              <a:gd name="T0" fmla="*/ 9547 w 5"/>
              <a:gd name="T1" fmla="*/ 0 h 2"/>
              <a:gd name="T2" fmla="*/ 13366 w 5"/>
              <a:gd name="T3" fmla="*/ 1573 h 2"/>
              <a:gd name="T4" fmla="*/ 3819 w 5"/>
              <a:gd name="T5" fmla="*/ 3145 h 2"/>
              <a:gd name="T6" fmla="*/ 0 w 5"/>
              <a:gd name="T7" fmla="*/ 0 h 2"/>
              <a:gd name="T8" fmla="*/ 9547 w 5"/>
              <a:gd name="T9" fmla="*/ 0 h 2"/>
              <a:gd name="T10" fmla="*/ 0 60000 65536"/>
              <a:gd name="T11" fmla="*/ 0 60000 65536"/>
              <a:gd name="T12" fmla="*/ 0 60000 65536"/>
              <a:gd name="T13" fmla="*/ 0 60000 65536"/>
              <a:gd name="T14" fmla="*/ 0 60000 65536"/>
              <a:gd name="T15" fmla="*/ 0 w 5"/>
              <a:gd name="T16" fmla="*/ 0 h 2"/>
              <a:gd name="T17" fmla="*/ 5 w 5"/>
              <a:gd name="T18" fmla="*/ 2 h 2"/>
            </a:gdLst>
            <a:ahLst/>
            <a:cxnLst>
              <a:cxn ang="T10">
                <a:pos x="T0" y="T1"/>
              </a:cxn>
              <a:cxn ang="T11">
                <a:pos x="T2" y="T3"/>
              </a:cxn>
              <a:cxn ang="T12">
                <a:pos x="T4" y="T5"/>
              </a:cxn>
              <a:cxn ang="T13">
                <a:pos x="T6" y="T7"/>
              </a:cxn>
              <a:cxn ang="T14">
                <a:pos x="T8" y="T9"/>
              </a:cxn>
            </a:cxnLst>
            <a:rect l="T15" t="T16" r="T17" b="T18"/>
            <a:pathLst>
              <a:path w="5" h="2">
                <a:moveTo>
                  <a:pt x="3" y="0"/>
                </a:moveTo>
                <a:cubicBezTo>
                  <a:pt x="4" y="0"/>
                  <a:pt x="5" y="1"/>
                  <a:pt x="5" y="1"/>
                </a:cubicBezTo>
                <a:cubicBezTo>
                  <a:pt x="4" y="2"/>
                  <a:pt x="3" y="2"/>
                  <a:pt x="2" y="2"/>
                </a:cubicBezTo>
                <a:cubicBezTo>
                  <a:pt x="1" y="1"/>
                  <a:pt x="0" y="1"/>
                  <a:pt x="0" y="0"/>
                </a:cubicBezTo>
                <a:cubicBezTo>
                  <a:pt x="0" y="0"/>
                  <a:pt x="2" y="0"/>
                  <a:pt x="3" y="0"/>
                </a:cubicBezTo>
                <a:close/>
              </a:path>
            </a:pathLst>
          </a:custGeom>
          <a:solidFill>
            <a:schemeClr val="bg1">
              <a:lumMod val="95000"/>
            </a:schemeClr>
          </a:solidFill>
          <a:ln w="3175" cap="rnd">
            <a:solidFill>
              <a:srgbClr val="A5A5A5"/>
            </a:solidFill>
            <a:round/>
            <a:headEnd/>
            <a:tailEnd/>
          </a:ln>
        </xdr:spPr>
      </xdr:sp>
      <xdr:sp macro="" textlink="">
        <xdr:nvSpPr>
          <xdr:cNvPr id="340" name="ABW"/>
          <xdr:cNvSpPr>
            <a:spLocks noChangeAspect="1"/>
          </xdr:cNvSpPr>
        </xdr:nvSpPr>
        <xdr:spPr bwMode="auto">
          <a:xfrm>
            <a:off x="4214555" y="4957737"/>
            <a:ext cx="11035" cy="11514"/>
          </a:xfrm>
          <a:custGeom>
            <a:avLst/>
            <a:gdLst>
              <a:gd name="T0" fmla="*/ 11456 w 5"/>
              <a:gd name="T1" fmla="*/ 3145 h 2"/>
              <a:gd name="T2" fmla="*/ 3819 w 5"/>
              <a:gd name="T3" fmla="*/ 3145 h 2"/>
              <a:gd name="T4" fmla="*/ 1909 w 5"/>
              <a:gd name="T5" fmla="*/ 1573 h 2"/>
              <a:gd name="T6" fmla="*/ 9547 w 5"/>
              <a:gd name="T7" fmla="*/ 0 h 2"/>
              <a:gd name="T8" fmla="*/ 11456 w 5"/>
              <a:gd name="T9" fmla="*/ 3145 h 2"/>
              <a:gd name="T10" fmla="*/ 0 60000 65536"/>
              <a:gd name="T11" fmla="*/ 0 60000 65536"/>
              <a:gd name="T12" fmla="*/ 0 60000 65536"/>
              <a:gd name="T13" fmla="*/ 0 60000 65536"/>
              <a:gd name="T14" fmla="*/ 0 60000 65536"/>
              <a:gd name="T15" fmla="*/ 0 w 5"/>
              <a:gd name="T16" fmla="*/ 0 h 2"/>
              <a:gd name="T17" fmla="*/ 5 w 5"/>
              <a:gd name="T18" fmla="*/ 2 h 2"/>
            </a:gdLst>
            <a:ahLst/>
            <a:cxnLst>
              <a:cxn ang="T10">
                <a:pos x="T0" y="T1"/>
              </a:cxn>
              <a:cxn ang="T11">
                <a:pos x="T2" y="T3"/>
              </a:cxn>
              <a:cxn ang="T12">
                <a:pos x="T4" y="T5"/>
              </a:cxn>
              <a:cxn ang="T13">
                <a:pos x="T6" y="T7"/>
              </a:cxn>
              <a:cxn ang="T14">
                <a:pos x="T8" y="T9"/>
              </a:cxn>
            </a:cxnLst>
            <a:rect l="T15" t="T16" r="T17" b="T18"/>
            <a:pathLst>
              <a:path w="5" h="2">
                <a:moveTo>
                  <a:pt x="4" y="2"/>
                </a:moveTo>
                <a:cubicBezTo>
                  <a:pt x="4" y="2"/>
                  <a:pt x="3" y="2"/>
                  <a:pt x="2" y="2"/>
                </a:cubicBezTo>
                <a:cubicBezTo>
                  <a:pt x="1" y="2"/>
                  <a:pt x="0" y="1"/>
                  <a:pt x="1" y="1"/>
                </a:cubicBezTo>
                <a:cubicBezTo>
                  <a:pt x="1" y="0"/>
                  <a:pt x="1" y="0"/>
                  <a:pt x="3" y="0"/>
                </a:cubicBezTo>
                <a:cubicBezTo>
                  <a:pt x="5" y="0"/>
                  <a:pt x="4" y="1"/>
                  <a:pt x="4" y="2"/>
                </a:cubicBezTo>
                <a:close/>
              </a:path>
            </a:pathLst>
          </a:custGeom>
          <a:solidFill>
            <a:schemeClr val="bg1">
              <a:lumMod val="95000"/>
            </a:schemeClr>
          </a:solidFill>
          <a:ln w="3175" cap="rnd">
            <a:solidFill>
              <a:srgbClr val="A5A5A5"/>
            </a:solidFill>
            <a:round/>
            <a:headEnd/>
            <a:tailEnd/>
          </a:ln>
        </xdr:spPr>
      </xdr:sp>
      <xdr:sp macro="" textlink="">
        <xdr:nvSpPr>
          <xdr:cNvPr id="341" name="SUR"/>
          <xdr:cNvSpPr>
            <a:spLocks noChangeAspect="1"/>
          </xdr:cNvSpPr>
        </xdr:nvSpPr>
        <xdr:spPr bwMode="auto">
          <a:xfrm>
            <a:off x="4556624" y="5188015"/>
            <a:ext cx="110345" cy="138166"/>
          </a:xfrm>
          <a:custGeom>
            <a:avLst/>
            <a:gdLst>
              <a:gd name="T0" fmla="*/ 118002 w 51"/>
              <a:gd name="T1" fmla="*/ 136545 h 58"/>
              <a:gd name="T2" fmla="*/ 110264 w 51"/>
              <a:gd name="T3" fmla="*/ 127193 h 58"/>
              <a:gd name="T4" fmla="*/ 106395 w 51"/>
              <a:gd name="T5" fmla="*/ 129063 h 58"/>
              <a:gd name="T6" fmla="*/ 94788 w 51"/>
              <a:gd name="T7" fmla="*/ 130934 h 58"/>
              <a:gd name="T8" fmla="*/ 79312 w 51"/>
              <a:gd name="T9" fmla="*/ 127193 h 58"/>
              <a:gd name="T10" fmla="*/ 67706 w 51"/>
              <a:gd name="T11" fmla="*/ 140286 h 58"/>
              <a:gd name="T12" fmla="*/ 79312 w 51"/>
              <a:gd name="T13" fmla="*/ 149639 h 58"/>
              <a:gd name="T14" fmla="*/ 67706 w 51"/>
              <a:gd name="T15" fmla="*/ 153380 h 58"/>
              <a:gd name="T16" fmla="*/ 54165 w 51"/>
              <a:gd name="T17" fmla="*/ 153380 h 58"/>
              <a:gd name="T18" fmla="*/ 44492 w 51"/>
              <a:gd name="T19" fmla="*/ 142157 h 58"/>
              <a:gd name="T20" fmla="*/ 36755 w 51"/>
              <a:gd name="T21" fmla="*/ 129063 h 58"/>
              <a:gd name="T22" fmla="*/ 30951 w 51"/>
              <a:gd name="T23" fmla="*/ 108488 h 58"/>
              <a:gd name="T24" fmla="*/ 25148 w 51"/>
              <a:gd name="T25" fmla="*/ 106618 h 58"/>
              <a:gd name="T26" fmla="*/ 25148 w 51"/>
              <a:gd name="T27" fmla="*/ 95395 h 58"/>
              <a:gd name="T28" fmla="*/ 17410 w 51"/>
              <a:gd name="T29" fmla="*/ 95395 h 58"/>
              <a:gd name="T30" fmla="*/ 0 w 51"/>
              <a:gd name="T31" fmla="*/ 71078 h 58"/>
              <a:gd name="T32" fmla="*/ 3869 w 51"/>
              <a:gd name="T33" fmla="*/ 56114 h 58"/>
              <a:gd name="T34" fmla="*/ 9672 w 51"/>
              <a:gd name="T35" fmla="*/ 39280 h 58"/>
              <a:gd name="T36" fmla="*/ 23213 w 51"/>
              <a:gd name="T37" fmla="*/ 39280 h 58"/>
              <a:gd name="T38" fmla="*/ 29017 w 51"/>
              <a:gd name="T39" fmla="*/ 28057 h 58"/>
              <a:gd name="T40" fmla="*/ 25148 w 51"/>
              <a:gd name="T41" fmla="*/ 13093 h 58"/>
              <a:gd name="T42" fmla="*/ 34820 w 51"/>
              <a:gd name="T43" fmla="*/ 1870 h 58"/>
              <a:gd name="T44" fmla="*/ 56099 w 51"/>
              <a:gd name="T45" fmla="*/ 3741 h 58"/>
              <a:gd name="T46" fmla="*/ 75444 w 51"/>
              <a:gd name="T47" fmla="*/ 11223 h 58"/>
              <a:gd name="T48" fmla="*/ 88985 w 51"/>
              <a:gd name="T49" fmla="*/ 0 h 58"/>
              <a:gd name="T50" fmla="*/ 100591 w 51"/>
              <a:gd name="T51" fmla="*/ 3741 h 58"/>
              <a:gd name="T52" fmla="*/ 110264 w 51"/>
              <a:gd name="T53" fmla="*/ 3741 h 58"/>
              <a:gd name="T54" fmla="*/ 123805 w 51"/>
              <a:gd name="T55" fmla="*/ 3741 h 58"/>
              <a:gd name="T56" fmla="*/ 137346 w 51"/>
              <a:gd name="T57" fmla="*/ 3741 h 58"/>
              <a:gd name="T58" fmla="*/ 145084 w 51"/>
              <a:gd name="T59" fmla="*/ 13093 h 58"/>
              <a:gd name="T60" fmla="*/ 141215 w 51"/>
              <a:gd name="T61" fmla="*/ 26187 h 58"/>
              <a:gd name="T62" fmla="*/ 123805 w 51"/>
              <a:gd name="T63" fmla="*/ 44892 h 58"/>
              <a:gd name="T64" fmla="*/ 133477 w 51"/>
              <a:gd name="T65" fmla="*/ 72949 h 58"/>
              <a:gd name="T66" fmla="*/ 143149 w 51"/>
              <a:gd name="T67" fmla="*/ 89783 h 58"/>
              <a:gd name="T68" fmla="*/ 133477 w 51"/>
              <a:gd name="T69" fmla="*/ 106618 h 58"/>
              <a:gd name="T70" fmla="*/ 131543 w 51"/>
              <a:gd name="T71" fmla="*/ 129063 h 58"/>
              <a:gd name="T72" fmla="*/ 118002 w 51"/>
              <a:gd name="T73" fmla="*/ 136545 h 5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1"/>
              <a:gd name="T112" fmla="*/ 0 h 58"/>
              <a:gd name="T113" fmla="*/ 51 w 51"/>
              <a:gd name="T114" fmla="*/ 58 h 5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1" h="58">
                <a:moveTo>
                  <a:pt x="41" y="51"/>
                </a:moveTo>
                <a:cubicBezTo>
                  <a:pt x="41" y="50"/>
                  <a:pt x="41" y="48"/>
                  <a:pt x="39" y="48"/>
                </a:cubicBezTo>
                <a:cubicBezTo>
                  <a:pt x="39" y="47"/>
                  <a:pt x="38" y="49"/>
                  <a:pt x="37" y="49"/>
                </a:cubicBezTo>
                <a:cubicBezTo>
                  <a:pt x="36" y="49"/>
                  <a:pt x="34" y="50"/>
                  <a:pt x="33" y="50"/>
                </a:cubicBezTo>
                <a:cubicBezTo>
                  <a:pt x="31" y="50"/>
                  <a:pt x="30" y="48"/>
                  <a:pt x="28" y="48"/>
                </a:cubicBezTo>
                <a:cubicBezTo>
                  <a:pt x="26" y="49"/>
                  <a:pt x="24" y="51"/>
                  <a:pt x="24" y="53"/>
                </a:cubicBezTo>
                <a:cubicBezTo>
                  <a:pt x="24" y="55"/>
                  <a:pt x="28" y="54"/>
                  <a:pt x="28" y="56"/>
                </a:cubicBezTo>
                <a:cubicBezTo>
                  <a:pt x="28" y="57"/>
                  <a:pt x="26" y="58"/>
                  <a:pt x="24" y="58"/>
                </a:cubicBezTo>
                <a:cubicBezTo>
                  <a:pt x="23" y="58"/>
                  <a:pt x="20" y="58"/>
                  <a:pt x="19" y="58"/>
                </a:cubicBezTo>
                <a:cubicBezTo>
                  <a:pt x="18" y="57"/>
                  <a:pt x="16" y="55"/>
                  <a:pt x="16" y="54"/>
                </a:cubicBezTo>
                <a:cubicBezTo>
                  <a:pt x="15" y="52"/>
                  <a:pt x="14" y="51"/>
                  <a:pt x="13" y="49"/>
                </a:cubicBezTo>
                <a:cubicBezTo>
                  <a:pt x="12" y="46"/>
                  <a:pt x="10" y="43"/>
                  <a:pt x="11" y="41"/>
                </a:cubicBezTo>
                <a:cubicBezTo>
                  <a:pt x="11" y="40"/>
                  <a:pt x="9" y="41"/>
                  <a:pt x="9" y="40"/>
                </a:cubicBezTo>
                <a:cubicBezTo>
                  <a:pt x="8" y="39"/>
                  <a:pt x="10" y="37"/>
                  <a:pt x="9" y="36"/>
                </a:cubicBezTo>
                <a:cubicBezTo>
                  <a:pt x="8" y="35"/>
                  <a:pt x="7" y="37"/>
                  <a:pt x="6" y="36"/>
                </a:cubicBezTo>
                <a:cubicBezTo>
                  <a:pt x="4" y="33"/>
                  <a:pt x="1" y="30"/>
                  <a:pt x="0" y="27"/>
                </a:cubicBezTo>
                <a:cubicBezTo>
                  <a:pt x="0" y="25"/>
                  <a:pt x="2" y="23"/>
                  <a:pt x="2" y="21"/>
                </a:cubicBezTo>
                <a:cubicBezTo>
                  <a:pt x="3" y="19"/>
                  <a:pt x="2" y="17"/>
                  <a:pt x="3" y="15"/>
                </a:cubicBezTo>
                <a:cubicBezTo>
                  <a:pt x="4" y="14"/>
                  <a:pt x="6" y="15"/>
                  <a:pt x="8" y="15"/>
                </a:cubicBezTo>
                <a:cubicBezTo>
                  <a:pt x="9" y="14"/>
                  <a:pt x="10" y="13"/>
                  <a:pt x="10" y="11"/>
                </a:cubicBezTo>
                <a:cubicBezTo>
                  <a:pt x="10" y="9"/>
                  <a:pt x="9" y="7"/>
                  <a:pt x="9" y="5"/>
                </a:cubicBezTo>
                <a:cubicBezTo>
                  <a:pt x="9" y="4"/>
                  <a:pt x="11" y="3"/>
                  <a:pt x="12" y="1"/>
                </a:cubicBezTo>
                <a:cubicBezTo>
                  <a:pt x="15" y="2"/>
                  <a:pt x="17" y="1"/>
                  <a:pt x="20" y="2"/>
                </a:cubicBezTo>
                <a:cubicBezTo>
                  <a:pt x="22" y="2"/>
                  <a:pt x="24" y="4"/>
                  <a:pt x="26" y="4"/>
                </a:cubicBezTo>
                <a:cubicBezTo>
                  <a:pt x="28" y="4"/>
                  <a:pt x="29" y="1"/>
                  <a:pt x="31" y="0"/>
                </a:cubicBezTo>
                <a:cubicBezTo>
                  <a:pt x="32" y="0"/>
                  <a:pt x="34" y="1"/>
                  <a:pt x="35" y="2"/>
                </a:cubicBezTo>
                <a:cubicBezTo>
                  <a:pt x="36" y="2"/>
                  <a:pt x="38" y="2"/>
                  <a:pt x="39" y="2"/>
                </a:cubicBezTo>
                <a:cubicBezTo>
                  <a:pt x="41" y="3"/>
                  <a:pt x="42" y="3"/>
                  <a:pt x="44" y="2"/>
                </a:cubicBezTo>
                <a:cubicBezTo>
                  <a:pt x="45" y="2"/>
                  <a:pt x="46" y="1"/>
                  <a:pt x="48" y="2"/>
                </a:cubicBezTo>
                <a:cubicBezTo>
                  <a:pt x="49" y="2"/>
                  <a:pt x="50" y="4"/>
                  <a:pt x="51" y="5"/>
                </a:cubicBezTo>
                <a:cubicBezTo>
                  <a:pt x="51" y="6"/>
                  <a:pt x="49" y="9"/>
                  <a:pt x="49" y="10"/>
                </a:cubicBezTo>
                <a:cubicBezTo>
                  <a:pt x="47" y="12"/>
                  <a:pt x="45" y="14"/>
                  <a:pt x="44" y="17"/>
                </a:cubicBezTo>
                <a:cubicBezTo>
                  <a:pt x="44" y="21"/>
                  <a:pt x="46" y="24"/>
                  <a:pt x="47" y="28"/>
                </a:cubicBezTo>
                <a:cubicBezTo>
                  <a:pt x="48" y="30"/>
                  <a:pt x="50" y="32"/>
                  <a:pt x="50" y="34"/>
                </a:cubicBezTo>
                <a:cubicBezTo>
                  <a:pt x="50" y="36"/>
                  <a:pt x="48" y="38"/>
                  <a:pt x="47" y="40"/>
                </a:cubicBezTo>
                <a:cubicBezTo>
                  <a:pt x="46" y="43"/>
                  <a:pt x="47" y="46"/>
                  <a:pt x="46" y="49"/>
                </a:cubicBezTo>
                <a:cubicBezTo>
                  <a:pt x="45" y="50"/>
                  <a:pt x="43" y="50"/>
                  <a:pt x="41" y="51"/>
                </a:cubicBezTo>
                <a:close/>
              </a:path>
            </a:pathLst>
          </a:custGeom>
          <a:solidFill>
            <a:schemeClr val="bg1">
              <a:lumMod val="95000"/>
            </a:schemeClr>
          </a:solidFill>
          <a:ln w="3175" cap="rnd">
            <a:solidFill>
              <a:srgbClr val="A5A5A5"/>
            </a:solidFill>
            <a:round/>
            <a:headEnd/>
            <a:tailEnd/>
          </a:ln>
        </xdr:spPr>
      </xdr:sp>
      <xdr:sp macro="" textlink="">
        <xdr:nvSpPr>
          <xdr:cNvPr id="342" name="BOL"/>
          <xdr:cNvSpPr>
            <a:spLocks noChangeAspect="1"/>
          </xdr:cNvSpPr>
        </xdr:nvSpPr>
        <xdr:spPr bwMode="auto">
          <a:xfrm>
            <a:off x="4236624" y="5729167"/>
            <a:ext cx="342069" cy="460556"/>
          </a:xfrm>
          <a:custGeom>
            <a:avLst/>
            <a:gdLst>
              <a:gd name="T0" fmla="*/ 272624 w 154"/>
              <a:gd name="T1" fmla="*/ 453806 h 197"/>
              <a:gd name="T2" fmla="*/ 278384 w 154"/>
              <a:gd name="T3" fmla="*/ 420052 h 197"/>
              <a:gd name="T4" fmla="*/ 345580 w 154"/>
              <a:gd name="T5" fmla="*/ 378797 h 197"/>
              <a:gd name="T6" fmla="*/ 412776 w 154"/>
              <a:gd name="T7" fmla="*/ 403175 h 197"/>
              <a:gd name="T8" fmla="*/ 426215 w 154"/>
              <a:gd name="T9" fmla="*/ 331916 h 197"/>
              <a:gd name="T10" fmla="*/ 397417 w 154"/>
              <a:gd name="T11" fmla="*/ 292536 h 197"/>
              <a:gd name="T12" fmla="*/ 401257 w 154"/>
              <a:gd name="T13" fmla="*/ 264408 h 197"/>
              <a:gd name="T14" fmla="*/ 334061 w 154"/>
              <a:gd name="T15" fmla="*/ 264408 h 197"/>
              <a:gd name="T16" fmla="*/ 320622 w 154"/>
              <a:gd name="T17" fmla="*/ 219402 h 197"/>
              <a:gd name="T18" fmla="*/ 330221 w 154"/>
              <a:gd name="T19" fmla="*/ 198775 h 197"/>
              <a:gd name="T20" fmla="*/ 320622 w 154"/>
              <a:gd name="T21" fmla="*/ 157520 h 197"/>
              <a:gd name="T22" fmla="*/ 270704 w 154"/>
              <a:gd name="T23" fmla="*/ 148143 h 197"/>
              <a:gd name="T24" fmla="*/ 243826 w 154"/>
              <a:gd name="T25" fmla="*/ 133142 h 197"/>
              <a:gd name="T26" fmla="*/ 209268 w 154"/>
              <a:gd name="T27" fmla="*/ 118140 h 197"/>
              <a:gd name="T28" fmla="*/ 151671 w 154"/>
              <a:gd name="T29" fmla="*/ 76885 h 197"/>
              <a:gd name="T30" fmla="*/ 138232 w 154"/>
              <a:gd name="T31" fmla="*/ 31879 h 197"/>
              <a:gd name="T32" fmla="*/ 101754 w 154"/>
              <a:gd name="T33" fmla="*/ 3750 h 197"/>
              <a:gd name="T34" fmla="*/ 67196 w 154"/>
              <a:gd name="T35" fmla="*/ 26253 h 197"/>
              <a:gd name="T36" fmla="*/ 26878 w 154"/>
              <a:gd name="T37" fmla="*/ 48756 h 197"/>
              <a:gd name="T38" fmla="*/ 0 w 154"/>
              <a:gd name="T39" fmla="*/ 45006 h 197"/>
              <a:gd name="T40" fmla="*/ 36478 w 154"/>
              <a:gd name="T41" fmla="*/ 129391 h 197"/>
              <a:gd name="T42" fmla="*/ 30718 w 154"/>
              <a:gd name="T43" fmla="*/ 159395 h 197"/>
              <a:gd name="T44" fmla="*/ 30718 w 154"/>
              <a:gd name="T45" fmla="*/ 178147 h 197"/>
              <a:gd name="T46" fmla="*/ 23039 w 154"/>
              <a:gd name="T47" fmla="*/ 225028 h 197"/>
              <a:gd name="T48" fmla="*/ 13439 w 154"/>
              <a:gd name="T49" fmla="*/ 290661 h 197"/>
              <a:gd name="T50" fmla="*/ 13439 w 154"/>
              <a:gd name="T51" fmla="*/ 318790 h 197"/>
              <a:gd name="T52" fmla="*/ 36478 w 154"/>
              <a:gd name="T53" fmla="*/ 369421 h 197"/>
              <a:gd name="T54" fmla="*/ 44157 w 154"/>
              <a:gd name="T55" fmla="*/ 399425 h 197"/>
              <a:gd name="T56" fmla="*/ 44157 w 154"/>
              <a:gd name="T57" fmla="*/ 412551 h 197"/>
              <a:gd name="T58" fmla="*/ 53757 w 154"/>
              <a:gd name="T59" fmla="*/ 436929 h 197"/>
              <a:gd name="T60" fmla="*/ 59517 w 154"/>
              <a:gd name="T61" fmla="*/ 451931 h 197"/>
              <a:gd name="T62" fmla="*/ 80635 w 154"/>
              <a:gd name="T63" fmla="*/ 510064 h 197"/>
              <a:gd name="T64" fmla="*/ 92155 w 154"/>
              <a:gd name="T65" fmla="*/ 525065 h 197"/>
              <a:gd name="T66" fmla="*/ 113273 w 154"/>
              <a:gd name="T67" fmla="*/ 511939 h 197"/>
              <a:gd name="T68" fmla="*/ 128633 w 154"/>
              <a:gd name="T69" fmla="*/ 498812 h 197"/>
              <a:gd name="T70" fmla="*/ 153591 w 154"/>
              <a:gd name="T71" fmla="*/ 496937 h 197"/>
              <a:gd name="T72" fmla="*/ 203508 w 154"/>
              <a:gd name="T73" fmla="*/ 530691 h 197"/>
              <a:gd name="T74" fmla="*/ 216947 w 154"/>
              <a:gd name="T75" fmla="*/ 491311 h 197"/>
              <a:gd name="T76" fmla="*/ 261105 w 154"/>
              <a:gd name="T77" fmla="*/ 502563 h 197"/>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54"/>
              <a:gd name="T118" fmla="*/ 0 h 197"/>
              <a:gd name="T119" fmla="*/ 154 w 154"/>
              <a:gd name="T120" fmla="*/ 197 h 197"/>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54" h="197">
                <a:moveTo>
                  <a:pt x="94" y="185"/>
                </a:moveTo>
                <a:cubicBezTo>
                  <a:pt x="96" y="179"/>
                  <a:pt x="97" y="173"/>
                  <a:pt x="98" y="167"/>
                </a:cubicBezTo>
                <a:cubicBezTo>
                  <a:pt x="98" y="164"/>
                  <a:pt x="97" y="162"/>
                  <a:pt x="97" y="160"/>
                </a:cubicBezTo>
                <a:cubicBezTo>
                  <a:pt x="99" y="158"/>
                  <a:pt x="100" y="156"/>
                  <a:pt x="101" y="155"/>
                </a:cubicBezTo>
                <a:cubicBezTo>
                  <a:pt x="102" y="152"/>
                  <a:pt x="102" y="149"/>
                  <a:pt x="103" y="147"/>
                </a:cubicBezTo>
                <a:cubicBezTo>
                  <a:pt x="110" y="144"/>
                  <a:pt x="117" y="142"/>
                  <a:pt x="125" y="140"/>
                </a:cubicBezTo>
                <a:cubicBezTo>
                  <a:pt x="129" y="140"/>
                  <a:pt x="133" y="141"/>
                  <a:pt x="138" y="141"/>
                </a:cubicBezTo>
                <a:cubicBezTo>
                  <a:pt x="141" y="144"/>
                  <a:pt x="145" y="146"/>
                  <a:pt x="149" y="149"/>
                </a:cubicBezTo>
                <a:cubicBezTo>
                  <a:pt x="150" y="145"/>
                  <a:pt x="152" y="140"/>
                  <a:pt x="153" y="136"/>
                </a:cubicBezTo>
                <a:cubicBezTo>
                  <a:pt x="154" y="131"/>
                  <a:pt x="154" y="127"/>
                  <a:pt x="154" y="122"/>
                </a:cubicBezTo>
                <a:cubicBezTo>
                  <a:pt x="153" y="118"/>
                  <a:pt x="153" y="114"/>
                  <a:pt x="150" y="111"/>
                </a:cubicBezTo>
                <a:cubicBezTo>
                  <a:pt x="149" y="109"/>
                  <a:pt x="144" y="110"/>
                  <a:pt x="143" y="108"/>
                </a:cubicBezTo>
                <a:cubicBezTo>
                  <a:pt x="142" y="105"/>
                  <a:pt x="145" y="103"/>
                  <a:pt x="145" y="100"/>
                </a:cubicBezTo>
                <a:cubicBezTo>
                  <a:pt x="146" y="99"/>
                  <a:pt x="145" y="98"/>
                  <a:pt x="145" y="97"/>
                </a:cubicBezTo>
                <a:cubicBezTo>
                  <a:pt x="145" y="96"/>
                  <a:pt x="144" y="97"/>
                  <a:pt x="144" y="97"/>
                </a:cubicBezTo>
                <a:cubicBezTo>
                  <a:pt x="136" y="97"/>
                  <a:pt x="128" y="97"/>
                  <a:pt x="121" y="97"/>
                </a:cubicBezTo>
                <a:cubicBezTo>
                  <a:pt x="120" y="97"/>
                  <a:pt x="121" y="96"/>
                  <a:pt x="121" y="95"/>
                </a:cubicBezTo>
                <a:cubicBezTo>
                  <a:pt x="119" y="90"/>
                  <a:pt x="116" y="86"/>
                  <a:pt x="116" y="81"/>
                </a:cubicBezTo>
                <a:cubicBezTo>
                  <a:pt x="116" y="79"/>
                  <a:pt x="119" y="80"/>
                  <a:pt x="119" y="79"/>
                </a:cubicBezTo>
                <a:cubicBezTo>
                  <a:pt x="120" y="77"/>
                  <a:pt x="120" y="75"/>
                  <a:pt x="119" y="73"/>
                </a:cubicBezTo>
                <a:cubicBezTo>
                  <a:pt x="119" y="71"/>
                  <a:pt x="117" y="69"/>
                  <a:pt x="116" y="67"/>
                </a:cubicBezTo>
                <a:cubicBezTo>
                  <a:pt x="116" y="64"/>
                  <a:pt x="118" y="60"/>
                  <a:pt x="116" y="58"/>
                </a:cubicBezTo>
                <a:cubicBezTo>
                  <a:pt x="115" y="57"/>
                  <a:pt x="111" y="56"/>
                  <a:pt x="108" y="56"/>
                </a:cubicBezTo>
                <a:cubicBezTo>
                  <a:pt x="104" y="55"/>
                  <a:pt x="101" y="56"/>
                  <a:pt x="97" y="55"/>
                </a:cubicBezTo>
                <a:cubicBezTo>
                  <a:pt x="95" y="54"/>
                  <a:pt x="95" y="50"/>
                  <a:pt x="93" y="49"/>
                </a:cubicBezTo>
                <a:cubicBezTo>
                  <a:pt x="91" y="49"/>
                  <a:pt x="90" y="50"/>
                  <a:pt x="88" y="49"/>
                </a:cubicBezTo>
                <a:cubicBezTo>
                  <a:pt x="86" y="48"/>
                  <a:pt x="86" y="44"/>
                  <a:pt x="84" y="43"/>
                </a:cubicBezTo>
                <a:cubicBezTo>
                  <a:pt x="81" y="42"/>
                  <a:pt x="79" y="43"/>
                  <a:pt x="76" y="43"/>
                </a:cubicBezTo>
                <a:cubicBezTo>
                  <a:pt x="73" y="42"/>
                  <a:pt x="68" y="43"/>
                  <a:pt x="65" y="41"/>
                </a:cubicBezTo>
                <a:cubicBezTo>
                  <a:pt x="62" y="37"/>
                  <a:pt x="58" y="32"/>
                  <a:pt x="55" y="28"/>
                </a:cubicBezTo>
                <a:cubicBezTo>
                  <a:pt x="54" y="26"/>
                  <a:pt x="54" y="24"/>
                  <a:pt x="53" y="22"/>
                </a:cubicBezTo>
                <a:cubicBezTo>
                  <a:pt x="52" y="19"/>
                  <a:pt x="53" y="16"/>
                  <a:pt x="50" y="12"/>
                </a:cubicBezTo>
                <a:cubicBezTo>
                  <a:pt x="50" y="9"/>
                  <a:pt x="54" y="3"/>
                  <a:pt x="51" y="1"/>
                </a:cubicBezTo>
                <a:cubicBezTo>
                  <a:pt x="47" y="2"/>
                  <a:pt x="42" y="0"/>
                  <a:pt x="37" y="2"/>
                </a:cubicBezTo>
                <a:cubicBezTo>
                  <a:pt x="34" y="3"/>
                  <a:pt x="33" y="7"/>
                  <a:pt x="30" y="8"/>
                </a:cubicBezTo>
                <a:cubicBezTo>
                  <a:pt x="28" y="9"/>
                  <a:pt x="25" y="9"/>
                  <a:pt x="24" y="10"/>
                </a:cubicBezTo>
                <a:cubicBezTo>
                  <a:pt x="21" y="11"/>
                  <a:pt x="20" y="14"/>
                  <a:pt x="18" y="15"/>
                </a:cubicBezTo>
                <a:cubicBezTo>
                  <a:pt x="15" y="17"/>
                  <a:pt x="13" y="18"/>
                  <a:pt x="10" y="18"/>
                </a:cubicBezTo>
                <a:cubicBezTo>
                  <a:pt x="8" y="19"/>
                  <a:pt x="6" y="18"/>
                  <a:pt x="5" y="18"/>
                </a:cubicBezTo>
                <a:cubicBezTo>
                  <a:pt x="3" y="18"/>
                  <a:pt x="1" y="17"/>
                  <a:pt x="0" y="17"/>
                </a:cubicBezTo>
                <a:cubicBezTo>
                  <a:pt x="5" y="25"/>
                  <a:pt x="10" y="33"/>
                  <a:pt x="16" y="41"/>
                </a:cubicBezTo>
                <a:cubicBezTo>
                  <a:pt x="15" y="43"/>
                  <a:pt x="14" y="45"/>
                  <a:pt x="13" y="47"/>
                </a:cubicBezTo>
                <a:cubicBezTo>
                  <a:pt x="12" y="49"/>
                  <a:pt x="11" y="50"/>
                  <a:pt x="10" y="52"/>
                </a:cubicBezTo>
                <a:cubicBezTo>
                  <a:pt x="10" y="54"/>
                  <a:pt x="11" y="56"/>
                  <a:pt x="11" y="59"/>
                </a:cubicBezTo>
                <a:cubicBezTo>
                  <a:pt x="10" y="60"/>
                  <a:pt x="8" y="58"/>
                  <a:pt x="8" y="59"/>
                </a:cubicBezTo>
                <a:cubicBezTo>
                  <a:pt x="8" y="61"/>
                  <a:pt x="11" y="64"/>
                  <a:pt x="11" y="66"/>
                </a:cubicBezTo>
                <a:cubicBezTo>
                  <a:pt x="11" y="70"/>
                  <a:pt x="6" y="73"/>
                  <a:pt x="6" y="77"/>
                </a:cubicBezTo>
                <a:cubicBezTo>
                  <a:pt x="5" y="79"/>
                  <a:pt x="8" y="81"/>
                  <a:pt x="8" y="83"/>
                </a:cubicBezTo>
                <a:cubicBezTo>
                  <a:pt x="9" y="88"/>
                  <a:pt x="9" y="94"/>
                  <a:pt x="8" y="100"/>
                </a:cubicBezTo>
                <a:cubicBezTo>
                  <a:pt x="8" y="102"/>
                  <a:pt x="7" y="105"/>
                  <a:pt x="5" y="107"/>
                </a:cubicBezTo>
                <a:cubicBezTo>
                  <a:pt x="4" y="108"/>
                  <a:pt x="2" y="109"/>
                  <a:pt x="2" y="110"/>
                </a:cubicBezTo>
                <a:cubicBezTo>
                  <a:pt x="1" y="112"/>
                  <a:pt x="4" y="115"/>
                  <a:pt x="5" y="117"/>
                </a:cubicBezTo>
                <a:cubicBezTo>
                  <a:pt x="6" y="119"/>
                  <a:pt x="9" y="120"/>
                  <a:pt x="10" y="122"/>
                </a:cubicBezTo>
                <a:cubicBezTo>
                  <a:pt x="12" y="127"/>
                  <a:pt x="11" y="131"/>
                  <a:pt x="13" y="136"/>
                </a:cubicBezTo>
                <a:cubicBezTo>
                  <a:pt x="14" y="138"/>
                  <a:pt x="17" y="140"/>
                  <a:pt x="18" y="142"/>
                </a:cubicBezTo>
                <a:cubicBezTo>
                  <a:pt x="18" y="144"/>
                  <a:pt x="16" y="145"/>
                  <a:pt x="16" y="147"/>
                </a:cubicBezTo>
                <a:cubicBezTo>
                  <a:pt x="16" y="148"/>
                  <a:pt x="18" y="149"/>
                  <a:pt x="17" y="150"/>
                </a:cubicBezTo>
                <a:cubicBezTo>
                  <a:pt x="17" y="150"/>
                  <a:pt x="16" y="151"/>
                  <a:pt x="16" y="152"/>
                </a:cubicBezTo>
                <a:cubicBezTo>
                  <a:pt x="16" y="154"/>
                  <a:pt x="16" y="156"/>
                  <a:pt x="16" y="158"/>
                </a:cubicBezTo>
                <a:cubicBezTo>
                  <a:pt x="17" y="159"/>
                  <a:pt x="19" y="159"/>
                  <a:pt x="19" y="161"/>
                </a:cubicBezTo>
                <a:cubicBezTo>
                  <a:pt x="19" y="162"/>
                  <a:pt x="18" y="164"/>
                  <a:pt x="19" y="165"/>
                </a:cubicBezTo>
                <a:cubicBezTo>
                  <a:pt x="19" y="166"/>
                  <a:pt x="21" y="165"/>
                  <a:pt x="22" y="166"/>
                </a:cubicBezTo>
                <a:cubicBezTo>
                  <a:pt x="23" y="168"/>
                  <a:pt x="23" y="171"/>
                  <a:pt x="24" y="173"/>
                </a:cubicBezTo>
                <a:cubicBezTo>
                  <a:pt x="26" y="178"/>
                  <a:pt x="28" y="183"/>
                  <a:pt x="29" y="188"/>
                </a:cubicBezTo>
                <a:cubicBezTo>
                  <a:pt x="30" y="189"/>
                  <a:pt x="29" y="191"/>
                  <a:pt x="30" y="193"/>
                </a:cubicBezTo>
                <a:cubicBezTo>
                  <a:pt x="31" y="194"/>
                  <a:pt x="32" y="194"/>
                  <a:pt x="33" y="194"/>
                </a:cubicBezTo>
                <a:cubicBezTo>
                  <a:pt x="35" y="195"/>
                  <a:pt x="36" y="194"/>
                  <a:pt x="37" y="194"/>
                </a:cubicBezTo>
                <a:cubicBezTo>
                  <a:pt x="38" y="193"/>
                  <a:pt x="39" y="191"/>
                  <a:pt x="41" y="189"/>
                </a:cubicBezTo>
                <a:cubicBezTo>
                  <a:pt x="41" y="188"/>
                  <a:pt x="42" y="187"/>
                  <a:pt x="44" y="186"/>
                </a:cubicBezTo>
                <a:cubicBezTo>
                  <a:pt x="45" y="185"/>
                  <a:pt x="47" y="186"/>
                  <a:pt x="47" y="184"/>
                </a:cubicBezTo>
                <a:cubicBezTo>
                  <a:pt x="49" y="183"/>
                  <a:pt x="47" y="178"/>
                  <a:pt x="49" y="178"/>
                </a:cubicBezTo>
                <a:cubicBezTo>
                  <a:pt x="52" y="177"/>
                  <a:pt x="53" y="182"/>
                  <a:pt x="56" y="183"/>
                </a:cubicBezTo>
                <a:cubicBezTo>
                  <a:pt x="60" y="185"/>
                  <a:pt x="66" y="182"/>
                  <a:pt x="69" y="184"/>
                </a:cubicBezTo>
                <a:cubicBezTo>
                  <a:pt x="72" y="186"/>
                  <a:pt x="70" y="193"/>
                  <a:pt x="73" y="195"/>
                </a:cubicBezTo>
                <a:cubicBezTo>
                  <a:pt x="75" y="197"/>
                  <a:pt x="73" y="190"/>
                  <a:pt x="74" y="188"/>
                </a:cubicBezTo>
                <a:cubicBezTo>
                  <a:pt x="75" y="185"/>
                  <a:pt x="76" y="182"/>
                  <a:pt x="78" y="181"/>
                </a:cubicBezTo>
                <a:cubicBezTo>
                  <a:pt x="82" y="180"/>
                  <a:pt x="87" y="180"/>
                  <a:pt x="91" y="181"/>
                </a:cubicBezTo>
                <a:cubicBezTo>
                  <a:pt x="92" y="182"/>
                  <a:pt x="93" y="184"/>
                  <a:pt x="94" y="185"/>
                </a:cubicBezTo>
                <a:close/>
              </a:path>
            </a:pathLst>
          </a:custGeom>
          <a:solidFill>
            <a:schemeClr val="bg1">
              <a:lumMod val="95000"/>
            </a:schemeClr>
          </a:solidFill>
          <a:ln w="3175" cap="rnd">
            <a:solidFill>
              <a:srgbClr val="A5A5A5"/>
            </a:solidFill>
            <a:round/>
            <a:headEnd/>
            <a:tailEnd/>
          </a:ln>
        </xdr:spPr>
      </xdr:sp>
      <xdr:sp macro="" textlink="">
        <xdr:nvSpPr>
          <xdr:cNvPr id="343" name="SLV"/>
          <xdr:cNvSpPr>
            <a:spLocks noChangeAspect="1"/>
          </xdr:cNvSpPr>
        </xdr:nvSpPr>
        <xdr:spPr bwMode="auto">
          <a:xfrm>
            <a:off x="3648376" y="4900168"/>
            <a:ext cx="77242" cy="46055"/>
          </a:xfrm>
          <a:custGeom>
            <a:avLst/>
            <a:gdLst>
              <a:gd name="T0" fmla="*/ 86377 w 33"/>
              <a:gd name="T1" fmla="*/ 44595 h 22"/>
              <a:gd name="T2" fmla="*/ 86377 w 33"/>
              <a:gd name="T3" fmla="*/ 31588 h 22"/>
              <a:gd name="T4" fmla="*/ 78699 w 33"/>
              <a:gd name="T5" fmla="*/ 24156 h 22"/>
              <a:gd name="T6" fmla="*/ 63343 w 33"/>
              <a:gd name="T7" fmla="*/ 26014 h 22"/>
              <a:gd name="T8" fmla="*/ 63343 w 33"/>
              <a:gd name="T9" fmla="*/ 14865 h 22"/>
              <a:gd name="T10" fmla="*/ 53746 w 33"/>
              <a:gd name="T11" fmla="*/ 13007 h 22"/>
              <a:gd name="T12" fmla="*/ 46068 w 33"/>
              <a:gd name="T13" fmla="*/ 9291 h 22"/>
              <a:gd name="T14" fmla="*/ 40309 w 33"/>
              <a:gd name="T15" fmla="*/ 0 h 22"/>
              <a:gd name="T16" fmla="*/ 34551 w 33"/>
              <a:gd name="T17" fmla="*/ 0 h 22"/>
              <a:gd name="T18" fmla="*/ 24953 w 33"/>
              <a:gd name="T19" fmla="*/ 1858 h 22"/>
              <a:gd name="T20" fmla="*/ 17275 w 33"/>
              <a:gd name="T21" fmla="*/ 20440 h 22"/>
              <a:gd name="T22" fmla="*/ 11517 w 33"/>
              <a:gd name="T23" fmla="*/ 20440 h 22"/>
              <a:gd name="T24" fmla="*/ 0 w 33"/>
              <a:gd name="T25" fmla="*/ 27872 h 22"/>
              <a:gd name="T26" fmla="*/ 13436 w 33"/>
              <a:gd name="T27" fmla="*/ 33446 h 22"/>
              <a:gd name="T28" fmla="*/ 17275 w 33"/>
              <a:gd name="T29" fmla="*/ 40879 h 22"/>
              <a:gd name="T30" fmla="*/ 38390 w 33"/>
              <a:gd name="T31" fmla="*/ 44595 h 22"/>
              <a:gd name="T32" fmla="*/ 42229 w 33"/>
              <a:gd name="T33" fmla="*/ 48312 h 22"/>
              <a:gd name="T34" fmla="*/ 59504 w 33"/>
              <a:gd name="T35" fmla="*/ 46453 h 22"/>
              <a:gd name="T36" fmla="*/ 71021 w 33"/>
              <a:gd name="T37" fmla="*/ 55744 h 22"/>
              <a:gd name="T38" fmla="*/ 76779 w 33"/>
              <a:gd name="T39" fmla="*/ 55744 h 22"/>
              <a:gd name="T40" fmla="*/ 78699 w 33"/>
              <a:gd name="T41" fmla="*/ 46453 h 22"/>
              <a:gd name="T42" fmla="*/ 86377 w 33"/>
              <a:gd name="T43" fmla="*/ 44595 h 2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33"/>
              <a:gd name="T67" fmla="*/ 0 h 22"/>
              <a:gd name="T68" fmla="*/ 33 w 33"/>
              <a:gd name="T69" fmla="*/ 22 h 2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33" h="22">
                <a:moveTo>
                  <a:pt x="32" y="17"/>
                </a:moveTo>
                <a:cubicBezTo>
                  <a:pt x="32" y="15"/>
                  <a:pt x="33" y="14"/>
                  <a:pt x="32" y="12"/>
                </a:cubicBezTo>
                <a:cubicBezTo>
                  <a:pt x="32" y="10"/>
                  <a:pt x="31" y="10"/>
                  <a:pt x="30" y="9"/>
                </a:cubicBezTo>
                <a:cubicBezTo>
                  <a:pt x="28" y="9"/>
                  <a:pt x="26" y="11"/>
                  <a:pt x="24" y="10"/>
                </a:cubicBezTo>
                <a:cubicBezTo>
                  <a:pt x="23" y="9"/>
                  <a:pt x="25" y="7"/>
                  <a:pt x="24" y="6"/>
                </a:cubicBezTo>
                <a:cubicBezTo>
                  <a:pt x="23" y="5"/>
                  <a:pt x="21" y="5"/>
                  <a:pt x="20" y="5"/>
                </a:cubicBezTo>
                <a:cubicBezTo>
                  <a:pt x="19" y="4"/>
                  <a:pt x="18" y="4"/>
                  <a:pt x="17" y="3"/>
                </a:cubicBezTo>
                <a:cubicBezTo>
                  <a:pt x="16" y="2"/>
                  <a:pt x="15" y="1"/>
                  <a:pt x="15" y="0"/>
                </a:cubicBezTo>
                <a:cubicBezTo>
                  <a:pt x="14" y="0"/>
                  <a:pt x="13" y="0"/>
                  <a:pt x="13" y="0"/>
                </a:cubicBezTo>
                <a:cubicBezTo>
                  <a:pt x="11" y="0"/>
                  <a:pt x="9" y="0"/>
                  <a:pt x="9" y="1"/>
                </a:cubicBezTo>
                <a:cubicBezTo>
                  <a:pt x="7" y="3"/>
                  <a:pt x="8" y="6"/>
                  <a:pt x="7" y="8"/>
                </a:cubicBezTo>
                <a:cubicBezTo>
                  <a:pt x="6" y="9"/>
                  <a:pt x="5" y="8"/>
                  <a:pt x="4" y="8"/>
                </a:cubicBezTo>
                <a:cubicBezTo>
                  <a:pt x="3" y="9"/>
                  <a:pt x="2" y="10"/>
                  <a:pt x="0" y="11"/>
                </a:cubicBezTo>
                <a:cubicBezTo>
                  <a:pt x="2" y="12"/>
                  <a:pt x="4" y="12"/>
                  <a:pt x="5" y="13"/>
                </a:cubicBezTo>
                <a:cubicBezTo>
                  <a:pt x="6" y="13"/>
                  <a:pt x="6" y="15"/>
                  <a:pt x="7" y="16"/>
                </a:cubicBezTo>
                <a:cubicBezTo>
                  <a:pt x="9" y="17"/>
                  <a:pt x="12" y="16"/>
                  <a:pt x="14" y="17"/>
                </a:cubicBezTo>
                <a:cubicBezTo>
                  <a:pt x="15" y="17"/>
                  <a:pt x="15" y="19"/>
                  <a:pt x="16" y="19"/>
                </a:cubicBezTo>
                <a:cubicBezTo>
                  <a:pt x="18" y="19"/>
                  <a:pt x="20" y="17"/>
                  <a:pt x="22" y="18"/>
                </a:cubicBezTo>
                <a:cubicBezTo>
                  <a:pt x="24" y="18"/>
                  <a:pt x="24" y="21"/>
                  <a:pt x="26" y="21"/>
                </a:cubicBezTo>
                <a:cubicBezTo>
                  <a:pt x="27" y="22"/>
                  <a:pt x="29" y="22"/>
                  <a:pt x="29" y="21"/>
                </a:cubicBezTo>
                <a:cubicBezTo>
                  <a:pt x="30" y="20"/>
                  <a:pt x="29" y="18"/>
                  <a:pt x="30" y="18"/>
                </a:cubicBezTo>
                <a:cubicBezTo>
                  <a:pt x="30" y="17"/>
                  <a:pt x="31" y="17"/>
                  <a:pt x="32" y="17"/>
                </a:cubicBezTo>
                <a:close/>
              </a:path>
            </a:pathLst>
          </a:custGeom>
          <a:solidFill>
            <a:schemeClr val="bg1">
              <a:lumMod val="95000"/>
            </a:schemeClr>
          </a:solidFill>
          <a:ln w="3175" cap="rnd">
            <a:solidFill>
              <a:srgbClr val="A5A5A5"/>
            </a:solidFill>
            <a:round/>
            <a:headEnd/>
            <a:tailEnd/>
          </a:ln>
        </xdr:spPr>
      </xdr:sp>
      <xdr:sp macro="" textlink="">
        <xdr:nvSpPr>
          <xdr:cNvPr id="344" name="TTO"/>
          <xdr:cNvSpPr>
            <a:spLocks noChangeAspect="1"/>
          </xdr:cNvSpPr>
        </xdr:nvSpPr>
        <xdr:spPr bwMode="auto">
          <a:xfrm>
            <a:off x="4446278" y="5026820"/>
            <a:ext cx="22069" cy="23028"/>
          </a:xfrm>
          <a:custGeom>
            <a:avLst/>
            <a:gdLst>
              <a:gd name="T0" fmla="*/ 13164 w 11"/>
              <a:gd name="T1" fmla="*/ 1858 h 11"/>
              <a:gd name="T2" fmla="*/ 11283 w 11"/>
              <a:gd name="T3" fmla="*/ 11149 h 11"/>
              <a:gd name="T4" fmla="*/ 13164 w 11"/>
              <a:gd name="T5" fmla="*/ 16724 h 11"/>
              <a:gd name="T6" fmla="*/ 0 w 11"/>
              <a:gd name="T7" fmla="*/ 24156 h 11"/>
              <a:gd name="T8" fmla="*/ 1881 w 11"/>
              <a:gd name="T9" fmla="*/ 26015 h 11"/>
              <a:gd name="T10" fmla="*/ 24447 w 11"/>
              <a:gd name="T11" fmla="*/ 24156 h 11"/>
              <a:gd name="T12" fmla="*/ 28208 w 11"/>
              <a:gd name="T13" fmla="*/ 20440 h 11"/>
              <a:gd name="T14" fmla="*/ 28208 w 11"/>
              <a:gd name="T15" fmla="*/ 3716 h 11"/>
              <a:gd name="T16" fmla="*/ 28208 w 11"/>
              <a:gd name="T17" fmla="*/ 0 h 11"/>
              <a:gd name="T18" fmla="*/ 13164 w 11"/>
              <a:gd name="T19" fmla="*/ 1858 h 11"/>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1"/>
              <a:gd name="T31" fmla="*/ 0 h 11"/>
              <a:gd name="T32" fmla="*/ 11 w 11"/>
              <a:gd name="T33" fmla="*/ 11 h 11"/>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1" h="11">
                <a:moveTo>
                  <a:pt x="5" y="1"/>
                </a:moveTo>
                <a:cubicBezTo>
                  <a:pt x="4" y="1"/>
                  <a:pt x="4" y="3"/>
                  <a:pt x="4" y="4"/>
                </a:cubicBezTo>
                <a:cubicBezTo>
                  <a:pt x="5" y="5"/>
                  <a:pt x="6" y="7"/>
                  <a:pt x="5" y="7"/>
                </a:cubicBezTo>
                <a:cubicBezTo>
                  <a:pt x="4" y="9"/>
                  <a:pt x="2" y="8"/>
                  <a:pt x="0" y="9"/>
                </a:cubicBezTo>
                <a:cubicBezTo>
                  <a:pt x="0" y="9"/>
                  <a:pt x="0" y="10"/>
                  <a:pt x="1" y="10"/>
                </a:cubicBezTo>
                <a:cubicBezTo>
                  <a:pt x="3" y="11"/>
                  <a:pt x="6" y="10"/>
                  <a:pt x="9" y="9"/>
                </a:cubicBezTo>
                <a:cubicBezTo>
                  <a:pt x="9" y="9"/>
                  <a:pt x="11" y="9"/>
                  <a:pt x="11" y="8"/>
                </a:cubicBezTo>
                <a:cubicBezTo>
                  <a:pt x="11" y="6"/>
                  <a:pt x="11" y="4"/>
                  <a:pt x="11" y="2"/>
                </a:cubicBezTo>
                <a:cubicBezTo>
                  <a:pt x="11" y="2"/>
                  <a:pt x="11" y="1"/>
                  <a:pt x="11" y="0"/>
                </a:cubicBezTo>
                <a:cubicBezTo>
                  <a:pt x="9" y="0"/>
                  <a:pt x="6" y="0"/>
                  <a:pt x="5" y="1"/>
                </a:cubicBezTo>
                <a:close/>
              </a:path>
            </a:pathLst>
          </a:custGeom>
          <a:solidFill>
            <a:schemeClr val="bg1">
              <a:lumMod val="95000"/>
            </a:schemeClr>
          </a:solidFill>
          <a:ln w="3175" cap="rnd">
            <a:solidFill>
              <a:srgbClr val="A5A5A5"/>
            </a:solidFill>
            <a:round/>
            <a:headEnd/>
            <a:tailEnd/>
          </a:ln>
        </xdr:spPr>
      </xdr:sp>
      <xdr:sp macro="" textlink="">
        <xdr:nvSpPr>
          <xdr:cNvPr id="345" name="JAM"/>
          <xdr:cNvSpPr>
            <a:spLocks noChangeAspect="1"/>
          </xdr:cNvSpPr>
        </xdr:nvSpPr>
        <xdr:spPr bwMode="auto">
          <a:xfrm>
            <a:off x="3988961" y="4750487"/>
            <a:ext cx="55173" cy="23028"/>
          </a:xfrm>
          <a:custGeom>
            <a:avLst/>
            <a:gdLst>
              <a:gd name="T0" fmla="*/ 48505 w 29"/>
              <a:gd name="T1" fmla="*/ 1965 h 12"/>
              <a:gd name="T2" fmla="*/ 72758 w 29"/>
              <a:gd name="T3" fmla="*/ 21619 h 12"/>
              <a:gd name="T4" fmla="*/ 72758 w 29"/>
              <a:gd name="T5" fmla="*/ 31445 h 12"/>
              <a:gd name="T6" fmla="*/ 50371 w 29"/>
              <a:gd name="T7" fmla="*/ 27515 h 12"/>
              <a:gd name="T8" fmla="*/ 41043 w 29"/>
              <a:gd name="T9" fmla="*/ 37341 h 12"/>
              <a:gd name="T10" fmla="*/ 14925 w 29"/>
              <a:gd name="T11" fmla="*/ 21619 h 12"/>
              <a:gd name="T12" fmla="*/ 0 w 29"/>
              <a:gd name="T13" fmla="*/ 11792 h 12"/>
              <a:gd name="T14" fmla="*/ 11194 w 29"/>
              <a:gd name="T15" fmla="*/ 0 h 12"/>
              <a:gd name="T16" fmla="*/ 39177 w 29"/>
              <a:gd name="T17" fmla="*/ 1965 h 12"/>
              <a:gd name="T18" fmla="*/ 48505 w 29"/>
              <a:gd name="T19" fmla="*/ 1965 h 12"/>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9"/>
              <a:gd name="T31" fmla="*/ 0 h 12"/>
              <a:gd name="T32" fmla="*/ 29 w 29"/>
              <a:gd name="T33" fmla="*/ 12 h 12"/>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9" h="12">
                <a:moveTo>
                  <a:pt x="19" y="1"/>
                </a:moveTo>
                <a:cubicBezTo>
                  <a:pt x="22" y="2"/>
                  <a:pt x="25" y="4"/>
                  <a:pt x="28" y="7"/>
                </a:cubicBezTo>
                <a:cubicBezTo>
                  <a:pt x="29" y="7"/>
                  <a:pt x="29" y="10"/>
                  <a:pt x="28" y="10"/>
                </a:cubicBezTo>
                <a:cubicBezTo>
                  <a:pt x="25" y="11"/>
                  <a:pt x="22" y="8"/>
                  <a:pt x="20" y="9"/>
                </a:cubicBezTo>
                <a:cubicBezTo>
                  <a:pt x="18" y="9"/>
                  <a:pt x="18" y="12"/>
                  <a:pt x="16" y="12"/>
                </a:cubicBezTo>
                <a:cubicBezTo>
                  <a:pt x="12" y="11"/>
                  <a:pt x="9" y="8"/>
                  <a:pt x="6" y="7"/>
                </a:cubicBezTo>
                <a:cubicBezTo>
                  <a:pt x="4" y="6"/>
                  <a:pt x="1" y="6"/>
                  <a:pt x="0" y="4"/>
                </a:cubicBezTo>
                <a:cubicBezTo>
                  <a:pt x="0" y="2"/>
                  <a:pt x="3" y="1"/>
                  <a:pt x="4" y="0"/>
                </a:cubicBezTo>
                <a:cubicBezTo>
                  <a:pt x="8" y="0"/>
                  <a:pt x="12" y="1"/>
                  <a:pt x="15" y="1"/>
                </a:cubicBezTo>
                <a:cubicBezTo>
                  <a:pt x="17" y="1"/>
                  <a:pt x="18" y="0"/>
                  <a:pt x="19" y="1"/>
                </a:cubicBezTo>
                <a:close/>
              </a:path>
            </a:pathLst>
          </a:custGeom>
          <a:solidFill>
            <a:schemeClr val="bg1">
              <a:lumMod val="95000"/>
            </a:schemeClr>
          </a:solidFill>
          <a:ln w="3175" cap="rnd">
            <a:solidFill>
              <a:srgbClr val="A5A5A5"/>
            </a:solidFill>
            <a:round/>
            <a:headEnd/>
            <a:tailEnd/>
          </a:ln>
        </xdr:spPr>
      </xdr:sp>
      <xdr:sp macro="" textlink="">
        <xdr:nvSpPr>
          <xdr:cNvPr id="346" name="NIC"/>
          <xdr:cNvSpPr>
            <a:spLocks noChangeAspect="1"/>
          </xdr:cNvSpPr>
        </xdr:nvSpPr>
        <xdr:spPr bwMode="auto">
          <a:xfrm>
            <a:off x="3725617" y="4888654"/>
            <a:ext cx="119896" cy="138166"/>
          </a:xfrm>
          <a:custGeom>
            <a:avLst/>
            <a:gdLst>
              <a:gd name="T0" fmla="*/ 70042 w 58"/>
              <a:gd name="T1" fmla="*/ 142164 h 63"/>
              <a:gd name="T2" fmla="*/ 94652 w 58"/>
              <a:gd name="T3" fmla="*/ 153242 h 63"/>
              <a:gd name="T4" fmla="*/ 104117 w 58"/>
              <a:gd name="T5" fmla="*/ 153242 h 63"/>
              <a:gd name="T6" fmla="*/ 115475 w 58"/>
              <a:gd name="T7" fmla="*/ 162473 h 63"/>
              <a:gd name="T8" fmla="*/ 132512 w 58"/>
              <a:gd name="T9" fmla="*/ 162473 h 63"/>
              <a:gd name="T10" fmla="*/ 138192 w 58"/>
              <a:gd name="T11" fmla="*/ 153242 h 63"/>
              <a:gd name="T12" fmla="*/ 128726 w 58"/>
              <a:gd name="T13" fmla="*/ 138471 h 63"/>
              <a:gd name="T14" fmla="*/ 132512 w 58"/>
              <a:gd name="T15" fmla="*/ 120009 h 63"/>
              <a:gd name="T16" fmla="*/ 130619 w 58"/>
              <a:gd name="T17" fmla="*/ 105238 h 63"/>
              <a:gd name="T18" fmla="*/ 140085 w 58"/>
              <a:gd name="T19" fmla="*/ 92314 h 63"/>
              <a:gd name="T20" fmla="*/ 140085 w 58"/>
              <a:gd name="T21" fmla="*/ 57235 h 63"/>
              <a:gd name="T22" fmla="*/ 153336 w 58"/>
              <a:gd name="T23" fmla="*/ 33233 h 63"/>
              <a:gd name="T24" fmla="*/ 153336 w 58"/>
              <a:gd name="T25" fmla="*/ 14770 h 63"/>
              <a:gd name="T26" fmla="*/ 155229 w 58"/>
              <a:gd name="T27" fmla="*/ 1846 h 63"/>
              <a:gd name="T28" fmla="*/ 140085 w 58"/>
              <a:gd name="T29" fmla="*/ 1846 h 63"/>
              <a:gd name="T30" fmla="*/ 130619 w 58"/>
              <a:gd name="T31" fmla="*/ 9231 h 63"/>
              <a:gd name="T32" fmla="*/ 109796 w 58"/>
              <a:gd name="T33" fmla="*/ 14770 h 63"/>
              <a:gd name="T34" fmla="*/ 104117 w 58"/>
              <a:gd name="T35" fmla="*/ 9231 h 63"/>
              <a:gd name="T36" fmla="*/ 90866 w 58"/>
              <a:gd name="T37" fmla="*/ 18463 h 63"/>
              <a:gd name="T38" fmla="*/ 87080 w 58"/>
              <a:gd name="T39" fmla="*/ 27694 h 63"/>
              <a:gd name="T40" fmla="*/ 70042 w 58"/>
              <a:gd name="T41" fmla="*/ 38772 h 63"/>
              <a:gd name="T42" fmla="*/ 56791 w 58"/>
              <a:gd name="T43" fmla="*/ 38772 h 63"/>
              <a:gd name="T44" fmla="*/ 47326 w 58"/>
              <a:gd name="T45" fmla="*/ 46157 h 63"/>
              <a:gd name="T46" fmla="*/ 34075 w 58"/>
              <a:gd name="T47" fmla="*/ 46157 h 63"/>
              <a:gd name="T48" fmla="*/ 34075 w 58"/>
              <a:gd name="T49" fmla="*/ 66466 h 63"/>
              <a:gd name="T50" fmla="*/ 24609 w 58"/>
              <a:gd name="T51" fmla="*/ 79390 h 63"/>
              <a:gd name="T52" fmla="*/ 15144 w 58"/>
              <a:gd name="T53" fmla="*/ 79390 h 63"/>
              <a:gd name="T54" fmla="*/ 11358 w 58"/>
              <a:gd name="T55" fmla="*/ 81237 h 63"/>
              <a:gd name="T56" fmla="*/ 1893 w 58"/>
              <a:gd name="T57" fmla="*/ 72005 h 63"/>
              <a:gd name="T58" fmla="*/ 1893 w 58"/>
              <a:gd name="T59" fmla="*/ 83083 h 63"/>
              <a:gd name="T60" fmla="*/ 34075 w 58"/>
              <a:gd name="T61" fmla="*/ 118162 h 63"/>
              <a:gd name="T62" fmla="*/ 60577 w 58"/>
              <a:gd name="T63" fmla="*/ 147703 h 63"/>
              <a:gd name="T64" fmla="*/ 68149 w 58"/>
              <a:gd name="T65" fmla="*/ 142164 h 63"/>
              <a:gd name="T66" fmla="*/ 60577 w 58"/>
              <a:gd name="T67" fmla="*/ 131086 h 63"/>
              <a:gd name="T68" fmla="*/ 58684 w 58"/>
              <a:gd name="T69" fmla="*/ 112623 h 63"/>
              <a:gd name="T70" fmla="*/ 60577 w 58"/>
              <a:gd name="T71" fmla="*/ 110777 h 63"/>
              <a:gd name="T72" fmla="*/ 81400 w 58"/>
              <a:gd name="T73" fmla="*/ 123701 h 63"/>
              <a:gd name="T74" fmla="*/ 96545 w 58"/>
              <a:gd name="T75" fmla="*/ 140318 h 63"/>
              <a:gd name="T76" fmla="*/ 96545 w 58"/>
              <a:gd name="T77" fmla="*/ 149549 h 63"/>
              <a:gd name="T78" fmla="*/ 71935 w 58"/>
              <a:gd name="T79" fmla="*/ 138471 h 63"/>
              <a:gd name="T80" fmla="*/ 70042 w 58"/>
              <a:gd name="T81" fmla="*/ 142164 h 6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58"/>
              <a:gd name="T124" fmla="*/ 0 h 63"/>
              <a:gd name="T125" fmla="*/ 58 w 58"/>
              <a:gd name="T126" fmla="*/ 63 h 6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58" h="63">
                <a:moveTo>
                  <a:pt x="26" y="55"/>
                </a:moveTo>
                <a:cubicBezTo>
                  <a:pt x="30" y="55"/>
                  <a:pt x="31" y="58"/>
                  <a:pt x="35" y="59"/>
                </a:cubicBezTo>
                <a:cubicBezTo>
                  <a:pt x="36" y="59"/>
                  <a:pt x="38" y="58"/>
                  <a:pt x="39" y="59"/>
                </a:cubicBezTo>
                <a:cubicBezTo>
                  <a:pt x="41" y="59"/>
                  <a:pt x="41" y="62"/>
                  <a:pt x="43" y="62"/>
                </a:cubicBezTo>
                <a:cubicBezTo>
                  <a:pt x="45" y="63"/>
                  <a:pt x="48" y="63"/>
                  <a:pt x="50" y="62"/>
                </a:cubicBezTo>
                <a:cubicBezTo>
                  <a:pt x="51" y="62"/>
                  <a:pt x="51" y="60"/>
                  <a:pt x="51" y="59"/>
                </a:cubicBezTo>
                <a:cubicBezTo>
                  <a:pt x="50" y="57"/>
                  <a:pt x="48" y="55"/>
                  <a:pt x="48" y="53"/>
                </a:cubicBezTo>
                <a:cubicBezTo>
                  <a:pt x="48" y="50"/>
                  <a:pt x="50" y="48"/>
                  <a:pt x="50" y="46"/>
                </a:cubicBezTo>
                <a:cubicBezTo>
                  <a:pt x="50" y="44"/>
                  <a:pt x="48" y="42"/>
                  <a:pt x="49" y="40"/>
                </a:cubicBezTo>
                <a:cubicBezTo>
                  <a:pt x="49" y="38"/>
                  <a:pt x="52" y="37"/>
                  <a:pt x="52" y="35"/>
                </a:cubicBezTo>
                <a:cubicBezTo>
                  <a:pt x="53" y="31"/>
                  <a:pt x="51" y="26"/>
                  <a:pt x="52" y="22"/>
                </a:cubicBezTo>
                <a:cubicBezTo>
                  <a:pt x="53" y="18"/>
                  <a:pt x="56" y="16"/>
                  <a:pt x="57" y="13"/>
                </a:cubicBezTo>
                <a:cubicBezTo>
                  <a:pt x="58" y="11"/>
                  <a:pt x="57" y="8"/>
                  <a:pt x="57" y="6"/>
                </a:cubicBezTo>
                <a:cubicBezTo>
                  <a:pt x="57" y="4"/>
                  <a:pt x="57" y="3"/>
                  <a:pt x="58" y="1"/>
                </a:cubicBezTo>
                <a:cubicBezTo>
                  <a:pt x="56" y="1"/>
                  <a:pt x="54" y="0"/>
                  <a:pt x="52" y="1"/>
                </a:cubicBezTo>
                <a:cubicBezTo>
                  <a:pt x="51" y="1"/>
                  <a:pt x="50" y="3"/>
                  <a:pt x="49" y="3"/>
                </a:cubicBezTo>
                <a:cubicBezTo>
                  <a:pt x="46" y="4"/>
                  <a:pt x="43" y="6"/>
                  <a:pt x="41" y="6"/>
                </a:cubicBezTo>
                <a:cubicBezTo>
                  <a:pt x="39" y="6"/>
                  <a:pt x="40" y="3"/>
                  <a:pt x="39" y="3"/>
                </a:cubicBezTo>
                <a:cubicBezTo>
                  <a:pt x="37" y="3"/>
                  <a:pt x="35" y="5"/>
                  <a:pt x="34" y="7"/>
                </a:cubicBezTo>
                <a:cubicBezTo>
                  <a:pt x="33" y="8"/>
                  <a:pt x="34" y="10"/>
                  <a:pt x="33" y="11"/>
                </a:cubicBezTo>
                <a:cubicBezTo>
                  <a:pt x="31" y="13"/>
                  <a:pt x="29" y="14"/>
                  <a:pt x="26" y="15"/>
                </a:cubicBezTo>
                <a:cubicBezTo>
                  <a:pt x="24" y="15"/>
                  <a:pt x="22" y="15"/>
                  <a:pt x="21" y="15"/>
                </a:cubicBezTo>
                <a:cubicBezTo>
                  <a:pt x="19" y="16"/>
                  <a:pt x="19" y="17"/>
                  <a:pt x="18" y="18"/>
                </a:cubicBezTo>
                <a:cubicBezTo>
                  <a:pt x="16" y="18"/>
                  <a:pt x="14" y="17"/>
                  <a:pt x="13" y="18"/>
                </a:cubicBezTo>
                <a:cubicBezTo>
                  <a:pt x="12" y="20"/>
                  <a:pt x="14" y="23"/>
                  <a:pt x="13" y="25"/>
                </a:cubicBezTo>
                <a:cubicBezTo>
                  <a:pt x="12" y="27"/>
                  <a:pt x="11" y="28"/>
                  <a:pt x="9" y="30"/>
                </a:cubicBezTo>
                <a:cubicBezTo>
                  <a:pt x="8" y="30"/>
                  <a:pt x="7" y="30"/>
                  <a:pt x="6" y="30"/>
                </a:cubicBezTo>
                <a:cubicBezTo>
                  <a:pt x="5" y="30"/>
                  <a:pt x="4" y="32"/>
                  <a:pt x="4" y="31"/>
                </a:cubicBezTo>
                <a:cubicBezTo>
                  <a:pt x="3" y="31"/>
                  <a:pt x="2" y="28"/>
                  <a:pt x="1" y="28"/>
                </a:cubicBezTo>
                <a:cubicBezTo>
                  <a:pt x="0" y="29"/>
                  <a:pt x="0" y="31"/>
                  <a:pt x="1" y="32"/>
                </a:cubicBezTo>
                <a:cubicBezTo>
                  <a:pt x="4" y="37"/>
                  <a:pt x="9" y="41"/>
                  <a:pt x="13" y="45"/>
                </a:cubicBezTo>
                <a:cubicBezTo>
                  <a:pt x="17" y="49"/>
                  <a:pt x="19" y="53"/>
                  <a:pt x="23" y="56"/>
                </a:cubicBezTo>
                <a:cubicBezTo>
                  <a:pt x="24" y="56"/>
                  <a:pt x="24" y="55"/>
                  <a:pt x="25" y="55"/>
                </a:cubicBezTo>
                <a:cubicBezTo>
                  <a:pt x="25" y="53"/>
                  <a:pt x="23" y="52"/>
                  <a:pt x="23" y="50"/>
                </a:cubicBezTo>
                <a:cubicBezTo>
                  <a:pt x="22" y="48"/>
                  <a:pt x="22" y="45"/>
                  <a:pt x="22" y="43"/>
                </a:cubicBezTo>
                <a:cubicBezTo>
                  <a:pt x="22" y="42"/>
                  <a:pt x="23" y="42"/>
                  <a:pt x="23" y="42"/>
                </a:cubicBezTo>
                <a:cubicBezTo>
                  <a:pt x="26" y="43"/>
                  <a:pt x="28" y="45"/>
                  <a:pt x="30" y="47"/>
                </a:cubicBezTo>
                <a:cubicBezTo>
                  <a:pt x="32" y="49"/>
                  <a:pt x="34" y="51"/>
                  <a:pt x="36" y="54"/>
                </a:cubicBezTo>
                <a:cubicBezTo>
                  <a:pt x="36" y="55"/>
                  <a:pt x="37" y="57"/>
                  <a:pt x="36" y="57"/>
                </a:cubicBezTo>
                <a:cubicBezTo>
                  <a:pt x="32" y="57"/>
                  <a:pt x="30" y="54"/>
                  <a:pt x="27" y="53"/>
                </a:cubicBezTo>
                <a:cubicBezTo>
                  <a:pt x="26" y="53"/>
                  <a:pt x="26" y="54"/>
                  <a:pt x="26" y="55"/>
                </a:cubicBezTo>
                <a:close/>
              </a:path>
            </a:pathLst>
          </a:custGeom>
          <a:solidFill>
            <a:schemeClr val="bg1">
              <a:lumMod val="95000"/>
            </a:schemeClr>
          </a:solidFill>
          <a:ln w="3175" cap="rnd">
            <a:solidFill>
              <a:srgbClr val="A5A5A5"/>
            </a:solidFill>
            <a:round/>
            <a:headEnd/>
            <a:tailEnd/>
          </a:ln>
        </xdr:spPr>
      </xdr:sp>
      <xdr:sp macro="" textlink="">
        <xdr:nvSpPr>
          <xdr:cNvPr id="347" name="HND"/>
          <xdr:cNvSpPr>
            <a:spLocks noChangeAspect="1"/>
          </xdr:cNvSpPr>
        </xdr:nvSpPr>
        <xdr:spPr bwMode="auto">
          <a:xfrm>
            <a:off x="3692514" y="4842598"/>
            <a:ext cx="164034" cy="103625"/>
          </a:xfrm>
          <a:custGeom>
            <a:avLst/>
            <a:gdLst>
              <a:gd name="T0" fmla="*/ 45828 w 75"/>
              <a:gd name="T1" fmla="*/ 100300 h 44"/>
              <a:gd name="T2" fmla="*/ 45828 w 75"/>
              <a:gd name="T3" fmla="*/ 87298 h 44"/>
              <a:gd name="T4" fmla="*/ 42009 w 75"/>
              <a:gd name="T5" fmla="*/ 78011 h 44"/>
              <a:gd name="T6" fmla="*/ 24823 w 75"/>
              <a:gd name="T7" fmla="*/ 79869 h 44"/>
              <a:gd name="T8" fmla="*/ 24823 w 75"/>
              <a:gd name="T9" fmla="*/ 68724 h 44"/>
              <a:gd name="T10" fmla="*/ 13366 w 75"/>
              <a:gd name="T11" fmla="*/ 66867 h 44"/>
              <a:gd name="T12" fmla="*/ 3819 w 75"/>
              <a:gd name="T13" fmla="*/ 63152 h 44"/>
              <a:gd name="T14" fmla="*/ 0 w 75"/>
              <a:gd name="T15" fmla="*/ 53865 h 44"/>
              <a:gd name="T16" fmla="*/ 0 w 75"/>
              <a:gd name="T17" fmla="*/ 37148 h 44"/>
              <a:gd name="T18" fmla="*/ 13366 w 75"/>
              <a:gd name="T19" fmla="*/ 29719 h 44"/>
              <a:gd name="T20" fmla="*/ 32461 w 75"/>
              <a:gd name="T21" fmla="*/ 14859 h 44"/>
              <a:gd name="T22" fmla="*/ 36280 w 75"/>
              <a:gd name="T23" fmla="*/ 9287 h 44"/>
              <a:gd name="T24" fmla="*/ 49647 w 75"/>
              <a:gd name="T25" fmla="*/ 0 h 44"/>
              <a:gd name="T26" fmla="*/ 64923 w 75"/>
              <a:gd name="T27" fmla="*/ 1857 h 44"/>
              <a:gd name="T28" fmla="*/ 68742 w 75"/>
              <a:gd name="T29" fmla="*/ 9287 h 44"/>
              <a:gd name="T30" fmla="*/ 93565 w 75"/>
              <a:gd name="T31" fmla="*/ 9287 h 44"/>
              <a:gd name="T32" fmla="*/ 112660 w 75"/>
              <a:gd name="T33" fmla="*/ 0 h 44"/>
              <a:gd name="T34" fmla="*/ 124117 w 75"/>
              <a:gd name="T35" fmla="*/ 0 h 44"/>
              <a:gd name="T36" fmla="*/ 147031 w 75"/>
              <a:gd name="T37" fmla="*/ 1857 h 44"/>
              <a:gd name="T38" fmla="*/ 162307 w 75"/>
              <a:gd name="T39" fmla="*/ 3715 h 44"/>
              <a:gd name="T40" fmla="*/ 173764 w 75"/>
              <a:gd name="T41" fmla="*/ 3715 h 44"/>
              <a:gd name="T42" fmla="*/ 183311 w 75"/>
              <a:gd name="T43" fmla="*/ 13002 h 44"/>
              <a:gd name="T44" fmla="*/ 183311 w 75"/>
              <a:gd name="T45" fmla="*/ 14859 h 44"/>
              <a:gd name="T46" fmla="*/ 173764 w 75"/>
              <a:gd name="T47" fmla="*/ 13002 h 44"/>
              <a:gd name="T48" fmla="*/ 173764 w 75"/>
              <a:gd name="T49" fmla="*/ 24146 h 44"/>
              <a:gd name="T50" fmla="*/ 175673 w 75"/>
              <a:gd name="T51" fmla="*/ 26004 h 44"/>
              <a:gd name="T52" fmla="*/ 190949 w 75"/>
              <a:gd name="T53" fmla="*/ 26004 h 44"/>
              <a:gd name="T54" fmla="*/ 190949 w 75"/>
              <a:gd name="T55" fmla="*/ 24146 h 44"/>
              <a:gd name="T56" fmla="*/ 190949 w 75"/>
              <a:gd name="T57" fmla="*/ 18574 h 44"/>
              <a:gd name="T58" fmla="*/ 204316 w 75"/>
              <a:gd name="T59" fmla="*/ 29719 h 44"/>
              <a:gd name="T60" fmla="*/ 204316 w 75"/>
              <a:gd name="T61" fmla="*/ 40863 h 44"/>
              <a:gd name="T62" fmla="*/ 187130 w 75"/>
              <a:gd name="T63" fmla="*/ 40863 h 44"/>
              <a:gd name="T64" fmla="*/ 179492 w 75"/>
              <a:gd name="T65" fmla="*/ 44578 h 44"/>
              <a:gd name="T66" fmla="*/ 156578 w 75"/>
              <a:gd name="T67" fmla="*/ 53865 h 44"/>
              <a:gd name="T68" fmla="*/ 150850 w 75"/>
              <a:gd name="T69" fmla="*/ 44578 h 44"/>
              <a:gd name="T70" fmla="*/ 137484 w 75"/>
              <a:gd name="T71" fmla="*/ 55722 h 44"/>
              <a:gd name="T72" fmla="*/ 135574 w 75"/>
              <a:gd name="T73" fmla="*/ 66867 h 44"/>
              <a:gd name="T74" fmla="*/ 114570 w 75"/>
              <a:gd name="T75" fmla="*/ 78011 h 44"/>
              <a:gd name="T76" fmla="*/ 101203 w 75"/>
              <a:gd name="T77" fmla="*/ 78011 h 44"/>
              <a:gd name="T78" fmla="*/ 93565 w 75"/>
              <a:gd name="T79" fmla="*/ 87298 h 44"/>
              <a:gd name="T80" fmla="*/ 80199 w 75"/>
              <a:gd name="T81" fmla="*/ 87298 h 44"/>
              <a:gd name="T82" fmla="*/ 80199 w 75"/>
              <a:gd name="T83" fmla="*/ 105872 h 44"/>
              <a:gd name="T84" fmla="*/ 68742 w 75"/>
              <a:gd name="T85" fmla="*/ 118874 h 44"/>
              <a:gd name="T86" fmla="*/ 59194 w 75"/>
              <a:gd name="T87" fmla="*/ 118874 h 44"/>
              <a:gd name="T88" fmla="*/ 55375 w 75"/>
              <a:gd name="T89" fmla="*/ 109587 h 44"/>
              <a:gd name="T90" fmla="*/ 45828 w 75"/>
              <a:gd name="T91" fmla="*/ 100300 h 44"/>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75"/>
              <a:gd name="T139" fmla="*/ 0 h 44"/>
              <a:gd name="T140" fmla="*/ 75 w 75"/>
              <a:gd name="T141" fmla="*/ 44 h 44"/>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75" h="44">
                <a:moveTo>
                  <a:pt x="17" y="37"/>
                </a:moveTo>
                <a:cubicBezTo>
                  <a:pt x="17" y="35"/>
                  <a:pt x="18" y="34"/>
                  <a:pt x="17" y="32"/>
                </a:cubicBezTo>
                <a:cubicBezTo>
                  <a:pt x="17" y="30"/>
                  <a:pt x="16" y="30"/>
                  <a:pt x="15" y="29"/>
                </a:cubicBezTo>
                <a:cubicBezTo>
                  <a:pt x="13" y="29"/>
                  <a:pt x="11" y="31"/>
                  <a:pt x="9" y="30"/>
                </a:cubicBezTo>
                <a:cubicBezTo>
                  <a:pt x="8" y="29"/>
                  <a:pt x="10" y="27"/>
                  <a:pt x="9" y="26"/>
                </a:cubicBezTo>
                <a:cubicBezTo>
                  <a:pt x="8" y="25"/>
                  <a:pt x="6" y="25"/>
                  <a:pt x="5" y="25"/>
                </a:cubicBezTo>
                <a:cubicBezTo>
                  <a:pt x="4" y="24"/>
                  <a:pt x="3" y="24"/>
                  <a:pt x="2" y="23"/>
                </a:cubicBezTo>
                <a:cubicBezTo>
                  <a:pt x="1" y="22"/>
                  <a:pt x="0" y="21"/>
                  <a:pt x="0" y="20"/>
                </a:cubicBezTo>
                <a:cubicBezTo>
                  <a:pt x="0" y="18"/>
                  <a:pt x="0" y="16"/>
                  <a:pt x="0" y="14"/>
                </a:cubicBezTo>
                <a:cubicBezTo>
                  <a:pt x="1" y="13"/>
                  <a:pt x="3" y="12"/>
                  <a:pt x="5" y="11"/>
                </a:cubicBezTo>
                <a:cubicBezTo>
                  <a:pt x="7" y="9"/>
                  <a:pt x="10" y="8"/>
                  <a:pt x="12" y="6"/>
                </a:cubicBezTo>
                <a:cubicBezTo>
                  <a:pt x="13" y="6"/>
                  <a:pt x="12" y="4"/>
                  <a:pt x="13" y="3"/>
                </a:cubicBezTo>
                <a:cubicBezTo>
                  <a:pt x="14" y="2"/>
                  <a:pt x="16" y="1"/>
                  <a:pt x="18" y="0"/>
                </a:cubicBezTo>
                <a:cubicBezTo>
                  <a:pt x="20" y="0"/>
                  <a:pt x="21" y="0"/>
                  <a:pt x="23" y="1"/>
                </a:cubicBezTo>
                <a:cubicBezTo>
                  <a:pt x="24" y="1"/>
                  <a:pt x="24" y="3"/>
                  <a:pt x="25" y="3"/>
                </a:cubicBezTo>
                <a:cubicBezTo>
                  <a:pt x="28" y="4"/>
                  <a:pt x="31" y="4"/>
                  <a:pt x="34" y="3"/>
                </a:cubicBezTo>
                <a:cubicBezTo>
                  <a:pt x="37" y="3"/>
                  <a:pt x="39" y="1"/>
                  <a:pt x="41" y="0"/>
                </a:cubicBezTo>
                <a:cubicBezTo>
                  <a:pt x="43" y="0"/>
                  <a:pt x="44" y="0"/>
                  <a:pt x="45" y="0"/>
                </a:cubicBezTo>
                <a:cubicBezTo>
                  <a:pt x="48" y="0"/>
                  <a:pt x="51" y="0"/>
                  <a:pt x="53" y="1"/>
                </a:cubicBezTo>
                <a:cubicBezTo>
                  <a:pt x="55" y="1"/>
                  <a:pt x="57" y="2"/>
                  <a:pt x="59" y="2"/>
                </a:cubicBezTo>
                <a:cubicBezTo>
                  <a:pt x="60" y="2"/>
                  <a:pt x="62" y="1"/>
                  <a:pt x="63" y="2"/>
                </a:cubicBezTo>
                <a:cubicBezTo>
                  <a:pt x="65" y="2"/>
                  <a:pt x="66" y="4"/>
                  <a:pt x="67" y="5"/>
                </a:cubicBezTo>
                <a:cubicBezTo>
                  <a:pt x="67" y="6"/>
                  <a:pt x="67" y="6"/>
                  <a:pt x="67" y="6"/>
                </a:cubicBezTo>
                <a:cubicBezTo>
                  <a:pt x="66" y="6"/>
                  <a:pt x="64" y="5"/>
                  <a:pt x="63" y="5"/>
                </a:cubicBezTo>
                <a:cubicBezTo>
                  <a:pt x="62" y="6"/>
                  <a:pt x="63" y="8"/>
                  <a:pt x="63" y="9"/>
                </a:cubicBezTo>
                <a:cubicBezTo>
                  <a:pt x="63" y="9"/>
                  <a:pt x="64" y="10"/>
                  <a:pt x="64" y="10"/>
                </a:cubicBezTo>
                <a:cubicBezTo>
                  <a:pt x="66" y="11"/>
                  <a:pt x="67" y="11"/>
                  <a:pt x="69" y="10"/>
                </a:cubicBezTo>
                <a:cubicBezTo>
                  <a:pt x="69" y="10"/>
                  <a:pt x="69" y="9"/>
                  <a:pt x="69" y="9"/>
                </a:cubicBezTo>
                <a:cubicBezTo>
                  <a:pt x="69" y="8"/>
                  <a:pt x="68" y="6"/>
                  <a:pt x="69" y="7"/>
                </a:cubicBezTo>
                <a:cubicBezTo>
                  <a:pt x="71" y="8"/>
                  <a:pt x="73" y="9"/>
                  <a:pt x="74" y="11"/>
                </a:cubicBezTo>
                <a:cubicBezTo>
                  <a:pt x="75" y="12"/>
                  <a:pt x="74" y="14"/>
                  <a:pt x="74" y="15"/>
                </a:cubicBezTo>
                <a:cubicBezTo>
                  <a:pt x="72" y="15"/>
                  <a:pt x="70" y="14"/>
                  <a:pt x="68" y="15"/>
                </a:cubicBezTo>
                <a:cubicBezTo>
                  <a:pt x="67" y="15"/>
                  <a:pt x="66" y="17"/>
                  <a:pt x="65" y="17"/>
                </a:cubicBezTo>
                <a:cubicBezTo>
                  <a:pt x="62" y="18"/>
                  <a:pt x="59" y="20"/>
                  <a:pt x="57" y="20"/>
                </a:cubicBezTo>
                <a:cubicBezTo>
                  <a:pt x="55" y="20"/>
                  <a:pt x="56" y="17"/>
                  <a:pt x="55" y="17"/>
                </a:cubicBezTo>
                <a:cubicBezTo>
                  <a:pt x="53" y="17"/>
                  <a:pt x="51" y="19"/>
                  <a:pt x="50" y="21"/>
                </a:cubicBezTo>
                <a:cubicBezTo>
                  <a:pt x="49" y="22"/>
                  <a:pt x="50" y="24"/>
                  <a:pt x="49" y="25"/>
                </a:cubicBezTo>
                <a:cubicBezTo>
                  <a:pt x="47" y="27"/>
                  <a:pt x="45" y="28"/>
                  <a:pt x="42" y="29"/>
                </a:cubicBezTo>
                <a:cubicBezTo>
                  <a:pt x="40" y="29"/>
                  <a:pt x="38" y="29"/>
                  <a:pt x="37" y="29"/>
                </a:cubicBezTo>
                <a:cubicBezTo>
                  <a:pt x="35" y="30"/>
                  <a:pt x="35" y="31"/>
                  <a:pt x="34" y="32"/>
                </a:cubicBezTo>
                <a:cubicBezTo>
                  <a:pt x="32" y="32"/>
                  <a:pt x="30" y="31"/>
                  <a:pt x="29" y="32"/>
                </a:cubicBezTo>
                <a:cubicBezTo>
                  <a:pt x="28" y="34"/>
                  <a:pt x="30" y="37"/>
                  <a:pt x="29" y="39"/>
                </a:cubicBezTo>
                <a:cubicBezTo>
                  <a:pt x="28" y="41"/>
                  <a:pt x="27" y="42"/>
                  <a:pt x="25" y="44"/>
                </a:cubicBezTo>
                <a:cubicBezTo>
                  <a:pt x="24" y="44"/>
                  <a:pt x="23" y="44"/>
                  <a:pt x="22" y="44"/>
                </a:cubicBezTo>
                <a:cubicBezTo>
                  <a:pt x="21" y="43"/>
                  <a:pt x="20" y="42"/>
                  <a:pt x="20" y="41"/>
                </a:cubicBezTo>
                <a:cubicBezTo>
                  <a:pt x="19" y="40"/>
                  <a:pt x="18" y="38"/>
                  <a:pt x="17" y="37"/>
                </a:cubicBezTo>
                <a:close/>
              </a:path>
            </a:pathLst>
          </a:custGeom>
          <a:solidFill>
            <a:schemeClr val="bg1">
              <a:lumMod val="95000"/>
            </a:schemeClr>
          </a:solidFill>
          <a:ln w="3175" cap="rnd">
            <a:solidFill>
              <a:srgbClr val="A5A5A5"/>
            </a:solidFill>
            <a:round/>
            <a:headEnd/>
            <a:tailEnd/>
          </a:ln>
        </xdr:spPr>
      </xdr:sp>
      <xdr:sp macro="" textlink="">
        <xdr:nvSpPr>
          <xdr:cNvPr id="348" name="CUB"/>
          <xdr:cNvSpPr>
            <a:spLocks noChangeAspect="1"/>
          </xdr:cNvSpPr>
        </xdr:nvSpPr>
        <xdr:spPr bwMode="auto">
          <a:xfrm>
            <a:off x="3812410" y="4577779"/>
            <a:ext cx="302835" cy="138166"/>
          </a:xfrm>
          <a:custGeom>
            <a:avLst/>
            <a:gdLst>
              <a:gd name="T0" fmla="*/ 355607 w 134"/>
              <a:gd name="T1" fmla="*/ 118063 h 52"/>
              <a:gd name="T2" fmla="*/ 367078 w 134"/>
              <a:gd name="T3" fmla="*/ 125559 h 52"/>
              <a:gd name="T4" fmla="*/ 344136 w 134"/>
              <a:gd name="T5" fmla="*/ 131181 h 52"/>
              <a:gd name="T6" fmla="*/ 317370 w 134"/>
              <a:gd name="T7" fmla="*/ 140551 h 52"/>
              <a:gd name="T8" fmla="*/ 275309 w 134"/>
              <a:gd name="T9" fmla="*/ 138677 h 52"/>
              <a:gd name="T10" fmla="*/ 263837 w 134"/>
              <a:gd name="T11" fmla="*/ 142425 h 52"/>
              <a:gd name="T12" fmla="*/ 240895 w 134"/>
              <a:gd name="T13" fmla="*/ 140551 h 52"/>
              <a:gd name="T14" fmla="*/ 242807 w 134"/>
              <a:gd name="T15" fmla="*/ 133055 h 52"/>
              <a:gd name="T16" fmla="*/ 261926 w 134"/>
              <a:gd name="T17" fmla="*/ 118063 h 52"/>
              <a:gd name="T18" fmla="*/ 258102 w 134"/>
              <a:gd name="T19" fmla="*/ 108693 h 52"/>
              <a:gd name="T20" fmla="*/ 231336 w 134"/>
              <a:gd name="T21" fmla="*/ 106819 h 52"/>
              <a:gd name="T22" fmla="*/ 216041 w 134"/>
              <a:gd name="T23" fmla="*/ 93701 h 52"/>
              <a:gd name="T24" fmla="*/ 214129 w 134"/>
              <a:gd name="T25" fmla="*/ 67465 h 52"/>
              <a:gd name="T26" fmla="*/ 191187 w 134"/>
              <a:gd name="T27" fmla="*/ 67465 h 52"/>
              <a:gd name="T28" fmla="*/ 162509 w 134"/>
              <a:gd name="T29" fmla="*/ 61843 h 52"/>
              <a:gd name="T30" fmla="*/ 151037 w 134"/>
              <a:gd name="T31" fmla="*/ 46850 h 52"/>
              <a:gd name="T32" fmla="*/ 133831 w 134"/>
              <a:gd name="T33" fmla="*/ 50599 h 52"/>
              <a:gd name="T34" fmla="*/ 114712 w 134"/>
              <a:gd name="T35" fmla="*/ 43102 h 52"/>
              <a:gd name="T36" fmla="*/ 93681 w 134"/>
              <a:gd name="T37" fmla="*/ 41228 h 52"/>
              <a:gd name="T38" fmla="*/ 99417 w 134"/>
              <a:gd name="T39" fmla="*/ 35606 h 52"/>
              <a:gd name="T40" fmla="*/ 107064 w 134"/>
              <a:gd name="T41" fmla="*/ 29984 h 52"/>
              <a:gd name="T42" fmla="*/ 82210 w 134"/>
              <a:gd name="T43" fmla="*/ 22488 h 52"/>
              <a:gd name="T44" fmla="*/ 55444 w 134"/>
              <a:gd name="T45" fmla="*/ 33732 h 52"/>
              <a:gd name="T46" fmla="*/ 32502 w 134"/>
              <a:gd name="T47" fmla="*/ 46850 h 52"/>
              <a:gd name="T48" fmla="*/ 15295 w 134"/>
              <a:gd name="T49" fmla="*/ 61843 h 52"/>
              <a:gd name="T50" fmla="*/ 0 w 134"/>
              <a:gd name="T51" fmla="*/ 54347 h 52"/>
              <a:gd name="T52" fmla="*/ 13383 w 134"/>
              <a:gd name="T53" fmla="*/ 46850 h 52"/>
              <a:gd name="T54" fmla="*/ 22942 w 134"/>
              <a:gd name="T55" fmla="*/ 28110 h 52"/>
              <a:gd name="T56" fmla="*/ 55444 w 134"/>
              <a:gd name="T57" fmla="*/ 11244 h 52"/>
              <a:gd name="T58" fmla="*/ 93681 w 134"/>
              <a:gd name="T59" fmla="*/ 0 h 52"/>
              <a:gd name="T60" fmla="*/ 126183 w 134"/>
              <a:gd name="T61" fmla="*/ 3748 h 52"/>
              <a:gd name="T62" fmla="*/ 149126 w 134"/>
              <a:gd name="T63" fmla="*/ 9370 h 52"/>
              <a:gd name="T64" fmla="*/ 156773 w 134"/>
              <a:gd name="T65" fmla="*/ 13118 h 52"/>
              <a:gd name="T66" fmla="*/ 173980 w 134"/>
              <a:gd name="T67" fmla="*/ 14992 h 52"/>
              <a:gd name="T68" fmla="*/ 189275 w 134"/>
              <a:gd name="T69" fmla="*/ 35606 h 52"/>
              <a:gd name="T70" fmla="*/ 219865 w 134"/>
              <a:gd name="T71" fmla="*/ 39354 h 52"/>
              <a:gd name="T72" fmla="*/ 235159 w 134"/>
              <a:gd name="T73" fmla="*/ 56221 h 52"/>
              <a:gd name="T74" fmla="*/ 240895 w 134"/>
              <a:gd name="T75" fmla="*/ 54347 h 52"/>
              <a:gd name="T76" fmla="*/ 227512 w 134"/>
              <a:gd name="T77" fmla="*/ 39354 h 52"/>
              <a:gd name="T78" fmla="*/ 231336 w 134"/>
              <a:gd name="T79" fmla="*/ 35606 h 52"/>
              <a:gd name="T80" fmla="*/ 250454 w 134"/>
              <a:gd name="T81" fmla="*/ 54347 h 52"/>
              <a:gd name="T82" fmla="*/ 250454 w 134"/>
              <a:gd name="T83" fmla="*/ 63717 h 52"/>
              <a:gd name="T84" fmla="*/ 269573 w 134"/>
              <a:gd name="T85" fmla="*/ 65591 h 52"/>
              <a:gd name="T86" fmla="*/ 292515 w 134"/>
              <a:gd name="T87" fmla="*/ 78709 h 52"/>
              <a:gd name="T88" fmla="*/ 300163 w 134"/>
              <a:gd name="T89" fmla="*/ 89953 h 52"/>
              <a:gd name="T90" fmla="*/ 319282 w 134"/>
              <a:gd name="T91" fmla="*/ 93701 h 52"/>
              <a:gd name="T92" fmla="*/ 309722 w 134"/>
              <a:gd name="T93" fmla="*/ 106819 h 52"/>
              <a:gd name="T94" fmla="*/ 332665 w 134"/>
              <a:gd name="T95" fmla="*/ 104945 h 52"/>
              <a:gd name="T96" fmla="*/ 353695 w 134"/>
              <a:gd name="T97" fmla="*/ 108693 h 52"/>
              <a:gd name="T98" fmla="*/ 355607 w 134"/>
              <a:gd name="T99" fmla="*/ 118063 h 52"/>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34"/>
              <a:gd name="T151" fmla="*/ 0 h 52"/>
              <a:gd name="T152" fmla="*/ 134 w 134"/>
              <a:gd name="T153" fmla="*/ 52 h 52"/>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34" h="52">
                <a:moveTo>
                  <a:pt x="129" y="43"/>
                </a:moveTo>
                <a:cubicBezTo>
                  <a:pt x="130" y="44"/>
                  <a:pt x="134" y="44"/>
                  <a:pt x="133" y="45"/>
                </a:cubicBezTo>
                <a:cubicBezTo>
                  <a:pt x="131" y="47"/>
                  <a:pt x="127" y="47"/>
                  <a:pt x="125" y="48"/>
                </a:cubicBezTo>
                <a:cubicBezTo>
                  <a:pt x="122" y="49"/>
                  <a:pt x="119" y="51"/>
                  <a:pt x="115" y="51"/>
                </a:cubicBezTo>
                <a:cubicBezTo>
                  <a:pt x="110" y="51"/>
                  <a:pt x="105" y="50"/>
                  <a:pt x="100" y="50"/>
                </a:cubicBezTo>
                <a:cubicBezTo>
                  <a:pt x="99" y="50"/>
                  <a:pt x="97" y="52"/>
                  <a:pt x="96" y="52"/>
                </a:cubicBezTo>
                <a:cubicBezTo>
                  <a:pt x="93" y="52"/>
                  <a:pt x="90" y="52"/>
                  <a:pt x="87" y="51"/>
                </a:cubicBezTo>
                <a:cubicBezTo>
                  <a:pt x="87" y="51"/>
                  <a:pt x="88" y="50"/>
                  <a:pt x="88" y="49"/>
                </a:cubicBezTo>
                <a:cubicBezTo>
                  <a:pt x="90" y="47"/>
                  <a:pt x="94" y="46"/>
                  <a:pt x="95" y="43"/>
                </a:cubicBezTo>
                <a:cubicBezTo>
                  <a:pt x="95" y="42"/>
                  <a:pt x="94" y="41"/>
                  <a:pt x="93" y="40"/>
                </a:cubicBezTo>
                <a:cubicBezTo>
                  <a:pt x="90" y="39"/>
                  <a:pt x="87" y="40"/>
                  <a:pt x="84" y="39"/>
                </a:cubicBezTo>
                <a:cubicBezTo>
                  <a:pt x="82" y="38"/>
                  <a:pt x="79" y="36"/>
                  <a:pt x="78" y="34"/>
                </a:cubicBezTo>
                <a:cubicBezTo>
                  <a:pt x="77" y="31"/>
                  <a:pt x="79" y="28"/>
                  <a:pt x="77" y="25"/>
                </a:cubicBezTo>
                <a:cubicBezTo>
                  <a:pt x="76" y="23"/>
                  <a:pt x="72" y="25"/>
                  <a:pt x="69" y="25"/>
                </a:cubicBezTo>
                <a:cubicBezTo>
                  <a:pt x="66" y="24"/>
                  <a:pt x="62" y="24"/>
                  <a:pt x="59" y="22"/>
                </a:cubicBezTo>
                <a:cubicBezTo>
                  <a:pt x="57" y="21"/>
                  <a:pt x="57" y="18"/>
                  <a:pt x="55" y="17"/>
                </a:cubicBezTo>
                <a:cubicBezTo>
                  <a:pt x="53" y="17"/>
                  <a:pt x="50" y="18"/>
                  <a:pt x="48" y="18"/>
                </a:cubicBezTo>
                <a:cubicBezTo>
                  <a:pt x="46" y="18"/>
                  <a:pt x="44" y="16"/>
                  <a:pt x="42" y="16"/>
                </a:cubicBezTo>
                <a:cubicBezTo>
                  <a:pt x="40" y="15"/>
                  <a:pt x="36" y="16"/>
                  <a:pt x="34" y="15"/>
                </a:cubicBezTo>
                <a:cubicBezTo>
                  <a:pt x="33" y="15"/>
                  <a:pt x="35" y="14"/>
                  <a:pt x="36" y="13"/>
                </a:cubicBezTo>
                <a:cubicBezTo>
                  <a:pt x="37" y="12"/>
                  <a:pt x="40" y="12"/>
                  <a:pt x="39" y="11"/>
                </a:cubicBezTo>
                <a:cubicBezTo>
                  <a:pt x="37" y="9"/>
                  <a:pt x="33" y="8"/>
                  <a:pt x="30" y="8"/>
                </a:cubicBezTo>
                <a:cubicBezTo>
                  <a:pt x="27" y="9"/>
                  <a:pt x="24" y="11"/>
                  <a:pt x="20" y="12"/>
                </a:cubicBezTo>
                <a:cubicBezTo>
                  <a:pt x="17" y="14"/>
                  <a:pt x="14" y="15"/>
                  <a:pt x="12" y="17"/>
                </a:cubicBezTo>
                <a:cubicBezTo>
                  <a:pt x="9" y="18"/>
                  <a:pt x="8" y="22"/>
                  <a:pt x="6" y="22"/>
                </a:cubicBezTo>
                <a:cubicBezTo>
                  <a:pt x="4" y="23"/>
                  <a:pt x="1" y="22"/>
                  <a:pt x="0" y="20"/>
                </a:cubicBezTo>
                <a:cubicBezTo>
                  <a:pt x="0" y="19"/>
                  <a:pt x="4" y="19"/>
                  <a:pt x="5" y="17"/>
                </a:cubicBezTo>
                <a:cubicBezTo>
                  <a:pt x="6" y="15"/>
                  <a:pt x="6" y="11"/>
                  <a:pt x="8" y="10"/>
                </a:cubicBezTo>
                <a:cubicBezTo>
                  <a:pt x="12" y="7"/>
                  <a:pt x="16" y="6"/>
                  <a:pt x="20" y="4"/>
                </a:cubicBezTo>
                <a:cubicBezTo>
                  <a:pt x="24" y="3"/>
                  <a:pt x="29" y="1"/>
                  <a:pt x="34" y="0"/>
                </a:cubicBezTo>
                <a:cubicBezTo>
                  <a:pt x="38" y="0"/>
                  <a:pt x="42" y="1"/>
                  <a:pt x="46" y="2"/>
                </a:cubicBezTo>
                <a:cubicBezTo>
                  <a:pt x="48" y="2"/>
                  <a:pt x="51" y="2"/>
                  <a:pt x="54" y="3"/>
                </a:cubicBezTo>
                <a:cubicBezTo>
                  <a:pt x="55" y="3"/>
                  <a:pt x="56" y="4"/>
                  <a:pt x="57" y="5"/>
                </a:cubicBezTo>
                <a:cubicBezTo>
                  <a:pt x="59" y="5"/>
                  <a:pt x="61" y="4"/>
                  <a:pt x="63" y="6"/>
                </a:cubicBezTo>
                <a:cubicBezTo>
                  <a:pt x="66" y="7"/>
                  <a:pt x="65" y="12"/>
                  <a:pt x="68" y="13"/>
                </a:cubicBezTo>
                <a:cubicBezTo>
                  <a:pt x="72" y="15"/>
                  <a:pt x="76" y="13"/>
                  <a:pt x="80" y="14"/>
                </a:cubicBezTo>
                <a:cubicBezTo>
                  <a:pt x="82" y="15"/>
                  <a:pt x="83" y="19"/>
                  <a:pt x="85" y="21"/>
                </a:cubicBezTo>
                <a:cubicBezTo>
                  <a:pt x="86" y="21"/>
                  <a:pt x="88" y="20"/>
                  <a:pt x="87" y="20"/>
                </a:cubicBezTo>
                <a:cubicBezTo>
                  <a:pt x="86" y="17"/>
                  <a:pt x="83" y="16"/>
                  <a:pt x="82" y="14"/>
                </a:cubicBezTo>
                <a:cubicBezTo>
                  <a:pt x="82" y="13"/>
                  <a:pt x="83" y="12"/>
                  <a:pt x="84" y="13"/>
                </a:cubicBezTo>
                <a:cubicBezTo>
                  <a:pt x="86" y="15"/>
                  <a:pt x="89" y="17"/>
                  <a:pt x="91" y="20"/>
                </a:cubicBezTo>
                <a:cubicBezTo>
                  <a:pt x="92" y="21"/>
                  <a:pt x="90" y="22"/>
                  <a:pt x="91" y="23"/>
                </a:cubicBezTo>
                <a:cubicBezTo>
                  <a:pt x="92" y="24"/>
                  <a:pt x="95" y="23"/>
                  <a:pt x="97" y="24"/>
                </a:cubicBezTo>
                <a:cubicBezTo>
                  <a:pt x="100" y="25"/>
                  <a:pt x="103" y="27"/>
                  <a:pt x="106" y="29"/>
                </a:cubicBezTo>
                <a:cubicBezTo>
                  <a:pt x="107" y="30"/>
                  <a:pt x="108" y="32"/>
                  <a:pt x="109" y="33"/>
                </a:cubicBezTo>
                <a:cubicBezTo>
                  <a:pt x="111" y="34"/>
                  <a:pt x="115" y="32"/>
                  <a:pt x="116" y="34"/>
                </a:cubicBezTo>
                <a:cubicBezTo>
                  <a:pt x="117" y="36"/>
                  <a:pt x="110" y="38"/>
                  <a:pt x="112" y="39"/>
                </a:cubicBezTo>
                <a:cubicBezTo>
                  <a:pt x="115" y="41"/>
                  <a:pt x="118" y="38"/>
                  <a:pt x="121" y="38"/>
                </a:cubicBezTo>
                <a:cubicBezTo>
                  <a:pt x="124" y="38"/>
                  <a:pt x="126" y="39"/>
                  <a:pt x="128" y="40"/>
                </a:cubicBezTo>
                <a:cubicBezTo>
                  <a:pt x="128" y="41"/>
                  <a:pt x="128" y="43"/>
                  <a:pt x="129" y="43"/>
                </a:cubicBezTo>
                <a:close/>
              </a:path>
            </a:pathLst>
          </a:custGeom>
          <a:solidFill>
            <a:schemeClr val="bg1">
              <a:lumMod val="95000"/>
            </a:schemeClr>
          </a:solidFill>
          <a:ln w="3175" cap="rnd">
            <a:solidFill>
              <a:srgbClr val="A5A5A5"/>
            </a:solidFill>
            <a:round/>
            <a:headEnd/>
            <a:tailEnd/>
          </a:ln>
        </xdr:spPr>
      </xdr:sp>
      <xdr:sp macro="" textlink="">
        <xdr:nvSpPr>
          <xdr:cNvPr id="349" name="ECU"/>
          <xdr:cNvSpPr>
            <a:spLocks noChangeAspect="1"/>
          </xdr:cNvSpPr>
        </xdr:nvSpPr>
        <xdr:spPr bwMode="auto">
          <a:xfrm>
            <a:off x="3900685" y="5349209"/>
            <a:ext cx="165517" cy="218764"/>
          </a:xfrm>
          <a:custGeom>
            <a:avLst/>
            <a:gdLst>
              <a:gd name="T0" fmla="*/ 26793 w 74"/>
              <a:gd name="T1" fmla="*/ 180970 h 91"/>
              <a:gd name="T2" fmla="*/ 44017 w 74"/>
              <a:gd name="T3" fmla="*/ 173507 h 91"/>
              <a:gd name="T4" fmla="*/ 49759 w 74"/>
              <a:gd name="T5" fmla="*/ 149254 h 91"/>
              <a:gd name="T6" fmla="*/ 44017 w 74"/>
              <a:gd name="T7" fmla="*/ 145522 h 91"/>
              <a:gd name="T8" fmla="*/ 38276 w 74"/>
              <a:gd name="T9" fmla="*/ 149254 h 91"/>
              <a:gd name="T10" fmla="*/ 30621 w 74"/>
              <a:gd name="T11" fmla="*/ 147388 h 91"/>
              <a:gd name="T12" fmla="*/ 22966 w 74"/>
              <a:gd name="T13" fmla="*/ 154851 h 91"/>
              <a:gd name="T14" fmla="*/ 1914 w 74"/>
              <a:gd name="T15" fmla="*/ 145522 h 91"/>
              <a:gd name="T16" fmla="*/ 3828 w 74"/>
              <a:gd name="T17" fmla="*/ 134328 h 91"/>
              <a:gd name="T18" fmla="*/ 11483 w 74"/>
              <a:gd name="T19" fmla="*/ 121269 h 91"/>
              <a:gd name="T20" fmla="*/ 3828 w 74"/>
              <a:gd name="T21" fmla="*/ 111940 h 91"/>
              <a:gd name="T22" fmla="*/ 3828 w 74"/>
              <a:gd name="T23" fmla="*/ 97015 h 91"/>
              <a:gd name="T24" fmla="*/ 15310 w 74"/>
              <a:gd name="T25" fmla="*/ 78358 h 91"/>
              <a:gd name="T26" fmla="*/ 11483 w 74"/>
              <a:gd name="T27" fmla="*/ 69030 h 91"/>
              <a:gd name="T28" fmla="*/ 26793 w 74"/>
              <a:gd name="T29" fmla="*/ 54104 h 91"/>
              <a:gd name="T30" fmla="*/ 30621 w 74"/>
              <a:gd name="T31" fmla="*/ 37313 h 91"/>
              <a:gd name="T32" fmla="*/ 30621 w 74"/>
              <a:gd name="T33" fmla="*/ 24254 h 91"/>
              <a:gd name="T34" fmla="*/ 45931 w 74"/>
              <a:gd name="T35" fmla="*/ 14925 h 91"/>
              <a:gd name="T36" fmla="*/ 65069 w 74"/>
              <a:gd name="T37" fmla="*/ 3731 h 91"/>
              <a:gd name="T38" fmla="*/ 72724 w 74"/>
              <a:gd name="T39" fmla="*/ 0 h 91"/>
              <a:gd name="T40" fmla="*/ 93776 w 74"/>
              <a:gd name="T41" fmla="*/ 9328 h 91"/>
              <a:gd name="T42" fmla="*/ 103345 w 74"/>
              <a:gd name="T43" fmla="*/ 14925 h 91"/>
              <a:gd name="T44" fmla="*/ 116742 w 74"/>
              <a:gd name="T45" fmla="*/ 24254 h 91"/>
              <a:gd name="T46" fmla="*/ 124397 w 74"/>
              <a:gd name="T47" fmla="*/ 35448 h 91"/>
              <a:gd name="T48" fmla="*/ 135880 w 74"/>
              <a:gd name="T49" fmla="*/ 35448 h 91"/>
              <a:gd name="T50" fmla="*/ 147362 w 74"/>
              <a:gd name="T51" fmla="*/ 41045 h 91"/>
              <a:gd name="T52" fmla="*/ 158845 w 74"/>
              <a:gd name="T53" fmla="*/ 41045 h 91"/>
              <a:gd name="T54" fmla="*/ 160759 w 74"/>
              <a:gd name="T55" fmla="*/ 35448 h 91"/>
              <a:gd name="T56" fmla="*/ 172242 w 74"/>
              <a:gd name="T57" fmla="*/ 37313 h 91"/>
              <a:gd name="T58" fmla="*/ 193294 w 74"/>
              <a:gd name="T59" fmla="*/ 54104 h 91"/>
              <a:gd name="T60" fmla="*/ 193294 w 74"/>
              <a:gd name="T61" fmla="*/ 57836 h 91"/>
              <a:gd name="T62" fmla="*/ 202862 w 74"/>
              <a:gd name="T63" fmla="*/ 70895 h 91"/>
              <a:gd name="T64" fmla="*/ 202862 w 74"/>
              <a:gd name="T65" fmla="*/ 89552 h 91"/>
              <a:gd name="T66" fmla="*/ 193294 w 74"/>
              <a:gd name="T67" fmla="*/ 93284 h 91"/>
              <a:gd name="T68" fmla="*/ 189466 w 74"/>
              <a:gd name="T69" fmla="*/ 115672 h 91"/>
              <a:gd name="T70" fmla="*/ 177983 w 74"/>
              <a:gd name="T71" fmla="*/ 125000 h 91"/>
              <a:gd name="T72" fmla="*/ 160759 w 74"/>
              <a:gd name="T73" fmla="*/ 139925 h 91"/>
              <a:gd name="T74" fmla="*/ 158845 w 74"/>
              <a:gd name="T75" fmla="*/ 149254 h 91"/>
              <a:gd name="T76" fmla="*/ 105259 w 74"/>
              <a:gd name="T77" fmla="*/ 171642 h 91"/>
              <a:gd name="T78" fmla="*/ 91862 w 74"/>
              <a:gd name="T79" fmla="*/ 180970 h 91"/>
              <a:gd name="T80" fmla="*/ 82293 w 74"/>
              <a:gd name="T81" fmla="*/ 225746 h 91"/>
              <a:gd name="T82" fmla="*/ 68897 w 74"/>
              <a:gd name="T83" fmla="*/ 244403 h 91"/>
              <a:gd name="T84" fmla="*/ 65069 w 74"/>
              <a:gd name="T85" fmla="*/ 240672 h 91"/>
              <a:gd name="T86" fmla="*/ 57414 w 74"/>
              <a:gd name="T87" fmla="*/ 222015 h 91"/>
              <a:gd name="T88" fmla="*/ 38276 w 74"/>
              <a:gd name="T89" fmla="*/ 216418 h 91"/>
              <a:gd name="T90" fmla="*/ 24879 w 74"/>
              <a:gd name="T91" fmla="*/ 225746 h 91"/>
              <a:gd name="T92" fmla="*/ 24879 w 74"/>
              <a:gd name="T93" fmla="*/ 216418 h 91"/>
              <a:gd name="T94" fmla="*/ 19138 w 74"/>
              <a:gd name="T95" fmla="*/ 205224 h 91"/>
              <a:gd name="T96" fmla="*/ 32535 w 74"/>
              <a:gd name="T97" fmla="*/ 201492 h 91"/>
              <a:gd name="T98" fmla="*/ 36362 w 74"/>
              <a:gd name="T99" fmla="*/ 194030 h 91"/>
              <a:gd name="T100" fmla="*/ 26793 w 74"/>
              <a:gd name="T101" fmla="*/ 180970 h 91"/>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74"/>
              <a:gd name="T154" fmla="*/ 0 h 91"/>
              <a:gd name="T155" fmla="*/ 74 w 74"/>
              <a:gd name="T156" fmla="*/ 91 h 91"/>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74" h="91">
                <a:moveTo>
                  <a:pt x="10" y="68"/>
                </a:moveTo>
                <a:cubicBezTo>
                  <a:pt x="12" y="67"/>
                  <a:pt x="15" y="67"/>
                  <a:pt x="16" y="65"/>
                </a:cubicBezTo>
                <a:cubicBezTo>
                  <a:pt x="18" y="63"/>
                  <a:pt x="18" y="60"/>
                  <a:pt x="18" y="56"/>
                </a:cubicBezTo>
                <a:cubicBezTo>
                  <a:pt x="18" y="55"/>
                  <a:pt x="17" y="54"/>
                  <a:pt x="16" y="54"/>
                </a:cubicBezTo>
                <a:cubicBezTo>
                  <a:pt x="15" y="54"/>
                  <a:pt x="15" y="56"/>
                  <a:pt x="14" y="56"/>
                </a:cubicBezTo>
                <a:cubicBezTo>
                  <a:pt x="13" y="56"/>
                  <a:pt x="12" y="54"/>
                  <a:pt x="11" y="55"/>
                </a:cubicBezTo>
                <a:cubicBezTo>
                  <a:pt x="10" y="55"/>
                  <a:pt x="9" y="58"/>
                  <a:pt x="8" y="58"/>
                </a:cubicBezTo>
                <a:cubicBezTo>
                  <a:pt x="5" y="57"/>
                  <a:pt x="3" y="56"/>
                  <a:pt x="1" y="54"/>
                </a:cubicBezTo>
                <a:cubicBezTo>
                  <a:pt x="0" y="53"/>
                  <a:pt x="2" y="51"/>
                  <a:pt x="2" y="50"/>
                </a:cubicBezTo>
                <a:cubicBezTo>
                  <a:pt x="3" y="48"/>
                  <a:pt x="4" y="47"/>
                  <a:pt x="4" y="45"/>
                </a:cubicBezTo>
                <a:cubicBezTo>
                  <a:pt x="4" y="44"/>
                  <a:pt x="2" y="43"/>
                  <a:pt x="2" y="42"/>
                </a:cubicBezTo>
                <a:cubicBezTo>
                  <a:pt x="1" y="40"/>
                  <a:pt x="1" y="37"/>
                  <a:pt x="2" y="36"/>
                </a:cubicBezTo>
                <a:cubicBezTo>
                  <a:pt x="2" y="33"/>
                  <a:pt x="5" y="31"/>
                  <a:pt x="6" y="29"/>
                </a:cubicBezTo>
                <a:cubicBezTo>
                  <a:pt x="6" y="28"/>
                  <a:pt x="3" y="27"/>
                  <a:pt x="4" y="26"/>
                </a:cubicBezTo>
                <a:cubicBezTo>
                  <a:pt x="5" y="24"/>
                  <a:pt x="8" y="22"/>
                  <a:pt x="10" y="20"/>
                </a:cubicBezTo>
                <a:cubicBezTo>
                  <a:pt x="11" y="18"/>
                  <a:pt x="11" y="16"/>
                  <a:pt x="11" y="14"/>
                </a:cubicBezTo>
                <a:cubicBezTo>
                  <a:pt x="12" y="12"/>
                  <a:pt x="10" y="10"/>
                  <a:pt x="11" y="9"/>
                </a:cubicBezTo>
                <a:cubicBezTo>
                  <a:pt x="12" y="7"/>
                  <a:pt x="15" y="7"/>
                  <a:pt x="17" y="6"/>
                </a:cubicBezTo>
                <a:cubicBezTo>
                  <a:pt x="19" y="5"/>
                  <a:pt x="21" y="3"/>
                  <a:pt x="23" y="2"/>
                </a:cubicBezTo>
                <a:cubicBezTo>
                  <a:pt x="24" y="1"/>
                  <a:pt x="26" y="1"/>
                  <a:pt x="27" y="0"/>
                </a:cubicBezTo>
                <a:lnTo>
                  <a:pt x="34" y="3"/>
                </a:lnTo>
                <a:lnTo>
                  <a:pt x="37" y="6"/>
                </a:lnTo>
                <a:lnTo>
                  <a:pt x="42" y="9"/>
                </a:lnTo>
                <a:lnTo>
                  <a:pt x="45" y="13"/>
                </a:lnTo>
                <a:lnTo>
                  <a:pt x="49" y="13"/>
                </a:lnTo>
                <a:lnTo>
                  <a:pt x="53" y="15"/>
                </a:lnTo>
                <a:lnTo>
                  <a:pt x="57" y="15"/>
                </a:lnTo>
                <a:lnTo>
                  <a:pt x="58" y="13"/>
                </a:lnTo>
                <a:lnTo>
                  <a:pt x="62" y="14"/>
                </a:lnTo>
                <a:lnTo>
                  <a:pt x="70" y="20"/>
                </a:lnTo>
                <a:cubicBezTo>
                  <a:pt x="70" y="21"/>
                  <a:pt x="70" y="21"/>
                  <a:pt x="70" y="22"/>
                </a:cubicBezTo>
                <a:cubicBezTo>
                  <a:pt x="71" y="24"/>
                  <a:pt x="73" y="25"/>
                  <a:pt x="73" y="27"/>
                </a:cubicBezTo>
                <a:cubicBezTo>
                  <a:pt x="74" y="29"/>
                  <a:pt x="74" y="31"/>
                  <a:pt x="73" y="33"/>
                </a:cubicBezTo>
                <a:cubicBezTo>
                  <a:pt x="73" y="34"/>
                  <a:pt x="70" y="33"/>
                  <a:pt x="70" y="35"/>
                </a:cubicBezTo>
                <a:cubicBezTo>
                  <a:pt x="68" y="37"/>
                  <a:pt x="69" y="40"/>
                  <a:pt x="68" y="43"/>
                </a:cubicBezTo>
                <a:cubicBezTo>
                  <a:pt x="67" y="44"/>
                  <a:pt x="65" y="46"/>
                  <a:pt x="64" y="47"/>
                </a:cubicBezTo>
                <a:cubicBezTo>
                  <a:pt x="62" y="49"/>
                  <a:pt x="59" y="51"/>
                  <a:pt x="58" y="53"/>
                </a:cubicBezTo>
                <a:cubicBezTo>
                  <a:pt x="57" y="54"/>
                  <a:pt x="58" y="55"/>
                  <a:pt x="57" y="56"/>
                </a:cubicBezTo>
                <a:cubicBezTo>
                  <a:pt x="51" y="59"/>
                  <a:pt x="45" y="61"/>
                  <a:pt x="38" y="64"/>
                </a:cubicBezTo>
                <a:cubicBezTo>
                  <a:pt x="36" y="65"/>
                  <a:pt x="34" y="66"/>
                  <a:pt x="33" y="68"/>
                </a:cubicBezTo>
                <a:cubicBezTo>
                  <a:pt x="32" y="73"/>
                  <a:pt x="31" y="79"/>
                  <a:pt x="30" y="84"/>
                </a:cubicBezTo>
                <a:cubicBezTo>
                  <a:pt x="29" y="87"/>
                  <a:pt x="27" y="89"/>
                  <a:pt x="25" y="91"/>
                </a:cubicBezTo>
                <a:cubicBezTo>
                  <a:pt x="25" y="91"/>
                  <a:pt x="24" y="90"/>
                  <a:pt x="23" y="90"/>
                </a:cubicBezTo>
                <a:cubicBezTo>
                  <a:pt x="22" y="88"/>
                  <a:pt x="22" y="85"/>
                  <a:pt x="21" y="83"/>
                </a:cubicBezTo>
                <a:cubicBezTo>
                  <a:pt x="19" y="81"/>
                  <a:pt x="16" y="81"/>
                  <a:pt x="14" y="81"/>
                </a:cubicBezTo>
                <a:cubicBezTo>
                  <a:pt x="12" y="82"/>
                  <a:pt x="11" y="84"/>
                  <a:pt x="9" y="84"/>
                </a:cubicBezTo>
                <a:cubicBezTo>
                  <a:pt x="8" y="84"/>
                  <a:pt x="9" y="82"/>
                  <a:pt x="9" y="81"/>
                </a:cubicBezTo>
                <a:cubicBezTo>
                  <a:pt x="8" y="80"/>
                  <a:pt x="8" y="79"/>
                  <a:pt x="7" y="77"/>
                </a:cubicBezTo>
                <a:cubicBezTo>
                  <a:pt x="8" y="76"/>
                  <a:pt x="10" y="76"/>
                  <a:pt x="12" y="75"/>
                </a:cubicBezTo>
                <a:cubicBezTo>
                  <a:pt x="12" y="75"/>
                  <a:pt x="13" y="74"/>
                  <a:pt x="13" y="73"/>
                </a:cubicBezTo>
                <a:cubicBezTo>
                  <a:pt x="12" y="71"/>
                  <a:pt x="11" y="70"/>
                  <a:pt x="10" y="68"/>
                </a:cubicBezTo>
                <a:close/>
              </a:path>
            </a:pathLst>
          </a:custGeom>
          <a:solidFill>
            <a:schemeClr val="bg1">
              <a:lumMod val="95000"/>
            </a:schemeClr>
          </a:solidFill>
          <a:ln w="3175" cap="rnd">
            <a:solidFill>
              <a:srgbClr val="A5A5A5"/>
            </a:solidFill>
            <a:round/>
            <a:headEnd/>
            <a:tailEnd/>
          </a:ln>
        </xdr:spPr>
      </xdr:sp>
      <xdr:sp macro="" textlink="">
        <xdr:nvSpPr>
          <xdr:cNvPr id="350" name="DOM"/>
          <xdr:cNvSpPr>
            <a:spLocks noChangeAspect="1"/>
          </xdr:cNvSpPr>
        </xdr:nvSpPr>
        <xdr:spPr bwMode="auto">
          <a:xfrm>
            <a:off x="4170416" y="4704432"/>
            <a:ext cx="110345" cy="69083"/>
          </a:xfrm>
          <a:custGeom>
            <a:avLst/>
            <a:gdLst>
              <a:gd name="T0" fmla="*/ 11579 w 47"/>
              <a:gd name="T1" fmla="*/ 67922 h 30"/>
              <a:gd name="T2" fmla="*/ 19298 w 47"/>
              <a:gd name="T3" fmla="*/ 81130 h 30"/>
              <a:gd name="T4" fmla="*/ 34737 w 47"/>
              <a:gd name="T5" fmla="*/ 58489 h 30"/>
              <a:gd name="T6" fmla="*/ 55964 w 47"/>
              <a:gd name="T7" fmla="*/ 64149 h 30"/>
              <a:gd name="T8" fmla="*/ 79122 w 47"/>
              <a:gd name="T9" fmla="*/ 54715 h 30"/>
              <a:gd name="T10" fmla="*/ 117718 w 47"/>
              <a:gd name="T11" fmla="*/ 56602 h 30"/>
              <a:gd name="T12" fmla="*/ 131227 w 47"/>
              <a:gd name="T13" fmla="*/ 43395 h 30"/>
              <a:gd name="T14" fmla="*/ 109999 w 47"/>
              <a:gd name="T15" fmla="*/ 26414 h 30"/>
              <a:gd name="T16" fmla="*/ 84912 w 47"/>
              <a:gd name="T17" fmla="*/ 15094 h 30"/>
              <a:gd name="T18" fmla="*/ 67543 w 47"/>
              <a:gd name="T19" fmla="*/ 11320 h 30"/>
              <a:gd name="T20" fmla="*/ 36666 w 47"/>
              <a:gd name="T21" fmla="*/ 0 h 30"/>
              <a:gd name="T22" fmla="*/ 11579 w 47"/>
              <a:gd name="T23" fmla="*/ 1887 h 30"/>
              <a:gd name="T24" fmla="*/ 13509 w 47"/>
              <a:gd name="T25" fmla="*/ 22641 h 30"/>
              <a:gd name="T26" fmla="*/ 9649 w 47"/>
              <a:gd name="T27" fmla="*/ 30188 h 30"/>
              <a:gd name="T28" fmla="*/ 11579 w 47"/>
              <a:gd name="T29" fmla="*/ 37735 h 30"/>
              <a:gd name="T30" fmla="*/ 0 w 47"/>
              <a:gd name="T31" fmla="*/ 49055 h 30"/>
              <a:gd name="T32" fmla="*/ 13509 w 47"/>
              <a:gd name="T33" fmla="*/ 64149 h 30"/>
              <a:gd name="T34" fmla="*/ 11579 w 47"/>
              <a:gd name="T35" fmla="*/ 67922 h 3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7"/>
              <a:gd name="T55" fmla="*/ 0 h 30"/>
              <a:gd name="T56" fmla="*/ 47 w 47"/>
              <a:gd name="T57" fmla="*/ 30 h 30"/>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7" h="30">
                <a:moveTo>
                  <a:pt x="4" y="25"/>
                </a:moveTo>
                <a:cubicBezTo>
                  <a:pt x="5" y="27"/>
                  <a:pt x="6" y="30"/>
                  <a:pt x="7" y="30"/>
                </a:cubicBezTo>
                <a:cubicBezTo>
                  <a:pt x="10" y="28"/>
                  <a:pt x="9" y="23"/>
                  <a:pt x="12" y="22"/>
                </a:cubicBezTo>
                <a:cubicBezTo>
                  <a:pt x="14" y="21"/>
                  <a:pt x="17" y="23"/>
                  <a:pt x="20" y="23"/>
                </a:cubicBezTo>
                <a:cubicBezTo>
                  <a:pt x="23" y="23"/>
                  <a:pt x="25" y="20"/>
                  <a:pt x="28" y="20"/>
                </a:cubicBezTo>
                <a:cubicBezTo>
                  <a:pt x="32" y="20"/>
                  <a:pt x="37" y="22"/>
                  <a:pt x="41" y="21"/>
                </a:cubicBezTo>
                <a:cubicBezTo>
                  <a:pt x="44" y="20"/>
                  <a:pt x="47" y="18"/>
                  <a:pt x="46" y="16"/>
                </a:cubicBezTo>
                <a:cubicBezTo>
                  <a:pt x="46" y="13"/>
                  <a:pt x="42" y="11"/>
                  <a:pt x="39" y="10"/>
                </a:cubicBezTo>
                <a:cubicBezTo>
                  <a:pt x="36" y="8"/>
                  <a:pt x="33" y="8"/>
                  <a:pt x="30" y="6"/>
                </a:cubicBezTo>
                <a:cubicBezTo>
                  <a:pt x="28" y="6"/>
                  <a:pt x="26" y="4"/>
                  <a:pt x="24" y="4"/>
                </a:cubicBezTo>
                <a:cubicBezTo>
                  <a:pt x="20" y="2"/>
                  <a:pt x="16" y="1"/>
                  <a:pt x="13" y="0"/>
                </a:cubicBezTo>
                <a:cubicBezTo>
                  <a:pt x="10" y="0"/>
                  <a:pt x="7" y="1"/>
                  <a:pt x="4" y="1"/>
                </a:cubicBezTo>
                <a:cubicBezTo>
                  <a:pt x="5" y="4"/>
                  <a:pt x="6" y="6"/>
                  <a:pt x="5" y="8"/>
                </a:cubicBezTo>
                <a:cubicBezTo>
                  <a:pt x="5" y="10"/>
                  <a:pt x="4" y="10"/>
                  <a:pt x="3" y="11"/>
                </a:cubicBezTo>
                <a:cubicBezTo>
                  <a:pt x="3" y="12"/>
                  <a:pt x="4" y="13"/>
                  <a:pt x="4" y="14"/>
                </a:cubicBezTo>
                <a:cubicBezTo>
                  <a:pt x="3" y="16"/>
                  <a:pt x="0" y="17"/>
                  <a:pt x="0" y="18"/>
                </a:cubicBezTo>
                <a:cubicBezTo>
                  <a:pt x="1" y="20"/>
                  <a:pt x="4" y="21"/>
                  <a:pt x="5" y="23"/>
                </a:cubicBezTo>
                <a:cubicBezTo>
                  <a:pt x="5" y="24"/>
                  <a:pt x="4" y="25"/>
                  <a:pt x="4" y="25"/>
                </a:cubicBezTo>
                <a:close/>
              </a:path>
            </a:pathLst>
          </a:custGeom>
          <a:solidFill>
            <a:schemeClr val="bg1">
              <a:lumMod val="95000"/>
            </a:schemeClr>
          </a:solidFill>
          <a:ln w="3175" cap="rnd">
            <a:solidFill>
              <a:srgbClr val="A5A5A5"/>
            </a:solidFill>
            <a:round/>
            <a:headEnd/>
            <a:tailEnd/>
          </a:ln>
        </xdr:spPr>
      </xdr:sp>
      <xdr:sp macro="" textlink="">
        <xdr:nvSpPr>
          <xdr:cNvPr id="351" name="PAN"/>
          <xdr:cNvSpPr>
            <a:spLocks noChangeAspect="1"/>
          </xdr:cNvSpPr>
        </xdr:nvSpPr>
        <xdr:spPr bwMode="auto">
          <a:xfrm>
            <a:off x="3856548" y="5061362"/>
            <a:ext cx="154482" cy="92111"/>
          </a:xfrm>
          <a:custGeom>
            <a:avLst/>
            <a:gdLst>
              <a:gd name="T0" fmla="*/ 173763 w 70"/>
              <a:gd name="T1" fmla="*/ 91977 h 36"/>
              <a:gd name="T2" fmla="*/ 181401 w 70"/>
              <a:gd name="T3" fmla="*/ 80715 h 36"/>
              <a:gd name="T4" fmla="*/ 190949 w 70"/>
              <a:gd name="T5" fmla="*/ 80715 h 36"/>
              <a:gd name="T6" fmla="*/ 192858 w 70"/>
              <a:gd name="T7" fmla="*/ 61944 h 36"/>
              <a:gd name="T8" fmla="*/ 187130 w 70"/>
              <a:gd name="T9" fmla="*/ 50681 h 36"/>
              <a:gd name="T10" fmla="*/ 192858 w 70"/>
              <a:gd name="T11" fmla="*/ 41296 h 36"/>
              <a:gd name="T12" fmla="*/ 175673 w 70"/>
              <a:gd name="T13" fmla="*/ 22525 h 36"/>
              <a:gd name="T14" fmla="*/ 148940 w 70"/>
              <a:gd name="T15" fmla="*/ 13140 h 36"/>
              <a:gd name="T16" fmla="*/ 127936 w 70"/>
              <a:gd name="T17" fmla="*/ 1877 h 36"/>
              <a:gd name="T18" fmla="*/ 114569 w 70"/>
              <a:gd name="T19" fmla="*/ 11262 h 36"/>
              <a:gd name="T20" fmla="*/ 91655 w 70"/>
              <a:gd name="T21" fmla="*/ 16894 h 36"/>
              <a:gd name="T22" fmla="*/ 59194 w 70"/>
              <a:gd name="T23" fmla="*/ 33788 h 36"/>
              <a:gd name="T24" fmla="*/ 43918 w 70"/>
              <a:gd name="T25" fmla="*/ 28156 h 36"/>
              <a:gd name="T26" fmla="*/ 30552 w 70"/>
              <a:gd name="T27" fmla="*/ 28156 h 36"/>
              <a:gd name="T28" fmla="*/ 22914 w 70"/>
              <a:gd name="T29" fmla="*/ 11262 h 36"/>
              <a:gd name="T30" fmla="*/ 9547 w 70"/>
              <a:gd name="T31" fmla="*/ 1877 h 36"/>
              <a:gd name="T32" fmla="*/ 3819 w 70"/>
              <a:gd name="T33" fmla="*/ 20648 h 36"/>
              <a:gd name="T34" fmla="*/ 13366 w 70"/>
              <a:gd name="T35" fmla="*/ 30033 h 36"/>
              <a:gd name="T36" fmla="*/ 3819 w 70"/>
              <a:gd name="T37" fmla="*/ 39419 h 36"/>
              <a:gd name="T38" fmla="*/ 3819 w 70"/>
              <a:gd name="T39" fmla="*/ 50681 h 36"/>
              <a:gd name="T40" fmla="*/ 0 w 70"/>
              <a:gd name="T41" fmla="*/ 60067 h 36"/>
              <a:gd name="T42" fmla="*/ 24823 w 70"/>
              <a:gd name="T43" fmla="*/ 60067 h 36"/>
              <a:gd name="T44" fmla="*/ 43918 w 70"/>
              <a:gd name="T45" fmla="*/ 60067 h 36"/>
              <a:gd name="T46" fmla="*/ 49647 w 70"/>
              <a:gd name="T47" fmla="*/ 75083 h 36"/>
              <a:gd name="T48" fmla="*/ 55375 w 70"/>
              <a:gd name="T49" fmla="*/ 84469 h 36"/>
              <a:gd name="T50" fmla="*/ 64923 w 70"/>
              <a:gd name="T51" fmla="*/ 71329 h 36"/>
              <a:gd name="T52" fmla="*/ 68741 w 70"/>
              <a:gd name="T53" fmla="*/ 86346 h 36"/>
              <a:gd name="T54" fmla="*/ 80198 w 70"/>
              <a:gd name="T55" fmla="*/ 99485 h 36"/>
              <a:gd name="T56" fmla="*/ 101203 w 70"/>
              <a:gd name="T57" fmla="*/ 90100 h 36"/>
              <a:gd name="T58" fmla="*/ 93565 w 70"/>
              <a:gd name="T59" fmla="*/ 73206 h 36"/>
              <a:gd name="T60" fmla="*/ 84017 w 70"/>
              <a:gd name="T61" fmla="*/ 60067 h 36"/>
              <a:gd name="T62" fmla="*/ 95474 w 70"/>
              <a:gd name="T63" fmla="*/ 52558 h 36"/>
              <a:gd name="T64" fmla="*/ 106931 w 70"/>
              <a:gd name="T65" fmla="*/ 45050 h 36"/>
              <a:gd name="T66" fmla="*/ 106931 w 70"/>
              <a:gd name="T67" fmla="*/ 30033 h 36"/>
              <a:gd name="T68" fmla="*/ 127936 w 70"/>
              <a:gd name="T69" fmla="*/ 22525 h 36"/>
              <a:gd name="T70" fmla="*/ 148940 w 70"/>
              <a:gd name="T71" fmla="*/ 37542 h 36"/>
              <a:gd name="T72" fmla="*/ 160397 w 70"/>
              <a:gd name="T73" fmla="*/ 41296 h 36"/>
              <a:gd name="T74" fmla="*/ 164216 w 70"/>
              <a:gd name="T75" fmla="*/ 61944 h 36"/>
              <a:gd name="T76" fmla="*/ 156578 w 70"/>
              <a:gd name="T77" fmla="*/ 63821 h 36"/>
              <a:gd name="T78" fmla="*/ 162306 w 70"/>
              <a:gd name="T79" fmla="*/ 80715 h 36"/>
              <a:gd name="T80" fmla="*/ 173763 w 70"/>
              <a:gd name="T81" fmla="*/ 91977 h 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70"/>
              <a:gd name="T124" fmla="*/ 0 h 36"/>
              <a:gd name="T125" fmla="*/ 70 w 70"/>
              <a:gd name="T126" fmla="*/ 36 h 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70" h="36">
                <a:moveTo>
                  <a:pt x="63" y="33"/>
                </a:moveTo>
                <a:cubicBezTo>
                  <a:pt x="64" y="32"/>
                  <a:pt x="65" y="30"/>
                  <a:pt x="66" y="29"/>
                </a:cubicBezTo>
                <a:cubicBezTo>
                  <a:pt x="67" y="28"/>
                  <a:pt x="69" y="30"/>
                  <a:pt x="69" y="29"/>
                </a:cubicBezTo>
                <a:cubicBezTo>
                  <a:pt x="70" y="27"/>
                  <a:pt x="70" y="25"/>
                  <a:pt x="70" y="22"/>
                </a:cubicBezTo>
                <a:cubicBezTo>
                  <a:pt x="70" y="21"/>
                  <a:pt x="68" y="19"/>
                  <a:pt x="68" y="18"/>
                </a:cubicBezTo>
                <a:cubicBezTo>
                  <a:pt x="68" y="16"/>
                  <a:pt x="69" y="16"/>
                  <a:pt x="70" y="15"/>
                </a:cubicBezTo>
                <a:cubicBezTo>
                  <a:pt x="68" y="12"/>
                  <a:pt x="67" y="10"/>
                  <a:pt x="64" y="8"/>
                </a:cubicBezTo>
                <a:cubicBezTo>
                  <a:pt x="61" y="6"/>
                  <a:pt x="58" y="7"/>
                  <a:pt x="54" y="5"/>
                </a:cubicBezTo>
                <a:cubicBezTo>
                  <a:pt x="52" y="4"/>
                  <a:pt x="50" y="1"/>
                  <a:pt x="47" y="1"/>
                </a:cubicBezTo>
                <a:cubicBezTo>
                  <a:pt x="45" y="0"/>
                  <a:pt x="44" y="4"/>
                  <a:pt x="42" y="4"/>
                </a:cubicBezTo>
                <a:cubicBezTo>
                  <a:pt x="39" y="5"/>
                  <a:pt x="35" y="5"/>
                  <a:pt x="33" y="6"/>
                </a:cubicBezTo>
                <a:cubicBezTo>
                  <a:pt x="29" y="7"/>
                  <a:pt x="26" y="11"/>
                  <a:pt x="22" y="12"/>
                </a:cubicBezTo>
                <a:cubicBezTo>
                  <a:pt x="20" y="13"/>
                  <a:pt x="18" y="10"/>
                  <a:pt x="16" y="10"/>
                </a:cubicBezTo>
                <a:cubicBezTo>
                  <a:pt x="14" y="10"/>
                  <a:pt x="12" y="11"/>
                  <a:pt x="11" y="10"/>
                </a:cubicBezTo>
                <a:cubicBezTo>
                  <a:pt x="9" y="9"/>
                  <a:pt x="9" y="6"/>
                  <a:pt x="8" y="4"/>
                </a:cubicBezTo>
                <a:cubicBezTo>
                  <a:pt x="7" y="3"/>
                  <a:pt x="4" y="2"/>
                  <a:pt x="3" y="1"/>
                </a:cubicBezTo>
                <a:cubicBezTo>
                  <a:pt x="3" y="3"/>
                  <a:pt x="1" y="5"/>
                  <a:pt x="2" y="7"/>
                </a:cubicBezTo>
                <a:cubicBezTo>
                  <a:pt x="2" y="9"/>
                  <a:pt x="5" y="9"/>
                  <a:pt x="5" y="11"/>
                </a:cubicBezTo>
                <a:cubicBezTo>
                  <a:pt x="5" y="12"/>
                  <a:pt x="2" y="12"/>
                  <a:pt x="2" y="14"/>
                </a:cubicBezTo>
                <a:cubicBezTo>
                  <a:pt x="1" y="15"/>
                  <a:pt x="2" y="16"/>
                  <a:pt x="2" y="18"/>
                </a:cubicBezTo>
                <a:cubicBezTo>
                  <a:pt x="2" y="19"/>
                  <a:pt x="1" y="20"/>
                  <a:pt x="0" y="21"/>
                </a:cubicBezTo>
                <a:cubicBezTo>
                  <a:pt x="3" y="21"/>
                  <a:pt x="6" y="21"/>
                  <a:pt x="9" y="21"/>
                </a:cubicBezTo>
                <a:cubicBezTo>
                  <a:pt x="11" y="21"/>
                  <a:pt x="14" y="20"/>
                  <a:pt x="16" y="21"/>
                </a:cubicBezTo>
                <a:cubicBezTo>
                  <a:pt x="17" y="22"/>
                  <a:pt x="17" y="25"/>
                  <a:pt x="18" y="27"/>
                </a:cubicBezTo>
                <a:cubicBezTo>
                  <a:pt x="18" y="28"/>
                  <a:pt x="18" y="31"/>
                  <a:pt x="20" y="30"/>
                </a:cubicBezTo>
                <a:cubicBezTo>
                  <a:pt x="22" y="30"/>
                  <a:pt x="21" y="25"/>
                  <a:pt x="23" y="25"/>
                </a:cubicBezTo>
                <a:cubicBezTo>
                  <a:pt x="25" y="25"/>
                  <a:pt x="24" y="29"/>
                  <a:pt x="25" y="31"/>
                </a:cubicBezTo>
                <a:cubicBezTo>
                  <a:pt x="26" y="33"/>
                  <a:pt x="27" y="35"/>
                  <a:pt x="29" y="35"/>
                </a:cubicBezTo>
                <a:cubicBezTo>
                  <a:pt x="32" y="36"/>
                  <a:pt x="36" y="35"/>
                  <a:pt x="37" y="32"/>
                </a:cubicBezTo>
                <a:cubicBezTo>
                  <a:pt x="38" y="30"/>
                  <a:pt x="35" y="28"/>
                  <a:pt x="34" y="26"/>
                </a:cubicBezTo>
                <a:cubicBezTo>
                  <a:pt x="33" y="24"/>
                  <a:pt x="30" y="23"/>
                  <a:pt x="31" y="21"/>
                </a:cubicBezTo>
                <a:cubicBezTo>
                  <a:pt x="31" y="19"/>
                  <a:pt x="33" y="19"/>
                  <a:pt x="35" y="19"/>
                </a:cubicBezTo>
                <a:cubicBezTo>
                  <a:pt x="36" y="18"/>
                  <a:pt x="38" y="17"/>
                  <a:pt x="39" y="16"/>
                </a:cubicBezTo>
                <a:cubicBezTo>
                  <a:pt x="40" y="14"/>
                  <a:pt x="38" y="12"/>
                  <a:pt x="39" y="11"/>
                </a:cubicBezTo>
                <a:cubicBezTo>
                  <a:pt x="41" y="9"/>
                  <a:pt x="45" y="8"/>
                  <a:pt x="47" y="8"/>
                </a:cubicBezTo>
                <a:cubicBezTo>
                  <a:pt x="50" y="9"/>
                  <a:pt x="52" y="12"/>
                  <a:pt x="54" y="13"/>
                </a:cubicBezTo>
                <a:cubicBezTo>
                  <a:pt x="55" y="14"/>
                  <a:pt x="57" y="14"/>
                  <a:pt x="58" y="15"/>
                </a:cubicBezTo>
                <a:cubicBezTo>
                  <a:pt x="59" y="17"/>
                  <a:pt x="60" y="20"/>
                  <a:pt x="60" y="22"/>
                </a:cubicBezTo>
                <a:cubicBezTo>
                  <a:pt x="60" y="23"/>
                  <a:pt x="58" y="22"/>
                  <a:pt x="57" y="23"/>
                </a:cubicBezTo>
                <a:cubicBezTo>
                  <a:pt x="57" y="25"/>
                  <a:pt x="58" y="27"/>
                  <a:pt x="59" y="29"/>
                </a:cubicBezTo>
                <a:cubicBezTo>
                  <a:pt x="60" y="30"/>
                  <a:pt x="62" y="32"/>
                  <a:pt x="63" y="33"/>
                </a:cubicBezTo>
                <a:close/>
              </a:path>
            </a:pathLst>
          </a:custGeom>
          <a:solidFill>
            <a:schemeClr val="bg1">
              <a:lumMod val="95000"/>
            </a:schemeClr>
          </a:solidFill>
          <a:ln w="3175" cap="rnd">
            <a:solidFill>
              <a:srgbClr val="A5A5A5"/>
            </a:solidFill>
            <a:round/>
            <a:headEnd/>
            <a:tailEnd/>
          </a:ln>
        </xdr:spPr>
      </xdr:sp>
      <xdr:sp macro="" textlink="">
        <xdr:nvSpPr>
          <xdr:cNvPr id="352" name="PRI"/>
          <xdr:cNvSpPr>
            <a:spLocks noChangeAspect="1"/>
          </xdr:cNvSpPr>
        </xdr:nvSpPr>
        <xdr:spPr bwMode="auto">
          <a:xfrm>
            <a:off x="4302831" y="4750487"/>
            <a:ext cx="55173" cy="11514"/>
          </a:xfrm>
          <a:custGeom>
            <a:avLst/>
            <a:gdLst>
              <a:gd name="T0" fmla="*/ 1923 w 24"/>
              <a:gd name="T1" fmla="*/ 1922 h 9"/>
              <a:gd name="T2" fmla="*/ 0 w 24"/>
              <a:gd name="T3" fmla="*/ 11530 h 9"/>
              <a:gd name="T4" fmla="*/ 3846 w 24"/>
              <a:gd name="T5" fmla="*/ 23060 h 9"/>
              <a:gd name="T6" fmla="*/ 28841 w 24"/>
              <a:gd name="T7" fmla="*/ 23060 h 9"/>
              <a:gd name="T8" fmla="*/ 51914 w 24"/>
              <a:gd name="T9" fmla="*/ 23060 h 9"/>
              <a:gd name="T10" fmla="*/ 65374 w 24"/>
              <a:gd name="T11" fmla="*/ 9608 h 9"/>
              <a:gd name="T12" fmla="*/ 44223 w 24"/>
              <a:gd name="T13" fmla="*/ 3843 h 9"/>
              <a:gd name="T14" fmla="*/ 19228 w 24"/>
              <a:gd name="T15" fmla="*/ 1922 h 9"/>
              <a:gd name="T16" fmla="*/ 1923 w 24"/>
              <a:gd name="T17" fmla="*/ 1922 h 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4"/>
              <a:gd name="T28" fmla="*/ 0 h 9"/>
              <a:gd name="T29" fmla="*/ 24 w 24"/>
              <a:gd name="T30" fmla="*/ 9 h 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4" h="9">
                <a:moveTo>
                  <a:pt x="1" y="1"/>
                </a:moveTo>
                <a:cubicBezTo>
                  <a:pt x="0" y="1"/>
                  <a:pt x="0" y="3"/>
                  <a:pt x="0" y="4"/>
                </a:cubicBezTo>
                <a:cubicBezTo>
                  <a:pt x="0" y="6"/>
                  <a:pt x="1" y="8"/>
                  <a:pt x="2" y="8"/>
                </a:cubicBezTo>
                <a:cubicBezTo>
                  <a:pt x="5" y="9"/>
                  <a:pt x="7" y="8"/>
                  <a:pt x="10" y="8"/>
                </a:cubicBezTo>
                <a:cubicBezTo>
                  <a:pt x="13" y="8"/>
                  <a:pt x="16" y="9"/>
                  <a:pt x="18" y="8"/>
                </a:cubicBezTo>
                <a:cubicBezTo>
                  <a:pt x="20" y="7"/>
                  <a:pt x="24" y="5"/>
                  <a:pt x="23" y="3"/>
                </a:cubicBezTo>
                <a:cubicBezTo>
                  <a:pt x="22" y="1"/>
                  <a:pt x="18" y="2"/>
                  <a:pt x="16" y="2"/>
                </a:cubicBezTo>
                <a:cubicBezTo>
                  <a:pt x="13" y="1"/>
                  <a:pt x="10" y="1"/>
                  <a:pt x="7" y="1"/>
                </a:cubicBezTo>
                <a:cubicBezTo>
                  <a:pt x="5" y="0"/>
                  <a:pt x="3" y="0"/>
                  <a:pt x="1" y="1"/>
                </a:cubicBezTo>
                <a:close/>
              </a:path>
            </a:pathLst>
          </a:custGeom>
          <a:solidFill>
            <a:schemeClr val="bg1">
              <a:lumMod val="95000"/>
            </a:schemeClr>
          </a:solidFill>
          <a:ln w="3175" cap="rnd">
            <a:solidFill>
              <a:srgbClr val="A5A5A5"/>
            </a:solidFill>
            <a:round/>
            <a:headEnd/>
            <a:tailEnd/>
          </a:ln>
        </xdr:spPr>
      </xdr:sp>
      <xdr:sp macro="" textlink="">
        <xdr:nvSpPr>
          <xdr:cNvPr id="353" name="GTM"/>
          <xdr:cNvSpPr>
            <a:spLocks noChangeAspect="1"/>
          </xdr:cNvSpPr>
        </xdr:nvSpPr>
        <xdr:spPr bwMode="auto">
          <a:xfrm>
            <a:off x="3593203" y="4773515"/>
            <a:ext cx="121380" cy="149681"/>
          </a:xfrm>
          <a:custGeom>
            <a:avLst/>
            <a:gdLst>
              <a:gd name="T0" fmla="*/ 109196 w 53"/>
              <a:gd name="T1" fmla="*/ 123468 h 58"/>
              <a:gd name="T2" fmla="*/ 109196 w 53"/>
              <a:gd name="T3" fmla="*/ 106883 h 58"/>
              <a:gd name="T4" fmla="*/ 120690 w 53"/>
              <a:gd name="T5" fmla="*/ 99512 h 58"/>
              <a:gd name="T6" fmla="*/ 141763 w 53"/>
              <a:gd name="T7" fmla="*/ 84769 h 58"/>
              <a:gd name="T8" fmla="*/ 143679 w 53"/>
              <a:gd name="T9" fmla="*/ 79241 h 58"/>
              <a:gd name="T10" fmla="*/ 132184 w 53"/>
              <a:gd name="T11" fmla="*/ 71870 h 58"/>
              <a:gd name="T12" fmla="*/ 120690 w 53"/>
              <a:gd name="T13" fmla="*/ 68184 h 58"/>
              <a:gd name="T14" fmla="*/ 109196 w 53"/>
              <a:gd name="T15" fmla="*/ 68184 h 58"/>
              <a:gd name="T16" fmla="*/ 116859 w 53"/>
              <a:gd name="T17" fmla="*/ 25799 h 58"/>
              <a:gd name="T18" fmla="*/ 113027 w 53"/>
              <a:gd name="T19" fmla="*/ 0 h 58"/>
              <a:gd name="T20" fmla="*/ 47893 w 53"/>
              <a:gd name="T21" fmla="*/ 1843 h 58"/>
              <a:gd name="T22" fmla="*/ 45977 w 53"/>
              <a:gd name="T23" fmla="*/ 23957 h 58"/>
              <a:gd name="T24" fmla="*/ 32567 w 53"/>
              <a:gd name="T25" fmla="*/ 25799 h 58"/>
              <a:gd name="T26" fmla="*/ 45977 w 53"/>
              <a:gd name="T27" fmla="*/ 38699 h 58"/>
              <a:gd name="T28" fmla="*/ 57472 w 53"/>
              <a:gd name="T29" fmla="*/ 42385 h 58"/>
              <a:gd name="T30" fmla="*/ 59387 w 53"/>
              <a:gd name="T31" fmla="*/ 49756 h 58"/>
              <a:gd name="T32" fmla="*/ 61303 w 53"/>
              <a:gd name="T33" fmla="*/ 68184 h 58"/>
              <a:gd name="T34" fmla="*/ 19157 w 53"/>
              <a:gd name="T35" fmla="*/ 66341 h 58"/>
              <a:gd name="T36" fmla="*/ 1916 w 53"/>
              <a:gd name="T37" fmla="*/ 99512 h 58"/>
              <a:gd name="T38" fmla="*/ 3831 w 53"/>
              <a:gd name="T39" fmla="*/ 112411 h 58"/>
              <a:gd name="T40" fmla="*/ 0 w 53"/>
              <a:gd name="T41" fmla="*/ 123468 h 58"/>
              <a:gd name="T42" fmla="*/ 11494 w 53"/>
              <a:gd name="T43" fmla="*/ 134525 h 58"/>
              <a:gd name="T44" fmla="*/ 26820 w 53"/>
              <a:gd name="T45" fmla="*/ 141896 h 58"/>
              <a:gd name="T46" fmla="*/ 51724 w 53"/>
              <a:gd name="T47" fmla="*/ 149268 h 58"/>
              <a:gd name="T48" fmla="*/ 68966 w 53"/>
              <a:gd name="T49" fmla="*/ 151110 h 58"/>
              <a:gd name="T50" fmla="*/ 76629 w 53"/>
              <a:gd name="T51" fmla="*/ 141896 h 58"/>
              <a:gd name="T52" fmla="*/ 86207 w 53"/>
              <a:gd name="T53" fmla="*/ 141896 h 58"/>
              <a:gd name="T54" fmla="*/ 91954 w 53"/>
              <a:gd name="T55" fmla="*/ 125311 h 58"/>
              <a:gd name="T56" fmla="*/ 101533 w 53"/>
              <a:gd name="T57" fmla="*/ 123468 h 58"/>
              <a:gd name="T58" fmla="*/ 109196 w 53"/>
              <a:gd name="T59" fmla="*/ 123468 h 58"/>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3"/>
              <a:gd name="T91" fmla="*/ 0 h 58"/>
              <a:gd name="T92" fmla="*/ 53 w 53"/>
              <a:gd name="T93" fmla="*/ 58 h 58"/>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3" h="58">
                <a:moveTo>
                  <a:pt x="40" y="47"/>
                </a:moveTo>
                <a:cubicBezTo>
                  <a:pt x="40" y="45"/>
                  <a:pt x="40" y="43"/>
                  <a:pt x="40" y="41"/>
                </a:cubicBezTo>
                <a:cubicBezTo>
                  <a:pt x="41" y="40"/>
                  <a:pt x="43" y="39"/>
                  <a:pt x="45" y="38"/>
                </a:cubicBezTo>
                <a:cubicBezTo>
                  <a:pt x="47" y="36"/>
                  <a:pt x="50" y="35"/>
                  <a:pt x="52" y="33"/>
                </a:cubicBezTo>
                <a:cubicBezTo>
                  <a:pt x="53" y="33"/>
                  <a:pt x="52" y="31"/>
                  <a:pt x="53" y="30"/>
                </a:cubicBezTo>
                <a:cubicBezTo>
                  <a:pt x="51" y="30"/>
                  <a:pt x="50" y="29"/>
                  <a:pt x="49" y="28"/>
                </a:cubicBezTo>
                <a:cubicBezTo>
                  <a:pt x="47" y="28"/>
                  <a:pt x="46" y="27"/>
                  <a:pt x="45" y="26"/>
                </a:cubicBezTo>
                <a:cubicBezTo>
                  <a:pt x="43" y="26"/>
                  <a:pt x="42" y="26"/>
                  <a:pt x="40" y="26"/>
                </a:cubicBezTo>
                <a:cubicBezTo>
                  <a:pt x="41" y="21"/>
                  <a:pt x="42" y="15"/>
                  <a:pt x="43" y="10"/>
                </a:cubicBezTo>
                <a:cubicBezTo>
                  <a:pt x="42" y="6"/>
                  <a:pt x="42" y="4"/>
                  <a:pt x="42" y="0"/>
                </a:cubicBezTo>
                <a:cubicBezTo>
                  <a:pt x="34" y="1"/>
                  <a:pt x="26" y="0"/>
                  <a:pt x="18" y="1"/>
                </a:cubicBezTo>
                <a:cubicBezTo>
                  <a:pt x="18" y="4"/>
                  <a:pt x="19" y="7"/>
                  <a:pt x="17" y="9"/>
                </a:cubicBezTo>
                <a:cubicBezTo>
                  <a:pt x="16" y="11"/>
                  <a:pt x="12" y="9"/>
                  <a:pt x="12" y="10"/>
                </a:cubicBezTo>
                <a:cubicBezTo>
                  <a:pt x="12" y="12"/>
                  <a:pt x="15" y="14"/>
                  <a:pt x="17" y="15"/>
                </a:cubicBezTo>
                <a:cubicBezTo>
                  <a:pt x="18" y="16"/>
                  <a:pt x="20" y="15"/>
                  <a:pt x="21" y="16"/>
                </a:cubicBezTo>
                <a:cubicBezTo>
                  <a:pt x="22" y="17"/>
                  <a:pt x="21" y="19"/>
                  <a:pt x="22" y="19"/>
                </a:cubicBezTo>
                <a:cubicBezTo>
                  <a:pt x="24" y="21"/>
                  <a:pt x="23" y="24"/>
                  <a:pt x="23" y="26"/>
                </a:cubicBezTo>
                <a:cubicBezTo>
                  <a:pt x="18" y="26"/>
                  <a:pt x="12" y="25"/>
                  <a:pt x="7" y="25"/>
                </a:cubicBezTo>
                <a:cubicBezTo>
                  <a:pt x="5" y="30"/>
                  <a:pt x="3" y="34"/>
                  <a:pt x="1" y="38"/>
                </a:cubicBezTo>
                <a:cubicBezTo>
                  <a:pt x="1" y="40"/>
                  <a:pt x="2" y="41"/>
                  <a:pt x="2" y="43"/>
                </a:cubicBezTo>
                <a:cubicBezTo>
                  <a:pt x="1" y="44"/>
                  <a:pt x="0" y="46"/>
                  <a:pt x="0" y="47"/>
                </a:cubicBezTo>
                <a:cubicBezTo>
                  <a:pt x="1" y="48"/>
                  <a:pt x="2" y="50"/>
                  <a:pt x="4" y="51"/>
                </a:cubicBezTo>
                <a:cubicBezTo>
                  <a:pt x="6" y="53"/>
                  <a:pt x="8" y="54"/>
                  <a:pt x="10" y="55"/>
                </a:cubicBezTo>
                <a:cubicBezTo>
                  <a:pt x="13" y="56"/>
                  <a:pt x="16" y="57"/>
                  <a:pt x="19" y="57"/>
                </a:cubicBezTo>
                <a:cubicBezTo>
                  <a:pt x="21" y="58"/>
                  <a:pt x="23" y="58"/>
                  <a:pt x="25" y="58"/>
                </a:cubicBezTo>
                <a:cubicBezTo>
                  <a:pt x="27" y="57"/>
                  <a:pt x="28" y="56"/>
                  <a:pt x="29" y="55"/>
                </a:cubicBezTo>
                <a:cubicBezTo>
                  <a:pt x="30" y="55"/>
                  <a:pt x="31" y="56"/>
                  <a:pt x="32" y="55"/>
                </a:cubicBezTo>
                <a:cubicBezTo>
                  <a:pt x="33" y="53"/>
                  <a:pt x="32" y="50"/>
                  <a:pt x="34" y="48"/>
                </a:cubicBezTo>
                <a:cubicBezTo>
                  <a:pt x="34" y="47"/>
                  <a:pt x="36" y="47"/>
                  <a:pt x="38" y="47"/>
                </a:cubicBezTo>
                <a:cubicBezTo>
                  <a:pt x="38" y="47"/>
                  <a:pt x="39" y="47"/>
                  <a:pt x="40" y="47"/>
                </a:cubicBezTo>
                <a:close/>
              </a:path>
            </a:pathLst>
          </a:custGeom>
          <a:solidFill>
            <a:schemeClr val="bg1">
              <a:lumMod val="95000"/>
            </a:schemeClr>
          </a:solidFill>
          <a:ln w="3175" cap="rnd">
            <a:solidFill>
              <a:srgbClr val="A5A5A5"/>
            </a:solidFill>
            <a:round/>
            <a:headEnd/>
            <a:tailEnd/>
          </a:ln>
        </xdr:spPr>
      </xdr:sp>
      <xdr:sp macro="" textlink="">
        <xdr:nvSpPr>
          <xdr:cNvPr id="354" name="VEN"/>
          <xdr:cNvSpPr>
            <a:spLocks noChangeAspect="1"/>
          </xdr:cNvSpPr>
        </xdr:nvSpPr>
        <xdr:spPr bwMode="auto">
          <a:xfrm>
            <a:off x="4126278" y="4980765"/>
            <a:ext cx="375173" cy="391472"/>
          </a:xfrm>
          <a:custGeom>
            <a:avLst/>
            <a:gdLst>
              <a:gd name="T0" fmla="*/ 416682 w 173"/>
              <a:gd name="T1" fmla="*/ 233412 h 165"/>
              <a:gd name="T2" fmla="*/ 437708 w 173"/>
              <a:gd name="T3" fmla="*/ 205403 h 165"/>
              <a:gd name="T4" fmla="*/ 433885 w 173"/>
              <a:gd name="T5" fmla="*/ 182995 h 165"/>
              <a:gd name="T6" fmla="*/ 474024 w 173"/>
              <a:gd name="T7" fmla="*/ 149384 h 165"/>
              <a:gd name="T8" fmla="*/ 430062 w 173"/>
              <a:gd name="T9" fmla="*/ 138180 h 165"/>
              <a:gd name="T10" fmla="*/ 437708 w 173"/>
              <a:gd name="T11" fmla="*/ 110171 h 165"/>
              <a:gd name="T12" fmla="*/ 384189 w 173"/>
              <a:gd name="T13" fmla="*/ 85896 h 165"/>
              <a:gd name="T14" fmla="*/ 395657 w 173"/>
              <a:gd name="T15" fmla="*/ 56019 h 165"/>
              <a:gd name="T16" fmla="*/ 328759 w 173"/>
              <a:gd name="T17" fmla="*/ 63488 h 165"/>
              <a:gd name="T18" fmla="*/ 305822 w 173"/>
              <a:gd name="T19" fmla="*/ 76559 h 165"/>
              <a:gd name="T20" fmla="*/ 252303 w 173"/>
              <a:gd name="T21" fmla="*/ 65355 h 165"/>
              <a:gd name="T22" fmla="*/ 189227 w 173"/>
              <a:gd name="T23" fmla="*/ 69090 h 165"/>
              <a:gd name="T24" fmla="*/ 162468 w 173"/>
              <a:gd name="T25" fmla="*/ 26142 h 165"/>
              <a:gd name="T26" fmla="*/ 128063 w 173"/>
              <a:gd name="T27" fmla="*/ 9336 h 165"/>
              <a:gd name="T28" fmla="*/ 114683 w 173"/>
              <a:gd name="T29" fmla="*/ 22408 h 165"/>
              <a:gd name="T30" fmla="*/ 116595 w 173"/>
              <a:gd name="T31" fmla="*/ 29877 h 165"/>
              <a:gd name="T32" fmla="*/ 78367 w 173"/>
              <a:gd name="T33" fmla="*/ 52284 h 165"/>
              <a:gd name="T34" fmla="*/ 80278 w 173"/>
              <a:gd name="T35" fmla="*/ 93365 h 165"/>
              <a:gd name="T36" fmla="*/ 55430 w 173"/>
              <a:gd name="T37" fmla="*/ 108303 h 165"/>
              <a:gd name="T38" fmla="*/ 64987 w 173"/>
              <a:gd name="T39" fmla="*/ 65355 h 165"/>
              <a:gd name="T40" fmla="*/ 53519 w 173"/>
              <a:gd name="T41" fmla="*/ 22408 h 165"/>
              <a:gd name="T42" fmla="*/ 49696 w 173"/>
              <a:gd name="T43" fmla="*/ 18673 h 165"/>
              <a:gd name="T44" fmla="*/ 19114 w 173"/>
              <a:gd name="T45" fmla="*/ 91498 h 165"/>
              <a:gd name="T46" fmla="*/ 13380 w 173"/>
              <a:gd name="T47" fmla="*/ 119507 h 165"/>
              <a:gd name="T48" fmla="*/ 36316 w 173"/>
              <a:gd name="T49" fmla="*/ 171791 h 165"/>
              <a:gd name="T50" fmla="*/ 68810 w 173"/>
              <a:gd name="T51" fmla="*/ 192332 h 165"/>
              <a:gd name="T52" fmla="*/ 101304 w 173"/>
              <a:gd name="T53" fmla="*/ 201668 h 165"/>
              <a:gd name="T54" fmla="*/ 149088 w 173"/>
              <a:gd name="T55" fmla="*/ 227810 h 165"/>
              <a:gd name="T56" fmla="*/ 194961 w 173"/>
              <a:gd name="T57" fmla="*/ 227810 h 165"/>
              <a:gd name="T58" fmla="*/ 193050 w 173"/>
              <a:gd name="T59" fmla="*/ 267023 h 165"/>
              <a:gd name="T60" fmla="*/ 196873 w 173"/>
              <a:gd name="T61" fmla="*/ 304369 h 165"/>
              <a:gd name="T62" fmla="*/ 202607 w 173"/>
              <a:gd name="T63" fmla="*/ 337981 h 165"/>
              <a:gd name="T64" fmla="*/ 208341 w 173"/>
              <a:gd name="T65" fmla="*/ 379061 h 165"/>
              <a:gd name="T66" fmla="*/ 265683 w 173"/>
              <a:gd name="T67" fmla="*/ 438815 h 165"/>
              <a:gd name="T68" fmla="*/ 305822 w 173"/>
              <a:gd name="T69" fmla="*/ 407071 h 165"/>
              <a:gd name="T70" fmla="*/ 315379 w 173"/>
              <a:gd name="T71" fmla="*/ 392132 h 165"/>
              <a:gd name="T72" fmla="*/ 345961 w 173"/>
              <a:gd name="T73" fmla="*/ 377194 h 165"/>
              <a:gd name="T74" fmla="*/ 315379 w 173"/>
              <a:gd name="T75" fmla="*/ 365990 h 165"/>
              <a:gd name="T76" fmla="*/ 317290 w 173"/>
              <a:gd name="T77" fmla="*/ 336113 h 165"/>
              <a:gd name="T78" fmla="*/ 315379 w 173"/>
              <a:gd name="T79" fmla="*/ 309971 h 165"/>
              <a:gd name="T80" fmla="*/ 365075 w 173"/>
              <a:gd name="T81" fmla="*/ 323042 h 165"/>
              <a:gd name="T82" fmla="*/ 418594 w 173"/>
              <a:gd name="T83" fmla="*/ 298768 h 165"/>
              <a:gd name="T84" fmla="*/ 437708 w 173"/>
              <a:gd name="T85" fmla="*/ 267023 h 16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3"/>
              <a:gd name="T130" fmla="*/ 0 h 165"/>
              <a:gd name="T131" fmla="*/ 173 w 173"/>
              <a:gd name="T132" fmla="*/ 165 h 16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3" h="165">
                <a:moveTo>
                  <a:pt x="160" y="99"/>
                </a:moveTo>
                <a:cubicBezTo>
                  <a:pt x="157" y="95"/>
                  <a:pt x="153" y="92"/>
                  <a:pt x="150" y="88"/>
                </a:cubicBezTo>
                <a:cubicBezTo>
                  <a:pt x="150" y="87"/>
                  <a:pt x="152" y="87"/>
                  <a:pt x="152" y="87"/>
                </a:cubicBezTo>
                <a:cubicBezTo>
                  <a:pt x="152" y="85"/>
                  <a:pt x="152" y="83"/>
                  <a:pt x="152" y="82"/>
                </a:cubicBezTo>
                <a:cubicBezTo>
                  <a:pt x="152" y="81"/>
                  <a:pt x="153" y="80"/>
                  <a:pt x="153" y="79"/>
                </a:cubicBezTo>
                <a:cubicBezTo>
                  <a:pt x="155" y="78"/>
                  <a:pt x="158" y="78"/>
                  <a:pt x="160" y="77"/>
                </a:cubicBezTo>
                <a:cubicBezTo>
                  <a:pt x="162" y="76"/>
                  <a:pt x="165" y="76"/>
                  <a:pt x="166" y="74"/>
                </a:cubicBezTo>
                <a:cubicBezTo>
                  <a:pt x="167" y="73"/>
                  <a:pt x="163" y="73"/>
                  <a:pt x="162" y="72"/>
                </a:cubicBezTo>
                <a:cubicBezTo>
                  <a:pt x="161" y="71"/>
                  <a:pt x="159" y="70"/>
                  <a:pt x="159" y="68"/>
                </a:cubicBezTo>
                <a:cubicBezTo>
                  <a:pt x="159" y="66"/>
                  <a:pt x="162" y="64"/>
                  <a:pt x="164" y="62"/>
                </a:cubicBezTo>
                <a:cubicBezTo>
                  <a:pt x="165" y="61"/>
                  <a:pt x="167" y="59"/>
                  <a:pt x="169" y="58"/>
                </a:cubicBezTo>
                <a:cubicBezTo>
                  <a:pt x="170" y="57"/>
                  <a:pt x="172" y="57"/>
                  <a:pt x="173" y="56"/>
                </a:cubicBezTo>
                <a:cubicBezTo>
                  <a:pt x="172" y="54"/>
                  <a:pt x="171" y="54"/>
                  <a:pt x="170" y="53"/>
                </a:cubicBezTo>
                <a:cubicBezTo>
                  <a:pt x="168" y="52"/>
                  <a:pt x="166" y="51"/>
                  <a:pt x="164" y="50"/>
                </a:cubicBezTo>
                <a:cubicBezTo>
                  <a:pt x="162" y="50"/>
                  <a:pt x="160" y="52"/>
                  <a:pt x="157" y="52"/>
                </a:cubicBezTo>
                <a:cubicBezTo>
                  <a:pt x="156" y="52"/>
                  <a:pt x="160" y="51"/>
                  <a:pt x="160" y="50"/>
                </a:cubicBezTo>
                <a:cubicBezTo>
                  <a:pt x="161" y="49"/>
                  <a:pt x="159" y="48"/>
                  <a:pt x="159" y="47"/>
                </a:cubicBezTo>
                <a:cubicBezTo>
                  <a:pt x="159" y="45"/>
                  <a:pt x="161" y="43"/>
                  <a:pt x="160" y="41"/>
                </a:cubicBezTo>
                <a:cubicBezTo>
                  <a:pt x="159" y="39"/>
                  <a:pt x="156" y="38"/>
                  <a:pt x="154" y="36"/>
                </a:cubicBezTo>
                <a:cubicBezTo>
                  <a:pt x="151" y="35"/>
                  <a:pt x="149" y="33"/>
                  <a:pt x="146" y="32"/>
                </a:cubicBezTo>
                <a:cubicBezTo>
                  <a:pt x="144" y="31"/>
                  <a:pt x="141" y="33"/>
                  <a:pt x="140" y="32"/>
                </a:cubicBezTo>
                <a:cubicBezTo>
                  <a:pt x="137" y="30"/>
                  <a:pt x="134" y="27"/>
                  <a:pt x="135" y="25"/>
                </a:cubicBezTo>
                <a:cubicBezTo>
                  <a:pt x="137" y="22"/>
                  <a:pt x="141" y="25"/>
                  <a:pt x="144" y="24"/>
                </a:cubicBezTo>
                <a:cubicBezTo>
                  <a:pt x="145" y="23"/>
                  <a:pt x="145" y="21"/>
                  <a:pt x="145" y="21"/>
                </a:cubicBezTo>
                <a:cubicBezTo>
                  <a:pt x="142" y="21"/>
                  <a:pt x="139" y="22"/>
                  <a:pt x="136" y="22"/>
                </a:cubicBezTo>
                <a:cubicBezTo>
                  <a:pt x="132" y="22"/>
                  <a:pt x="129" y="22"/>
                  <a:pt x="125" y="22"/>
                </a:cubicBezTo>
                <a:cubicBezTo>
                  <a:pt x="123" y="22"/>
                  <a:pt x="120" y="21"/>
                  <a:pt x="120" y="23"/>
                </a:cubicBezTo>
                <a:cubicBezTo>
                  <a:pt x="120" y="25"/>
                  <a:pt x="127" y="24"/>
                  <a:pt x="126" y="26"/>
                </a:cubicBezTo>
                <a:cubicBezTo>
                  <a:pt x="125" y="28"/>
                  <a:pt x="121" y="25"/>
                  <a:pt x="119" y="25"/>
                </a:cubicBezTo>
                <a:cubicBezTo>
                  <a:pt x="117" y="26"/>
                  <a:pt x="114" y="27"/>
                  <a:pt x="112" y="28"/>
                </a:cubicBezTo>
                <a:cubicBezTo>
                  <a:pt x="110" y="29"/>
                  <a:pt x="108" y="32"/>
                  <a:pt x="105" y="32"/>
                </a:cubicBezTo>
                <a:cubicBezTo>
                  <a:pt x="102" y="32"/>
                  <a:pt x="99" y="30"/>
                  <a:pt x="97" y="29"/>
                </a:cubicBezTo>
                <a:cubicBezTo>
                  <a:pt x="95" y="27"/>
                  <a:pt x="94" y="25"/>
                  <a:pt x="92" y="24"/>
                </a:cubicBezTo>
                <a:cubicBezTo>
                  <a:pt x="89" y="23"/>
                  <a:pt x="86" y="23"/>
                  <a:pt x="83" y="23"/>
                </a:cubicBezTo>
                <a:cubicBezTo>
                  <a:pt x="80" y="23"/>
                  <a:pt x="78" y="25"/>
                  <a:pt x="75" y="25"/>
                </a:cubicBezTo>
                <a:cubicBezTo>
                  <a:pt x="73" y="26"/>
                  <a:pt x="71" y="26"/>
                  <a:pt x="69" y="26"/>
                </a:cubicBezTo>
                <a:cubicBezTo>
                  <a:pt x="68" y="26"/>
                  <a:pt x="67" y="25"/>
                  <a:pt x="66" y="24"/>
                </a:cubicBezTo>
                <a:cubicBezTo>
                  <a:pt x="66" y="21"/>
                  <a:pt x="68" y="18"/>
                  <a:pt x="66" y="16"/>
                </a:cubicBezTo>
                <a:cubicBezTo>
                  <a:pt x="65" y="14"/>
                  <a:pt x="62" y="12"/>
                  <a:pt x="59" y="10"/>
                </a:cubicBezTo>
                <a:cubicBezTo>
                  <a:pt x="56" y="9"/>
                  <a:pt x="53" y="11"/>
                  <a:pt x="50" y="10"/>
                </a:cubicBezTo>
                <a:cubicBezTo>
                  <a:pt x="49" y="10"/>
                  <a:pt x="49" y="9"/>
                  <a:pt x="49" y="8"/>
                </a:cubicBezTo>
                <a:cubicBezTo>
                  <a:pt x="48" y="6"/>
                  <a:pt x="48" y="5"/>
                  <a:pt x="47" y="3"/>
                </a:cubicBezTo>
                <a:cubicBezTo>
                  <a:pt x="46" y="2"/>
                  <a:pt x="45" y="0"/>
                  <a:pt x="44" y="0"/>
                </a:cubicBezTo>
                <a:cubicBezTo>
                  <a:pt x="43" y="0"/>
                  <a:pt x="41" y="1"/>
                  <a:pt x="40" y="2"/>
                </a:cubicBezTo>
                <a:cubicBezTo>
                  <a:pt x="40" y="4"/>
                  <a:pt x="41" y="7"/>
                  <a:pt x="42" y="8"/>
                </a:cubicBezTo>
                <a:cubicBezTo>
                  <a:pt x="43" y="9"/>
                  <a:pt x="46" y="8"/>
                  <a:pt x="47" y="8"/>
                </a:cubicBezTo>
                <a:cubicBezTo>
                  <a:pt x="48" y="9"/>
                  <a:pt x="49" y="10"/>
                  <a:pt x="49" y="11"/>
                </a:cubicBezTo>
                <a:cubicBezTo>
                  <a:pt x="47" y="12"/>
                  <a:pt x="45" y="10"/>
                  <a:pt x="43" y="11"/>
                </a:cubicBezTo>
                <a:cubicBezTo>
                  <a:pt x="41" y="11"/>
                  <a:pt x="40" y="13"/>
                  <a:pt x="39" y="14"/>
                </a:cubicBezTo>
                <a:cubicBezTo>
                  <a:pt x="37" y="14"/>
                  <a:pt x="35" y="14"/>
                  <a:pt x="34" y="15"/>
                </a:cubicBezTo>
                <a:cubicBezTo>
                  <a:pt x="32" y="16"/>
                  <a:pt x="30" y="17"/>
                  <a:pt x="28" y="19"/>
                </a:cubicBezTo>
                <a:cubicBezTo>
                  <a:pt x="27" y="20"/>
                  <a:pt x="26" y="21"/>
                  <a:pt x="26" y="23"/>
                </a:cubicBezTo>
                <a:cubicBezTo>
                  <a:pt x="26" y="25"/>
                  <a:pt x="26" y="27"/>
                  <a:pt x="27" y="28"/>
                </a:cubicBezTo>
                <a:cubicBezTo>
                  <a:pt x="27" y="31"/>
                  <a:pt x="28" y="33"/>
                  <a:pt x="29" y="35"/>
                </a:cubicBezTo>
                <a:cubicBezTo>
                  <a:pt x="29" y="37"/>
                  <a:pt x="30" y="39"/>
                  <a:pt x="29" y="41"/>
                </a:cubicBezTo>
                <a:cubicBezTo>
                  <a:pt x="28" y="43"/>
                  <a:pt x="25" y="46"/>
                  <a:pt x="23" y="45"/>
                </a:cubicBezTo>
                <a:cubicBezTo>
                  <a:pt x="21" y="45"/>
                  <a:pt x="21" y="42"/>
                  <a:pt x="20" y="40"/>
                </a:cubicBezTo>
                <a:cubicBezTo>
                  <a:pt x="19" y="39"/>
                  <a:pt x="17" y="38"/>
                  <a:pt x="17" y="36"/>
                </a:cubicBezTo>
                <a:cubicBezTo>
                  <a:pt x="17" y="33"/>
                  <a:pt x="18" y="31"/>
                  <a:pt x="19" y="30"/>
                </a:cubicBezTo>
                <a:cubicBezTo>
                  <a:pt x="20" y="28"/>
                  <a:pt x="22" y="26"/>
                  <a:pt x="23" y="24"/>
                </a:cubicBezTo>
                <a:cubicBezTo>
                  <a:pt x="24" y="22"/>
                  <a:pt x="24" y="20"/>
                  <a:pt x="24" y="18"/>
                </a:cubicBezTo>
                <a:cubicBezTo>
                  <a:pt x="23" y="16"/>
                  <a:pt x="21" y="14"/>
                  <a:pt x="19" y="11"/>
                </a:cubicBezTo>
                <a:cubicBezTo>
                  <a:pt x="19" y="10"/>
                  <a:pt x="19" y="9"/>
                  <a:pt x="19" y="8"/>
                </a:cubicBezTo>
                <a:cubicBezTo>
                  <a:pt x="22" y="7"/>
                  <a:pt x="25" y="8"/>
                  <a:pt x="27" y="6"/>
                </a:cubicBezTo>
                <a:cubicBezTo>
                  <a:pt x="28" y="6"/>
                  <a:pt x="28" y="4"/>
                  <a:pt x="28" y="3"/>
                </a:cubicBezTo>
                <a:cubicBezTo>
                  <a:pt x="25" y="4"/>
                  <a:pt x="21" y="4"/>
                  <a:pt x="18" y="7"/>
                </a:cubicBezTo>
                <a:cubicBezTo>
                  <a:pt x="16" y="9"/>
                  <a:pt x="16" y="12"/>
                  <a:pt x="15" y="15"/>
                </a:cubicBezTo>
                <a:cubicBezTo>
                  <a:pt x="13" y="19"/>
                  <a:pt x="9" y="21"/>
                  <a:pt x="7" y="26"/>
                </a:cubicBezTo>
                <a:cubicBezTo>
                  <a:pt x="6" y="28"/>
                  <a:pt x="8" y="32"/>
                  <a:pt x="7" y="34"/>
                </a:cubicBezTo>
                <a:cubicBezTo>
                  <a:pt x="5" y="38"/>
                  <a:pt x="1" y="40"/>
                  <a:pt x="0" y="44"/>
                </a:cubicBezTo>
                <a:cubicBezTo>
                  <a:pt x="0" y="45"/>
                  <a:pt x="1" y="46"/>
                  <a:pt x="2" y="46"/>
                </a:cubicBezTo>
                <a:cubicBezTo>
                  <a:pt x="3" y="46"/>
                  <a:pt x="4" y="44"/>
                  <a:pt x="5" y="44"/>
                </a:cubicBezTo>
                <a:cubicBezTo>
                  <a:pt x="6" y="43"/>
                  <a:pt x="8" y="44"/>
                  <a:pt x="10" y="45"/>
                </a:cubicBezTo>
                <a:cubicBezTo>
                  <a:pt x="12" y="47"/>
                  <a:pt x="12" y="50"/>
                  <a:pt x="13" y="53"/>
                </a:cubicBezTo>
                <a:cubicBezTo>
                  <a:pt x="14" y="57"/>
                  <a:pt x="12" y="60"/>
                  <a:pt x="13" y="64"/>
                </a:cubicBezTo>
                <a:cubicBezTo>
                  <a:pt x="13" y="66"/>
                  <a:pt x="14" y="68"/>
                  <a:pt x="15" y="70"/>
                </a:cubicBezTo>
                <a:cubicBezTo>
                  <a:pt x="16" y="71"/>
                  <a:pt x="16" y="73"/>
                  <a:pt x="17" y="73"/>
                </a:cubicBezTo>
                <a:cubicBezTo>
                  <a:pt x="20" y="73"/>
                  <a:pt x="23" y="72"/>
                  <a:pt x="25" y="72"/>
                </a:cubicBezTo>
                <a:cubicBezTo>
                  <a:pt x="27" y="72"/>
                  <a:pt x="29" y="73"/>
                  <a:pt x="30" y="73"/>
                </a:cubicBezTo>
                <a:cubicBezTo>
                  <a:pt x="32" y="73"/>
                  <a:pt x="33" y="71"/>
                  <a:pt x="35" y="71"/>
                </a:cubicBezTo>
                <a:cubicBezTo>
                  <a:pt x="37" y="71"/>
                  <a:pt x="36" y="74"/>
                  <a:pt x="37" y="75"/>
                </a:cubicBezTo>
                <a:cubicBezTo>
                  <a:pt x="39" y="76"/>
                  <a:pt x="41" y="74"/>
                  <a:pt x="42" y="75"/>
                </a:cubicBezTo>
                <a:cubicBezTo>
                  <a:pt x="45" y="78"/>
                  <a:pt x="47" y="83"/>
                  <a:pt x="50" y="86"/>
                </a:cubicBezTo>
                <a:cubicBezTo>
                  <a:pt x="51" y="87"/>
                  <a:pt x="52" y="85"/>
                  <a:pt x="54" y="85"/>
                </a:cubicBezTo>
                <a:cubicBezTo>
                  <a:pt x="54" y="85"/>
                  <a:pt x="55" y="86"/>
                  <a:pt x="56" y="86"/>
                </a:cubicBezTo>
                <a:cubicBezTo>
                  <a:pt x="58" y="86"/>
                  <a:pt x="59" y="86"/>
                  <a:pt x="61" y="86"/>
                </a:cubicBezTo>
                <a:cubicBezTo>
                  <a:pt x="65" y="86"/>
                  <a:pt x="68" y="85"/>
                  <a:pt x="71" y="85"/>
                </a:cubicBezTo>
                <a:cubicBezTo>
                  <a:pt x="72" y="85"/>
                  <a:pt x="74" y="85"/>
                  <a:pt x="74" y="86"/>
                </a:cubicBezTo>
                <a:cubicBezTo>
                  <a:pt x="75" y="89"/>
                  <a:pt x="75" y="93"/>
                  <a:pt x="74" y="96"/>
                </a:cubicBezTo>
                <a:cubicBezTo>
                  <a:pt x="73" y="97"/>
                  <a:pt x="70" y="97"/>
                  <a:pt x="70" y="99"/>
                </a:cubicBezTo>
                <a:cubicBezTo>
                  <a:pt x="69" y="100"/>
                  <a:pt x="71" y="101"/>
                  <a:pt x="71" y="102"/>
                </a:cubicBezTo>
                <a:cubicBezTo>
                  <a:pt x="70" y="104"/>
                  <a:pt x="68" y="106"/>
                  <a:pt x="68" y="108"/>
                </a:cubicBezTo>
                <a:cubicBezTo>
                  <a:pt x="69" y="110"/>
                  <a:pt x="72" y="111"/>
                  <a:pt x="72" y="113"/>
                </a:cubicBezTo>
                <a:cubicBezTo>
                  <a:pt x="73" y="115"/>
                  <a:pt x="72" y="117"/>
                  <a:pt x="72" y="119"/>
                </a:cubicBezTo>
                <a:cubicBezTo>
                  <a:pt x="72" y="119"/>
                  <a:pt x="74" y="119"/>
                  <a:pt x="74" y="119"/>
                </a:cubicBezTo>
                <a:cubicBezTo>
                  <a:pt x="75" y="121"/>
                  <a:pt x="75" y="124"/>
                  <a:pt x="74" y="126"/>
                </a:cubicBezTo>
                <a:cubicBezTo>
                  <a:pt x="73" y="129"/>
                  <a:pt x="69" y="130"/>
                  <a:pt x="68" y="133"/>
                </a:cubicBezTo>
                <a:cubicBezTo>
                  <a:pt x="68" y="135"/>
                  <a:pt x="72" y="135"/>
                  <a:pt x="73" y="137"/>
                </a:cubicBezTo>
                <a:cubicBezTo>
                  <a:pt x="75" y="138"/>
                  <a:pt x="75" y="140"/>
                  <a:pt x="76" y="141"/>
                </a:cubicBezTo>
                <a:cubicBezTo>
                  <a:pt x="78" y="146"/>
                  <a:pt x="79" y="150"/>
                  <a:pt x="81" y="155"/>
                </a:cubicBezTo>
                <a:cubicBezTo>
                  <a:pt x="84" y="158"/>
                  <a:pt x="86" y="162"/>
                  <a:pt x="89" y="163"/>
                </a:cubicBezTo>
                <a:cubicBezTo>
                  <a:pt x="91" y="165"/>
                  <a:pt x="94" y="164"/>
                  <a:pt x="97" y="163"/>
                </a:cubicBezTo>
                <a:cubicBezTo>
                  <a:pt x="100" y="161"/>
                  <a:pt x="103" y="158"/>
                  <a:pt x="106" y="156"/>
                </a:cubicBezTo>
                <a:cubicBezTo>
                  <a:pt x="107" y="155"/>
                  <a:pt x="108" y="155"/>
                  <a:pt x="109" y="154"/>
                </a:cubicBezTo>
                <a:cubicBezTo>
                  <a:pt x="110" y="154"/>
                  <a:pt x="111" y="152"/>
                  <a:pt x="112" y="152"/>
                </a:cubicBezTo>
                <a:cubicBezTo>
                  <a:pt x="113" y="152"/>
                  <a:pt x="113" y="154"/>
                  <a:pt x="114" y="154"/>
                </a:cubicBezTo>
                <a:cubicBezTo>
                  <a:pt x="115" y="154"/>
                  <a:pt x="115" y="153"/>
                  <a:pt x="115" y="152"/>
                </a:cubicBezTo>
                <a:cubicBezTo>
                  <a:pt x="116" y="150"/>
                  <a:pt x="114" y="148"/>
                  <a:pt x="115" y="146"/>
                </a:cubicBezTo>
                <a:cubicBezTo>
                  <a:pt x="116" y="145"/>
                  <a:pt x="119" y="146"/>
                  <a:pt x="121" y="145"/>
                </a:cubicBezTo>
                <a:cubicBezTo>
                  <a:pt x="121" y="144"/>
                  <a:pt x="120" y="143"/>
                  <a:pt x="121" y="143"/>
                </a:cubicBezTo>
                <a:cubicBezTo>
                  <a:pt x="122" y="141"/>
                  <a:pt x="125" y="141"/>
                  <a:pt x="126" y="140"/>
                </a:cubicBezTo>
                <a:cubicBezTo>
                  <a:pt x="127" y="139"/>
                  <a:pt x="127" y="138"/>
                  <a:pt x="126" y="138"/>
                </a:cubicBezTo>
                <a:cubicBezTo>
                  <a:pt x="123" y="137"/>
                  <a:pt x="120" y="138"/>
                  <a:pt x="117" y="138"/>
                </a:cubicBezTo>
                <a:cubicBezTo>
                  <a:pt x="116" y="138"/>
                  <a:pt x="115" y="137"/>
                  <a:pt x="115" y="136"/>
                </a:cubicBezTo>
                <a:cubicBezTo>
                  <a:pt x="114" y="135"/>
                  <a:pt x="115" y="133"/>
                  <a:pt x="115" y="132"/>
                </a:cubicBezTo>
                <a:cubicBezTo>
                  <a:pt x="114" y="132"/>
                  <a:pt x="113" y="131"/>
                  <a:pt x="113" y="130"/>
                </a:cubicBezTo>
                <a:cubicBezTo>
                  <a:pt x="114" y="128"/>
                  <a:pt x="116" y="127"/>
                  <a:pt x="116" y="125"/>
                </a:cubicBezTo>
                <a:cubicBezTo>
                  <a:pt x="117" y="123"/>
                  <a:pt x="117" y="121"/>
                  <a:pt x="116" y="119"/>
                </a:cubicBezTo>
                <a:cubicBezTo>
                  <a:pt x="115" y="117"/>
                  <a:pt x="112" y="118"/>
                  <a:pt x="111" y="116"/>
                </a:cubicBezTo>
                <a:cubicBezTo>
                  <a:pt x="111" y="115"/>
                  <a:pt x="113" y="115"/>
                  <a:pt x="115" y="115"/>
                </a:cubicBezTo>
                <a:cubicBezTo>
                  <a:pt x="118" y="115"/>
                  <a:pt x="120" y="118"/>
                  <a:pt x="123" y="118"/>
                </a:cubicBezTo>
                <a:cubicBezTo>
                  <a:pt x="125" y="119"/>
                  <a:pt x="126" y="118"/>
                  <a:pt x="127" y="118"/>
                </a:cubicBezTo>
                <a:cubicBezTo>
                  <a:pt x="130" y="119"/>
                  <a:pt x="132" y="120"/>
                  <a:pt x="134" y="120"/>
                </a:cubicBezTo>
                <a:cubicBezTo>
                  <a:pt x="135" y="119"/>
                  <a:pt x="134" y="117"/>
                  <a:pt x="136" y="116"/>
                </a:cubicBezTo>
                <a:cubicBezTo>
                  <a:pt x="140" y="115"/>
                  <a:pt x="145" y="116"/>
                  <a:pt x="149" y="115"/>
                </a:cubicBezTo>
                <a:cubicBezTo>
                  <a:pt x="151" y="114"/>
                  <a:pt x="151" y="112"/>
                  <a:pt x="153" y="111"/>
                </a:cubicBezTo>
                <a:cubicBezTo>
                  <a:pt x="155" y="110"/>
                  <a:pt x="157" y="111"/>
                  <a:pt x="158" y="110"/>
                </a:cubicBezTo>
                <a:cubicBezTo>
                  <a:pt x="159" y="109"/>
                  <a:pt x="160" y="107"/>
                  <a:pt x="160" y="105"/>
                </a:cubicBezTo>
                <a:cubicBezTo>
                  <a:pt x="161" y="103"/>
                  <a:pt x="160" y="100"/>
                  <a:pt x="160" y="99"/>
                </a:cubicBezTo>
                <a:close/>
              </a:path>
            </a:pathLst>
          </a:custGeom>
          <a:solidFill>
            <a:schemeClr val="bg1">
              <a:lumMod val="95000"/>
            </a:schemeClr>
          </a:solidFill>
          <a:ln w="3175" cap="rnd">
            <a:solidFill>
              <a:srgbClr val="A5A5A5"/>
            </a:solidFill>
            <a:round/>
            <a:headEnd/>
            <a:tailEnd/>
          </a:ln>
        </xdr:spPr>
      </xdr:sp>
      <xdr:sp macro="" textlink="">
        <xdr:nvSpPr>
          <xdr:cNvPr id="355" name="PER"/>
          <xdr:cNvSpPr>
            <a:spLocks noChangeAspect="1"/>
          </xdr:cNvSpPr>
        </xdr:nvSpPr>
        <xdr:spPr bwMode="auto">
          <a:xfrm>
            <a:off x="3889650" y="5395265"/>
            <a:ext cx="380077" cy="644777"/>
          </a:xfrm>
          <a:custGeom>
            <a:avLst/>
            <a:gdLst>
              <a:gd name="T0" fmla="*/ 216201 w 168"/>
              <a:gd name="T1" fmla="*/ 1876 h 269"/>
              <a:gd name="T2" fmla="*/ 241073 w 168"/>
              <a:gd name="T3" fmla="*/ 24388 h 269"/>
              <a:gd name="T4" fmla="*/ 264033 w 168"/>
              <a:gd name="T5" fmla="*/ 48775 h 269"/>
              <a:gd name="T6" fmla="*/ 285079 w 168"/>
              <a:gd name="T7" fmla="*/ 65659 h 269"/>
              <a:gd name="T8" fmla="*/ 283165 w 168"/>
              <a:gd name="T9" fmla="*/ 86295 h 269"/>
              <a:gd name="T10" fmla="*/ 317604 w 168"/>
              <a:gd name="T11" fmla="*/ 91923 h 269"/>
              <a:gd name="T12" fmla="*/ 348217 w 168"/>
              <a:gd name="T13" fmla="*/ 91923 h 269"/>
              <a:gd name="T14" fmla="*/ 384569 w 168"/>
              <a:gd name="T15" fmla="*/ 86295 h 269"/>
              <a:gd name="T16" fmla="*/ 396049 w 168"/>
              <a:gd name="T17" fmla="*/ 97551 h 269"/>
              <a:gd name="T18" fmla="*/ 390309 w 168"/>
              <a:gd name="T19" fmla="*/ 138822 h 269"/>
              <a:gd name="T20" fmla="*/ 397962 w 168"/>
              <a:gd name="T21" fmla="*/ 153830 h 269"/>
              <a:gd name="T22" fmla="*/ 386482 w 168"/>
              <a:gd name="T23" fmla="*/ 165086 h 269"/>
              <a:gd name="T24" fmla="*/ 340564 w 168"/>
              <a:gd name="T25" fmla="*/ 178218 h 269"/>
              <a:gd name="T26" fmla="*/ 302298 w 168"/>
              <a:gd name="T27" fmla="*/ 200730 h 269"/>
              <a:gd name="T28" fmla="*/ 286992 w 168"/>
              <a:gd name="T29" fmla="*/ 238249 h 269"/>
              <a:gd name="T30" fmla="*/ 264033 w 168"/>
              <a:gd name="T31" fmla="*/ 268265 h 269"/>
              <a:gd name="T32" fmla="*/ 264033 w 168"/>
              <a:gd name="T33" fmla="*/ 309536 h 269"/>
              <a:gd name="T34" fmla="*/ 302298 w 168"/>
              <a:gd name="T35" fmla="*/ 350808 h 269"/>
              <a:gd name="T36" fmla="*/ 319518 w 168"/>
              <a:gd name="T37" fmla="*/ 377071 h 269"/>
              <a:gd name="T38" fmla="*/ 353957 w 168"/>
              <a:gd name="T39" fmla="*/ 399583 h 269"/>
              <a:gd name="T40" fmla="*/ 382656 w 168"/>
              <a:gd name="T41" fmla="*/ 373320 h 269"/>
              <a:gd name="T42" fmla="*/ 409442 w 168"/>
              <a:gd name="T43" fmla="*/ 429599 h 269"/>
              <a:gd name="T44" fmla="*/ 464927 w 168"/>
              <a:gd name="T45" fmla="*/ 493382 h 269"/>
              <a:gd name="T46" fmla="*/ 447707 w 168"/>
              <a:gd name="T47" fmla="*/ 523398 h 269"/>
              <a:gd name="T48" fmla="*/ 441968 w 168"/>
              <a:gd name="T49" fmla="*/ 540282 h 269"/>
              <a:gd name="T50" fmla="*/ 436228 w 168"/>
              <a:gd name="T51" fmla="*/ 590933 h 269"/>
              <a:gd name="T52" fmla="*/ 441968 w 168"/>
              <a:gd name="T53" fmla="*/ 650964 h 269"/>
              <a:gd name="T54" fmla="*/ 424748 w 168"/>
              <a:gd name="T55" fmla="*/ 677228 h 269"/>
              <a:gd name="T56" fmla="*/ 420922 w 168"/>
              <a:gd name="T57" fmla="*/ 697864 h 269"/>
              <a:gd name="T58" fmla="*/ 399875 w 168"/>
              <a:gd name="T59" fmla="*/ 727879 h 269"/>
              <a:gd name="T60" fmla="*/ 365436 w 168"/>
              <a:gd name="T61" fmla="*/ 688484 h 269"/>
              <a:gd name="T62" fmla="*/ 302298 w 168"/>
              <a:gd name="T63" fmla="*/ 649088 h 269"/>
              <a:gd name="T64" fmla="*/ 223854 w 168"/>
              <a:gd name="T65" fmla="*/ 596561 h 269"/>
              <a:gd name="T66" fmla="*/ 191328 w 168"/>
              <a:gd name="T67" fmla="*/ 557165 h 269"/>
              <a:gd name="T68" fmla="*/ 200894 w 168"/>
              <a:gd name="T69" fmla="*/ 529026 h 269"/>
              <a:gd name="T70" fmla="*/ 139669 w 168"/>
              <a:gd name="T71" fmla="*/ 444607 h 269"/>
              <a:gd name="T72" fmla="*/ 97577 w 168"/>
              <a:gd name="T73" fmla="*/ 335800 h 269"/>
              <a:gd name="T74" fmla="*/ 70791 w 168"/>
              <a:gd name="T75" fmla="*/ 273893 h 269"/>
              <a:gd name="T76" fmla="*/ 38266 w 168"/>
              <a:gd name="T77" fmla="*/ 257009 h 269"/>
              <a:gd name="T78" fmla="*/ 11480 w 168"/>
              <a:gd name="T79" fmla="*/ 225117 h 269"/>
              <a:gd name="T80" fmla="*/ 15306 w 168"/>
              <a:gd name="T81" fmla="*/ 206358 h 269"/>
              <a:gd name="T82" fmla="*/ 11480 w 168"/>
              <a:gd name="T83" fmla="*/ 191350 h 269"/>
              <a:gd name="T84" fmla="*/ 24873 w 168"/>
              <a:gd name="T85" fmla="*/ 138822 h 269"/>
              <a:gd name="T86" fmla="*/ 45919 w 168"/>
              <a:gd name="T87" fmla="*/ 144450 h 269"/>
              <a:gd name="T88" fmla="*/ 30612 w 168"/>
              <a:gd name="T89" fmla="*/ 153830 h 269"/>
              <a:gd name="T90" fmla="*/ 36352 w 168"/>
              <a:gd name="T91" fmla="*/ 172590 h 269"/>
              <a:gd name="T92" fmla="*/ 68878 w 168"/>
              <a:gd name="T93" fmla="*/ 170714 h 269"/>
              <a:gd name="T94" fmla="*/ 80358 w 168"/>
              <a:gd name="T95" fmla="*/ 191350 h 269"/>
              <a:gd name="T96" fmla="*/ 101404 w 168"/>
              <a:gd name="T97" fmla="*/ 131318 h 269"/>
              <a:gd name="T98" fmla="*/ 168369 w 168"/>
              <a:gd name="T99" fmla="*/ 97551 h 269"/>
              <a:gd name="T100" fmla="*/ 189415 w 168"/>
              <a:gd name="T101" fmla="*/ 71287 h 269"/>
              <a:gd name="T102" fmla="*/ 204721 w 168"/>
              <a:gd name="T103" fmla="*/ 41272 h 269"/>
              <a:gd name="T104" fmla="*/ 214287 w 168"/>
              <a:gd name="T105" fmla="*/ 18760 h 269"/>
              <a:gd name="T106" fmla="*/ 204721 w 168"/>
              <a:gd name="T107" fmla="*/ 0 h 269"/>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168"/>
              <a:gd name="T163" fmla="*/ 0 h 269"/>
              <a:gd name="T164" fmla="*/ 168 w 168"/>
              <a:gd name="T165" fmla="*/ 269 h 269"/>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168" h="269">
                <a:moveTo>
                  <a:pt x="74" y="0"/>
                </a:moveTo>
                <a:cubicBezTo>
                  <a:pt x="75" y="0"/>
                  <a:pt x="77" y="0"/>
                  <a:pt x="78" y="1"/>
                </a:cubicBezTo>
                <a:cubicBezTo>
                  <a:pt x="79" y="1"/>
                  <a:pt x="80" y="2"/>
                  <a:pt x="81" y="3"/>
                </a:cubicBezTo>
                <a:cubicBezTo>
                  <a:pt x="83" y="5"/>
                  <a:pt x="85" y="7"/>
                  <a:pt x="87" y="9"/>
                </a:cubicBezTo>
                <a:cubicBezTo>
                  <a:pt x="88" y="11"/>
                  <a:pt x="87" y="14"/>
                  <a:pt x="89" y="15"/>
                </a:cubicBezTo>
                <a:cubicBezTo>
                  <a:pt x="91" y="17"/>
                  <a:pt x="94" y="17"/>
                  <a:pt x="96" y="18"/>
                </a:cubicBezTo>
                <a:cubicBezTo>
                  <a:pt x="98" y="20"/>
                  <a:pt x="99" y="23"/>
                  <a:pt x="101" y="25"/>
                </a:cubicBezTo>
                <a:cubicBezTo>
                  <a:pt x="101" y="26"/>
                  <a:pt x="102" y="23"/>
                  <a:pt x="103" y="24"/>
                </a:cubicBezTo>
                <a:cubicBezTo>
                  <a:pt x="104" y="25"/>
                  <a:pt x="104" y="26"/>
                  <a:pt x="103" y="28"/>
                </a:cubicBezTo>
                <a:cubicBezTo>
                  <a:pt x="103" y="29"/>
                  <a:pt x="101" y="30"/>
                  <a:pt x="102" y="32"/>
                </a:cubicBezTo>
                <a:cubicBezTo>
                  <a:pt x="102" y="33"/>
                  <a:pt x="105" y="33"/>
                  <a:pt x="107" y="33"/>
                </a:cubicBezTo>
                <a:cubicBezTo>
                  <a:pt x="110" y="34"/>
                  <a:pt x="112" y="34"/>
                  <a:pt x="115" y="34"/>
                </a:cubicBezTo>
                <a:cubicBezTo>
                  <a:pt x="117" y="33"/>
                  <a:pt x="119" y="31"/>
                  <a:pt x="122" y="31"/>
                </a:cubicBezTo>
                <a:cubicBezTo>
                  <a:pt x="124" y="31"/>
                  <a:pt x="125" y="34"/>
                  <a:pt x="126" y="34"/>
                </a:cubicBezTo>
                <a:cubicBezTo>
                  <a:pt x="128" y="34"/>
                  <a:pt x="130" y="32"/>
                  <a:pt x="132" y="31"/>
                </a:cubicBezTo>
                <a:cubicBezTo>
                  <a:pt x="134" y="31"/>
                  <a:pt x="137" y="31"/>
                  <a:pt x="139" y="32"/>
                </a:cubicBezTo>
                <a:cubicBezTo>
                  <a:pt x="140" y="33"/>
                  <a:pt x="138" y="35"/>
                  <a:pt x="139" y="36"/>
                </a:cubicBezTo>
                <a:cubicBezTo>
                  <a:pt x="140" y="37"/>
                  <a:pt x="143" y="35"/>
                  <a:pt x="143" y="36"/>
                </a:cubicBezTo>
                <a:cubicBezTo>
                  <a:pt x="142" y="42"/>
                  <a:pt x="138" y="46"/>
                  <a:pt x="137" y="51"/>
                </a:cubicBezTo>
                <a:cubicBezTo>
                  <a:pt x="137" y="53"/>
                  <a:pt x="140" y="51"/>
                  <a:pt x="141" y="52"/>
                </a:cubicBezTo>
                <a:cubicBezTo>
                  <a:pt x="142" y="52"/>
                  <a:pt x="140" y="53"/>
                  <a:pt x="141" y="54"/>
                </a:cubicBezTo>
                <a:cubicBezTo>
                  <a:pt x="141" y="55"/>
                  <a:pt x="143" y="56"/>
                  <a:pt x="144" y="57"/>
                </a:cubicBezTo>
                <a:cubicBezTo>
                  <a:pt x="145" y="59"/>
                  <a:pt x="145" y="60"/>
                  <a:pt x="145" y="62"/>
                </a:cubicBezTo>
                <a:cubicBezTo>
                  <a:pt x="143" y="62"/>
                  <a:pt x="142" y="61"/>
                  <a:pt x="140" y="61"/>
                </a:cubicBezTo>
                <a:cubicBezTo>
                  <a:pt x="138" y="61"/>
                  <a:pt x="135" y="63"/>
                  <a:pt x="133" y="63"/>
                </a:cubicBezTo>
                <a:cubicBezTo>
                  <a:pt x="130" y="64"/>
                  <a:pt x="127" y="66"/>
                  <a:pt x="123" y="66"/>
                </a:cubicBezTo>
                <a:cubicBezTo>
                  <a:pt x="122" y="67"/>
                  <a:pt x="120" y="66"/>
                  <a:pt x="118" y="66"/>
                </a:cubicBezTo>
                <a:cubicBezTo>
                  <a:pt x="115" y="68"/>
                  <a:pt x="111" y="70"/>
                  <a:pt x="109" y="74"/>
                </a:cubicBezTo>
                <a:cubicBezTo>
                  <a:pt x="108" y="76"/>
                  <a:pt x="110" y="78"/>
                  <a:pt x="109" y="81"/>
                </a:cubicBezTo>
                <a:cubicBezTo>
                  <a:pt x="108" y="84"/>
                  <a:pt x="104" y="85"/>
                  <a:pt x="104" y="88"/>
                </a:cubicBezTo>
                <a:cubicBezTo>
                  <a:pt x="103" y="90"/>
                  <a:pt x="107" y="91"/>
                  <a:pt x="106" y="92"/>
                </a:cubicBezTo>
                <a:cubicBezTo>
                  <a:pt x="104" y="96"/>
                  <a:pt x="98" y="96"/>
                  <a:pt x="96" y="99"/>
                </a:cubicBezTo>
                <a:cubicBezTo>
                  <a:pt x="94" y="101"/>
                  <a:pt x="96" y="104"/>
                  <a:pt x="96" y="106"/>
                </a:cubicBezTo>
                <a:cubicBezTo>
                  <a:pt x="96" y="109"/>
                  <a:pt x="96" y="112"/>
                  <a:pt x="96" y="114"/>
                </a:cubicBezTo>
                <a:cubicBezTo>
                  <a:pt x="96" y="117"/>
                  <a:pt x="95" y="121"/>
                  <a:pt x="97" y="123"/>
                </a:cubicBezTo>
                <a:cubicBezTo>
                  <a:pt x="99" y="127"/>
                  <a:pt x="106" y="127"/>
                  <a:pt x="109" y="130"/>
                </a:cubicBezTo>
                <a:cubicBezTo>
                  <a:pt x="110" y="132"/>
                  <a:pt x="106" y="135"/>
                  <a:pt x="108" y="137"/>
                </a:cubicBezTo>
                <a:cubicBezTo>
                  <a:pt x="109" y="139"/>
                  <a:pt x="114" y="137"/>
                  <a:pt x="116" y="139"/>
                </a:cubicBezTo>
                <a:cubicBezTo>
                  <a:pt x="118" y="141"/>
                  <a:pt x="117" y="145"/>
                  <a:pt x="119" y="147"/>
                </a:cubicBezTo>
                <a:cubicBezTo>
                  <a:pt x="122" y="148"/>
                  <a:pt x="126" y="148"/>
                  <a:pt x="128" y="147"/>
                </a:cubicBezTo>
                <a:cubicBezTo>
                  <a:pt x="132" y="145"/>
                  <a:pt x="133" y="141"/>
                  <a:pt x="136" y="138"/>
                </a:cubicBezTo>
                <a:cubicBezTo>
                  <a:pt x="137" y="138"/>
                  <a:pt x="138" y="138"/>
                  <a:pt x="138" y="138"/>
                </a:cubicBezTo>
                <a:cubicBezTo>
                  <a:pt x="139" y="145"/>
                  <a:pt x="137" y="153"/>
                  <a:pt x="140" y="159"/>
                </a:cubicBezTo>
                <a:cubicBezTo>
                  <a:pt x="141" y="162"/>
                  <a:pt x="145" y="159"/>
                  <a:pt x="148" y="159"/>
                </a:cubicBezTo>
                <a:cubicBezTo>
                  <a:pt x="149" y="159"/>
                  <a:pt x="151" y="158"/>
                  <a:pt x="152" y="158"/>
                </a:cubicBezTo>
                <a:cubicBezTo>
                  <a:pt x="157" y="166"/>
                  <a:pt x="162" y="174"/>
                  <a:pt x="168" y="182"/>
                </a:cubicBezTo>
                <a:cubicBezTo>
                  <a:pt x="167" y="184"/>
                  <a:pt x="166" y="186"/>
                  <a:pt x="165" y="188"/>
                </a:cubicBezTo>
                <a:cubicBezTo>
                  <a:pt x="164" y="190"/>
                  <a:pt x="163" y="191"/>
                  <a:pt x="162" y="193"/>
                </a:cubicBezTo>
                <a:cubicBezTo>
                  <a:pt x="162" y="195"/>
                  <a:pt x="163" y="197"/>
                  <a:pt x="163" y="200"/>
                </a:cubicBezTo>
                <a:cubicBezTo>
                  <a:pt x="162" y="201"/>
                  <a:pt x="160" y="199"/>
                  <a:pt x="160" y="200"/>
                </a:cubicBezTo>
                <a:cubicBezTo>
                  <a:pt x="160" y="202"/>
                  <a:pt x="163" y="205"/>
                  <a:pt x="163" y="207"/>
                </a:cubicBezTo>
                <a:cubicBezTo>
                  <a:pt x="163" y="211"/>
                  <a:pt x="158" y="214"/>
                  <a:pt x="158" y="218"/>
                </a:cubicBezTo>
                <a:cubicBezTo>
                  <a:pt x="157" y="220"/>
                  <a:pt x="160" y="222"/>
                  <a:pt x="160" y="224"/>
                </a:cubicBezTo>
                <a:cubicBezTo>
                  <a:pt x="161" y="229"/>
                  <a:pt x="161" y="235"/>
                  <a:pt x="160" y="241"/>
                </a:cubicBezTo>
                <a:cubicBezTo>
                  <a:pt x="160" y="243"/>
                  <a:pt x="159" y="246"/>
                  <a:pt x="157" y="248"/>
                </a:cubicBezTo>
                <a:cubicBezTo>
                  <a:pt x="156" y="249"/>
                  <a:pt x="154" y="250"/>
                  <a:pt x="154" y="251"/>
                </a:cubicBezTo>
                <a:cubicBezTo>
                  <a:pt x="153" y="253"/>
                  <a:pt x="156" y="256"/>
                  <a:pt x="157" y="258"/>
                </a:cubicBezTo>
                <a:cubicBezTo>
                  <a:pt x="155" y="258"/>
                  <a:pt x="153" y="257"/>
                  <a:pt x="152" y="258"/>
                </a:cubicBezTo>
                <a:cubicBezTo>
                  <a:pt x="151" y="261"/>
                  <a:pt x="154" y="264"/>
                  <a:pt x="152" y="266"/>
                </a:cubicBezTo>
                <a:cubicBezTo>
                  <a:pt x="151" y="268"/>
                  <a:pt x="148" y="268"/>
                  <a:pt x="145" y="269"/>
                </a:cubicBezTo>
                <a:cubicBezTo>
                  <a:pt x="143" y="266"/>
                  <a:pt x="140" y="264"/>
                  <a:pt x="138" y="262"/>
                </a:cubicBezTo>
                <a:cubicBezTo>
                  <a:pt x="136" y="260"/>
                  <a:pt x="134" y="257"/>
                  <a:pt x="132" y="255"/>
                </a:cubicBezTo>
                <a:cubicBezTo>
                  <a:pt x="129" y="252"/>
                  <a:pt x="127" y="249"/>
                  <a:pt x="123" y="246"/>
                </a:cubicBezTo>
                <a:cubicBezTo>
                  <a:pt x="119" y="244"/>
                  <a:pt x="114" y="242"/>
                  <a:pt x="109" y="240"/>
                </a:cubicBezTo>
                <a:cubicBezTo>
                  <a:pt x="105" y="237"/>
                  <a:pt x="100" y="233"/>
                  <a:pt x="95" y="230"/>
                </a:cubicBezTo>
                <a:cubicBezTo>
                  <a:pt x="91" y="227"/>
                  <a:pt x="86" y="225"/>
                  <a:pt x="81" y="221"/>
                </a:cubicBezTo>
                <a:cubicBezTo>
                  <a:pt x="79" y="219"/>
                  <a:pt x="76" y="216"/>
                  <a:pt x="74" y="213"/>
                </a:cubicBezTo>
                <a:cubicBezTo>
                  <a:pt x="72" y="211"/>
                  <a:pt x="70" y="209"/>
                  <a:pt x="69" y="206"/>
                </a:cubicBezTo>
                <a:cubicBezTo>
                  <a:pt x="68" y="205"/>
                  <a:pt x="68" y="203"/>
                  <a:pt x="69" y="202"/>
                </a:cubicBezTo>
                <a:cubicBezTo>
                  <a:pt x="69" y="200"/>
                  <a:pt x="72" y="198"/>
                  <a:pt x="72" y="196"/>
                </a:cubicBezTo>
                <a:cubicBezTo>
                  <a:pt x="70" y="191"/>
                  <a:pt x="66" y="188"/>
                  <a:pt x="63" y="184"/>
                </a:cubicBezTo>
                <a:cubicBezTo>
                  <a:pt x="59" y="177"/>
                  <a:pt x="55" y="171"/>
                  <a:pt x="51" y="164"/>
                </a:cubicBezTo>
                <a:cubicBezTo>
                  <a:pt x="47" y="156"/>
                  <a:pt x="43" y="147"/>
                  <a:pt x="40" y="139"/>
                </a:cubicBezTo>
                <a:cubicBezTo>
                  <a:pt x="38" y="134"/>
                  <a:pt x="37" y="128"/>
                  <a:pt x="35" y="124"/>
                </a:cubicBezTo>
                <a:cubicBezTo>
                  <a:pt x="34" y="120"/>
                  <a:pt x="31" y="117"/>
                  <a:pt x="29" y="113"/>
                </a:cubicBezTo>
                <a:cubicBezTo>
                  <a:pt x="28" y="110"/>
                  <a:pt x="28" y="105"/>
                  <a:pt x="26" y="102"/>
                </a:cubicBezTo>
                <a:cubicBezTo>
                  <a:pt x="24" y="99"/>
                  <a:pt x="22" y="97"/>
                  <a:pt x="19" y="95"/>
                </a:cubicBezTo>
                <a:cubicBezTo>
                  <a:pt x="17" y="94"/>
                  <a:pt x="15" y="95"/>
                  <a:pt x="14" y="95"/>
                </a:cubicBezTo>
                <a:cubicBezTo>
                  <a:pt x="11" y="93"/>
                  <a:pt x="7" y="91"/>
                  <a:pt x="5" y="88"/>
                </a:cubicBezTo>
                <a:cubicBezTo>
                  <a:pt x="4" y="87"/>
                  <a:pt x="4" y="85"/>
                  <a:pt x="4" y="83"/>
                </a:cubicBezTo>
                <a:cubicBezTo>
                  <a:pt x="5" y="82"/>
                  <a:pt x="7" y="82"/>
                  <a:pt x="7" y="80"/>
                </a:cubicBezTo>
                <a:cubicBezTo>
                  <a:pt x="7" y="79"/>
                  <a:pt x="7" y="78"/>
                  <a:pt x="6" y="77"/>
                </a:cubicBezTo>
                <a:cubicBezTo>
                  <a:pt x="5" y="76"/>
                  <a:pt x="3" y="76"/>
                  <a:pt x="3" y="75"/>
                </a:cubicBezTo>
                <a:cubicBezTo>
                  <a:pt x="3" y="74"/>
                  <a:pt x="4" y="72"/>
                  <a:pt x="4" y="71"/>
                </a:cubicBezTo>
                <a:cubicBezTo>
                  <a:pt x="3" y="68"/>
                  <a:pt x="0" y="65"/>
                  <a:pt x="1" y="62"/>
                </a:cubicBezTo>
                <a:cubicBezTo>
                  <a:pt x="2" y="58"/>
                  <a:pt x="6" y="55"/>
                  <a:pt x="9" y="52"/>
                </a:cubicBezTo>
                <a:cubicBezTo>
                  <a:pt x="10" y="50"/>
                  <a:pt x="12" y="49"/>
                  <a:pt x="14" y="48"/>
                </a:cubicBezTo>
                <a:cubicBezTo>
                  <a:pt x="15" y="50"/>
                  <a:pt x="16" y="51"/>
                  <a:pt x="17" y="53"/>
                </a:cubicBezTo>
                <a:cubicBezTo>
                  <a:pt x="17" y="54"/>
                  <a:pt x="16" y="55"/>
                  <a:pt x="16" y="55"/>
                </a:cubicBezTo>
                <a:cubicBezTo>
                  <a:pt x="14" y="56"/>
                  <a:pt x="12" y="56"/>
                  <a:pt x="11" y="57"/>
                </a:cubicBezTo>
                <a:cubicBezTo>
                  <a:pt x="12" y="59"/>
                  <a:pt x="12" y="60"/>
                  <a:pt x="13" y="61"/>
                </a:cubicBezTo>
                <a:cubicBezTo>
                  <a:pt x="13" y="62"/>
                  <a:pt x="12" y="64"/>
                  <a:pt x="13" y="64"/>
                </a:cubicBezTo>
                <a:cubicBezTo>
                  <a:pt x="15" y="64"/>
                  <a:pt x="16" y="62"/>
                  <a:pt x="18" y="61"/>
                </a:cubicBezTo>
                <a:cubicBezTo>
                  <a:pt x="20" y="61"/>
                  <a:pt x="23" y="61"/>
                  <a:pt x="25" y="63"/>
                </a:cubicBezTo>
                <a:cubicBezTo>
                  <a:pt x="26" y="65"/>
                  <a:pt x="26" y="68"/>
                  <a:pt x="27" y="70"/>
                </a:cubicBezTo>
                <a:cubicBezTo>
                  <a:pt x="28" y="70"/>
                  <a:pt x="29" y="71"/>
                  <a:pt x="29" y="71"/>
                </a:cubicBezTo>
                <a:cubicBezTo>
                  <a:pt x="31" y="69"/>
                  <a:pt x="33" y="67"/>
                  <a:pt x="34" y="64"/>
                </a:cubicBezTo>
                <a:cubicBezTo>
                  <a:pt x="35" y="59"/>
                  <a:pt x="36" y="53"/>
                  <a:pt x="37" y="48"/>
                </a:cubicBezTo>
                <a:cubicBezTo>
                  <a:pt x="38" y="46"/>
                  <a:pt x="40" y="45"/>
                  <a:pt x="42" y="44"/>
                </a:cubicBezTo>
                <a:cubicBezTo>
                  <a:pt x="49" y="41"/>
                  <a:pt x="55" y="39"/>
                  <a:pt x="61" y="36"/>
                </a:cubicBezTo>
                <a:cubicBezTo>
                  <a:pt x="62" y="35"/>
                  <a:pt x="61" y="34"/>
                  <a:pt x="62" y="33"/>
                </a:cubicBezTo>
                <a:cubicBezTo>
                  <a:pt x="63" y="31"/>
                  <a:pt x="66" y="29"/>
                  <a:pt x="68" y="27"/>
                </a:cubicBezTo>
                <a:cubicBezTo>
                  <a:pt x="69" y="26"/>
                  <a:pt x="71" y="24"/>
                  <a:pt x="72" y="23"/>
                </a:cubicBezTo>
                <a:cubicBezTo>
                  <a:pt x="73" y="20"/>
                  <a:pt x="72" y="17"/>
                  <a:pt x="74" y="15"/>
                </a:cubicBezTo>
                <a:cubicBezTo>
                  <a:pt x="74" y="13"/>
                  <a:pt x="77" y="14"/>
                  <a:pt x="77" y="13"/>
                </a:cubicBezTo>
                <a:cubicBezTo>
                  <a:pt x="78" y="11"/>
                  <a:pt x="78" y="9"/>
                  <a:pt x="77" y="7"/>
                </a:cubicBezTo>
                <a:cubicBezTo>
                  <a:pt x="77" y="5"/>
                  <a:pt x="75" y="4"/>
                  <a:pt x="74" y="2"/>
                </a:cubicBezTo>
                <a:cubicBezTo>
                  <a:pt x="74" y="1"/>
                  <a:pt x="74" y="1"/>
                  <a:pt x="74" y="0"/>
                </a:cubicBezTo>
                <a:close/>
              </a:path>
            </a:pathLst>
          </a:custGeom>
          <a:solidFill>
            <a:schemeClr val="bg1">
              <a:lumMod val="95000"/>
            </a:schemeClr>
          </a:solidFill>
          <a:ln w="3175" cap="rnd">
            <a:solidFill>
              <a:srgbClr val="A5A5A5"/>
            </a:solidFill>
            <a:round/>
            <a:headEnd/>
            <a:tailEnd/>
          </a:ln>
        </xdr:spPr>
      </xdr:sp>
      <xdr:sp macro="" textlink="">
        <xdr:nvSpPr>
          <xdr:cNvPr id="356" name="CHL"/>
          <xdr:cNvSpPr>
            <a:spLocks noChangeAspect="1"/>
          </xdr:cNvSpPr>
        </xdr:nvSpPr>
        <xdr:spPr bwMode="auto">
          <a:xfrm>
            <a:off x="4170416" y="6005501"/>
            <a:ext cx="154482" cy="1231986"/>
          </a:xfrm>
          <a:custGeom>
            <a:avLst/>
            <a:gdLst>
              <a:gd name="T0" fmla="*/ 165021 w 68"/>
              <a:gd name="T1" fmla="*/ 205479 h 547"/>
              <a:gd name="T2" fmla="*/ 141995 w 68"/>
              <a:gd name="T3" fmla="*/ 134495 h 547"/>
              <a:gd name="T4" fmla="*/ 124725 w 68"/>
              <a:gd name="T5" fmla="*/ 112079 h 547"/>
              <a:gd name="T6" fmla="*/ 124725 w 68"/>
              <a:gd name="T7" fmla="*/ 82192 h 547"/>
              <a:gd name="T8" fmla="*/ 109375 w 68"/>
              <a:gd name="T9" fmla="*/ 14944 h 547"/>
              <a:gd name="T10" fmla="*/ 80592 w 68"/>
              <a:gd name="T11" fmla="*/ 24284 h 547"/>
              <a:gd name="T12" fmla="*/ 78673 w 68"/>
              <a:gd name="T13" fmla="*/ 97135 h 547"/>
              <a:gd name="T14" fmla="*/ 78673 w 68"/>
              <a:gd name="T15" fmla="*/ 216687 h 547"/>
              <a:gd name="T16" fmla="*/ 78673 w 68"/>
              <a:gd name="T17" fmla="*/ 298878 h 547"/>
              <a:gd name="T18" fmla="*/ 76754 w 68"/>
              <a:gd name="T19" fmla="*/ 369862 h 547"/>
              <a:gd name="T20" fmla="*/ 65241 w 68"/>
              <a:gd name="T21" fmla="*/ 498753 h 547"/>
              <a:gd name="T22" fmla="*/ 69079 w 68"/>
              <a:gd name="T23" fmla="*/ 610832 h 547"/>
              <a:gd name="T24" fmla="*/ 63322 w 68"/>
              <a:gd name="T25" fmla="*/ 683684 h 547"/>
              <a:gd name="T26" fmla="*/ 30702 w 68"/>
              <a:gd name="T27" fmla="*/ 793895 h 547"/>
              <a:gd name="T28" fmla="*/ 26864 w 68"/>
              <a:gd name="T29" fmla="*/ 864879 h 547"/>
              <a:gd name="T30" fmla="*/ 26864 w 68"/>
              <a:gd name="T31" fmla="*/ 978826 h 547"/>
              <a:gd name="T32" fmla="*/ 63322 w 68"/>
              <a:gd name="T33" fmla="*/ 969486 h 547"/>
              <a:gd name="T34" fmla="*/ 78673 w 68"/>
              <a:gd name="T35" fmla="*/ 1001242 h 547"/>
              <a:gd name="T36" fmla="*/ 82511 w 68"/>
              <a:gd name="T37" fmla="*/ 1025526 h 547"/>
              <a:gd name="T38" fmla="*/ 78673 w 68"/>
              <a:gd name="T39" fmla="*/ 1100246 h 547"/>
              <a:gd name="T40" fmla="*/ 86348 w 68"/>
              <a:gd name="T41" fmla="*/ 1145077 h 547"/>
              <a:gd name="T42" fmla="*/ 65241 w 68"/>
              <a:gd name="T43" fmla="*/ 1216061 h 547"/>
              <a:gd name="T44" fmla="*/ 23026 w 68"/>
              <a:gd name="T45" fmla="*/ 1184305 h 547"/>
              <a:gd name="T46" fmla="*/ 11513 w 68"/>
              <a:gd name="T47" fmla="*/ 1214193 h 547"/>
              <a:gd name="T48" fmla="*/ 63322 w 68"/>
              <a:gd name="T49" fmla="*/ 1227269 h 547"/>
              <a:gd name="T50" fmla="*/ 40296 w 68"/>
              <a:gd name="T51" fmla="*/ 1259025 h 547"/>
              <a:gd name="T52" fmla="*/ 82511 w 68"/>
              <a:gd name="T53" fmla="*/ 1285176 h 547"/>
              <a:gd name="T54" fmla="*/ 51809 w 68"/>
              <a:gd name="T55" fmla="*/ 1294516 h 547"/>
              <a:gd name="T56" fmla="*/ 67160 w 68"/>
              <a:gd name="T57" fmla="*/ 1348688 h 547"/>
              <a:gd name="T58" fmla="*/ 69079 w 68"/>
              <a:gd name="T59" fmla="*/ 1363632 h 547"/>
              <a:gd name="T60" fmla="*/ 78673 w 68"/>
              <a:gd name="T61" fmla="*/ 1404728 h 547"/>
              <a:gd name="T62" fmla="*/ 94024 w 68"/>
              <a:gd name="T63" fmla="*/ 1430879 h 547"/>
              <a:gd name="T64" fmla="*/ 122807 w 68"/>
              <a:gd name="T65" fmla="*/ 1457031 h 547"/>
              <a:gd name="T66" fmla="*/ 134320 w 68"/>
              <a:gd name="T67" fmla="*/ 1442087 h 547"/>
              <a:gd name="T68" fmla="*/ 134320 w 68"/>
              <a:gd name="T69" fmla="*/ 1406596 h 547"/>
              <a:gd name="T70" fmla="*/ 92105 w 68"/>
              <a:gd name="T71" fmla="*/ 1348688 h 547"/>
              <a:gd name="T72" fmla="*/ 126644 w 68"/>
              <a:gd name="T73" fmla="*/ 1283308 h 547"/>
              <a:gd name="T74" fmla="*/ 124725 w 68"/>
              <a:gd name="T75" fmla="*/ 1227269 h 547"/>
              <a:gd name="T76" fmla="*/ 120888 w 68"/>
              <a:gd name="T77" fmla="*/ 1173097 h 547"/>
              <a:gd name="T78" fmla="*/ 122807 w 68"/>
              <a:gd name="T79" fmla="*/ 1133869 h 547"/>
              <a:gd name="T80" fmla="*/ 136239 w 68"/>
              <a:gd name="T81" fmla="*/ 1122661 h 547"/>
              <a:gd name="T82" fmla="*/ 109375 w 68"/>
              <a:gd name="T83" fmla="*/ 1068490 h 547"/>
              <a:gd name="T84" fmla="*/ 97861 w 68"/>
              <a:gd name="T85" fmla="*/ 1023658 h 547"/>
              <a:gd name="T86" fmla="*/ 94024 w 68"/>
              <a:gd name="T87" fmla="*/ 941466 h 547"/>
              <a:gd name="T88" fmla="*/ 94024 w 68"/>
              <a:gd name="T89" fmla="*/ 876087 h 547"/>
              <a:gd name="T90" fmla="*/ 94024 w 68"/>
              <a:gd name="T91" fmla="*/ 771479 h 547"/>
              <a:gd name="T92" fmla="*/ 113212 w 68"/>
              <a:gd name="T93" fmla="*/ 719176 h 547"/>
              <a:gd name="T94" fmla="*/ 117050 w 68"/>
              <a:gd name="T95" fmla="*/ 636984 h 547"/>
              <a:gd name="T96" fmla="*/ 109375 w 68"/>
              <a:gd name="T97" fmla="*/ 582813 h 547"/>
              <a:gd name="T98" fmla="*/ 117050 w 68"/>
              <a:gd name="T99" fmla="*/ 504357 h 547"/>
              <a:gd name="T100" fmla="*/ 113212 w 68"/>
              <a:gd name="T101" fmla="*/ 440845 h 547"/>
              <a:gd name="T102" fmla="*/ 161184 w 68"/>
              <a:gd name="T103" fmla="*/ 382938 h 547"/>
              <a:gd name="T104" fmla="*/ 145833 w 68"/>
              <a:gd name="T105" fmla="*/ 319426 h 547"/>
              <a:gd name="T106" fmla="*/ 138157 w 68"/>
              <a:gd name="T107" fmla="*/ 287670 h 547"/>
              <a:gd name="T108" fmla="*/ 189966 w 68"/>
              <a:gd name="T109" fmla="*/ 227895 h 547"/>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68"/>
              <a:gd name="T166" fmla="*/ 0 h 547"/>
              <a:gd name="T167" fmla="*/ 68 w 68"/>
              <a:gd name="T168" fmla="*/ 547 h 547"/>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68" h="547">
                <a:moveTo>
                  <a:pt x="66" y="78"/>
                </a:moveTo>
                <a:cubicBezTo>
                  <a:pt x="65" y="78"/>
                  <a:pt x="64" y="79"/>
                  <a:pt x="62" y="78"/>
                </a:cubicBezTo>
                <a:cubicBezTo>
                  <a:pt x="61" y="78"/>
                  <a:pt x="60" y="78"/>
                  <a:pt x="59" y="77"/>
                </a:cubicBezTo>
                <a:cubicBezTo>
                  <a:pt x="58" y="75"/>
                  <a:pt x="59" y="73"/>
                  <a:pt x="58" y="72"/>
                </a:cubicBezTo>
                <a:cubicBezTo>
                  <a:pt x="57" y="67"/>
                  <a:pt x="55" y="62"/>
                  <a:pt x="53" y="57"/>
                </a:cubicBezTo>
                <a:cubicBezTo>
                  <a:pt x="52" y="55"/>
                  <a:pt x="52" y="52"/>
                  <a:pt x="51" y="50"/>
                </a:cubicBezTo>
                <a:cubicBezTo>
                  <a:pt x="50" y="49"/>
                  <a:pt x="48" y="50"/>
                  <a:pt x="48" y="49"/>
                </a:cubicBezTo>
                <a:cubicBezTo>
                  <a:pt x="47" y="48"/>
                  <a:pt x="48" y="46"/>
                  <a:pt x="48" y="45"/>
                </a:cubicBezTo>
                <a:cubicBezTo>
                  <a:pt x="48" y="43"/>
                  <a:pt x="46" y="43"/>
                  <a:pt x="45" y="42"/>
                </a:cubicBezTo>
                <a:cubicBezTo>
                  <a:pt x="45" y="40"/>
                  <a:pt x="45" y="38"/>
                  <a:pt x="45" y="36"/>
                </a:cubicBezTo>
                <a:cubicBezTo>
                  <a:pt x="45" y="35"/>
                  <a:pt x="46" y="34"/>
                  <a:pt x="46" y="34"/>
                </a:cubicBezTo>
                <a:cubicBezTo>
                  <a:pt x="47" y="33"/>
                  <a:pt x="45" y="32"/>
                  <a:pt x="45" y="31"/>
                </a:cubicBezTo>
                <a:cubicBezTo>
                  <a:pt x="45" y="29"/>
                  <a:pt x="47" y="28"/>
                  <a:pt x="47" y="26"/>
                </a:cubicBezTo>
                <a:cubicBezTo>
                  <a:pt x="46" y="24"/>
                  <a:pt x="43" y="22"/>
                  <a:pt x="42" y="20"/>
                </a:cubicBezTo>
                <a:cubicBezTo>
                  <a:pt x="40" y="15"/>
                  <a:pt x="41" y="11"/>
                  <a:pt x="39" y="6"/>
                </a:cubicBezTo>
                <a:cubicBezTo>
                  <a:pt x="38" y="4"/>
                  <a:pt x="35" y="3"/>
                  <a:pt x="34" y="1"/>
                </a:cubicBezTo>
                <a:cubicBezTo>
                  <a:pt x="32" y="1"/>
                  <a:pt x="30" y="0"/>
                  <a:pt x="29" y="1"/>
                </a:cubicBezTo>
                <a:cubicBezTo>
                  <a:pt x="28" y="4"/>
                  <a:pt x="31" y="7"/>
                  <a:pt x="29" y="9"/>
                </a:cubicBezTo>
                <a:cubicBezTo>
                  <a:pt x="28" y="11"/>
                  <a:pt x="25" y="11"/>
                  <a:pt x="22" y="12"/>
                </a:cubicBezTo>
                <a:cubicBezTo>
                  <a:pt x="23" y="15"/>
                  <a:pt x="24" y="18"/>
                  <a:pt x="24" y="21"/>
                </a:cubicBezTo>
                <a:cubicBezTo>
                  <a:pt x="25" y="26"/>
                  <a:pt x="27" y="31"/>
                  <a:pt x="28" y="36"/>
                </a:cubicBezTo>
                <a:cubicBezTo>
                  <a:pt x="28" y="39"/>
                  <a:pt x="27" y="43"/>
                  <a:pt x="27" y="47"/>
                </a:cubicBezTo>
                <a:cubicBezTo>
                  <a:pt x="27" y="51"/>
                  <a:pt x="29" y="54"/>
                  <a:pt x="29" y="58"/>
                </a:cubicBezTo>
                <a:cubicBezTo>
                  <a:pt x="30" y="66"/>
                  <a:pt x="29" y="73"/>
                  <a:pt x="28" y="81"/>
                </a:cubicBezTo>
                <a:cubicBezTo>
                  <a:pt x="27" y="83"/>
                  <a:pt x="26" y="86"/>
                  <a:pt x="26" y="88"/>
                </a:cubicBezTo>
                <a:cubicBezTo>
                  <a:pt x="26" y="90"/>
                  <a:pt x="27" y="91"/>
                  <a:pt x="27" y="93"/>
                </a:cubicBezTo>
                <a:cubicBezTo>
                  <a:pt x="28" y="99"/>
                  <a:pt x="27" y="105"/>
                  <a:pt x="28" y="111"/>
                </a:cubicBezTo>
                <a:cubicBezTo>
                  <a:pt x="28" y="113"/>
                  <a:pt x="30" y="114"/>
                  <a:pt x="29" y="116"/>
                </a:cubicBezTo>
                <a:cubicBezTo>
                  <a:pt x="29" y="118"/>
                  <a:pt x="27" y="120"/>
                  <a:pt x="26" y="122"/>
                </a:cubicBezTo>
                <a:cubicBezTo>
                  <a:pt x="26" y="127"/>
                  <a:pt x="27" y="133"/>
                  <a:pt x="27" y="138"/>
                </a:cubicBezTo>
                <a:cubicBezTo>
                  <a:pt x="27" y="142"/>
                  <a:pt x="26" y="147"/>
                  <a:pt x="25" y="151"/>
                </a:cubicBezTo>
                <a:cubicBezTo>
                  <a:pt x="24" y="158"/>
                  <a:pt x="21" y="164"/>
                  <a:pt x="21" y="171"/>
                </a:cubicBezTo>
                <a:cubicBezTo>
                  <a:pt x="20" y="176"/>
                  <a:pt x="24" y="181"/>
                  <a:pt x="23" y="186"/>
                </a:cubicBezTo>
                <a:cubicBezTo>
                  <a:pt x="23" y="189"/>
                  <a:pt x="18" y="191"/>
                  <a:pt x="18" y="195"/>
                </a:cubicBezTo>
                <a:cubicBezTo>
                  <a:pt x="18" y="200"/>
                  <a:pt x="21" y="205"/>
                  <a:pt x="22" y="211"/>
                </a:cubicBezTo>
                <a:cubicBezTo>
                  <a:pt x="23" y="216"/>
                  <a:pt x="25" y="222"/>
                  <a:pt x="25" y="228"/>
                </a:cubicBezTo>
                <a:cubicBezTo>
                  <a:pt x="25" y="231"/>
                  <a:pt x="22" y="233"/>
                  <a:pt x="22" y="236"/>
                </a:cubicBezTo>
                <a:cubicBezTo>
                  <a:pt x="22" y="239"/>
                  <a:pt x="23" y="242"/>
                  <a:pt x="23" y="246"/>
                </a:cubicBezTo>
                <a:cubicBezTo>
                  <a:pt x="23" y="249"/>
                  <a:pt x="23" y="251"/>
                  <a:pt x="22" y="254"/>
                </a:cubicBezTo>
                <a:cubicBezTo>
                  <a:pt x="21" y="257"/>
                  <a:pt x="18" y="260"/>
                  <a:pt x="18" y="263"/>
                </a:cubicBezTo>
                <a:cubicBezTo>
                  <a:pt x="16" y="272"/>
                  <a:pt x="17" y="280"/>
                  <a:pt x="15" y="289"/>
                </a:cubicBezTo>
                <a:cubicBezTo>
                  <a:pt x="15" y="291"/>
                  <a:pt x="12" y="293"/>
                  <a:pt x="11" y="295"/>
                </a:cubicBezTo>
                <a:cubicBezTo>
                  <a:pt x="9" y="299"/>
                  <a:pt x="7" y="302"/>
                  <a:pt x="7" y="305"/>
                </a:cubicBezTo>
                <a:cubicBezTo>
                  <a:pt x="7" y="308"/>
                  <a:pt x="10" y="311"/>
                  <a:pt x="11" y="314"/>
                </a:cubicBezTo>
                <a:cubicBezTo>
                  <a:pt x="11" y="316"/>
                  <a:pt x="10" y="319"/>
                  <a:pt x="10" y="322"/>
                </a:cubicBezTo>
                <a:cubicBezTo>
                  <a:pt x="10" y="326"/>
                  <a:pt x="13" y="329"/>
                  <a:pt x="13" y="333"/>
                </a:cubicBezTo>
                <a:cubicBezTo>
                  <a:pt x="13" y="337"/>
                  <a:pt x="10" y="341"/>
                  <a:pt x="10" y="346"/>
                </a:cubicBezTo>
                <a:cubicBezTo>
                  <a:pt x="9" y="352"/>
                  <a:pt x="9" y="358"/>
                  <a:pt x="10" y="364"/>
                </a:cubicBezTo>
                <a:cubicBezTo>
                  <a:pt x="11" y="367"/>
                  <a:pt x="12" y="371"/>
                  <a:pt x="15" y="373"/>
                </a:cubicBezTo>
                <a:cubicBezTo>
                  <a:pt x="17" y="374"/>
                  <a:pt x="20" y="375"/>
                  <a:pt x="21" y="373"/>
                </a:cubicBezTo>
                <a:cubicBezTo>
                  <a:pt x="23" y="370"/>
                  <a:pt x="21" y="365"/>
                  <a:pt x="22" y="361"/>
                </a:cubicBezTo>
                <a:cubicBezTo>
                  <a:pt x="22" y="360"/>
                  <a:pt x="24" y="360"/>
                  <a:pt x="24" y="361"/>
                </a:cubicBezTo>
                <a:cubicBezTo>
                  <a:pt x="25" y="363"/>
                  <a:pt x="24" y="366"/>
                  <a:pt x="25" y="368"/>
                </a:cubicBezTo>
                <a:cubicBezTo>
                  <a:pt x="25" y="369"/>
                  <a:pt x="27" y="371"/>
                  <a:pt x="28" y="373"/>
                </a:cubicBezTo>
                <a:cubicBezTo>
                  <a:pt x="27" y="374"/>
                  <a:pt x="25" y="376"/>
                  <a:pt x="26" y="377"/>
                </a:cubicBezTo>
                <a:cubicBezTo>
                  <a:pt x="26" y="378"/>
                  <a:pt x="28" y="376"/>
                  <a:pt x="29" y="378"/>
                </a:cubicBezTo>
                <a:cubicBezTo>
                  <a:pt x="30" y="380"/>
                  <a:pt x="30" y="380"/>
                  <a:pt x="30" y="382"/>
                </a:cubicBezTo>
                <a:cubicBezTo>
                  <a:pt x="26" y="383"/>
                  <a:pt x="29" y="391"/>
                  <a:pt x="28" y="394"/>
                </a:cubicBezTo>
                <a:cubicBezTo>
                  <a:pt x="27" y="396"/>
                  <a:pt x="26" y="398"/>
                  <a:pt x="26" y="401"/>
                </a:cubicBezTo>
                <a:cubicBezTo>
                  <a:pt x="26" y="404"/>
                  <a:pt x="28" y="406"/>
                  <a:pt x="28" y="409"/>
                </a:cubicBezTo>
                <a:cubicBezTo>
                  <a:pt x="28" y="411"/>
                  <a:pt x="25" y="413"/>
                  <a:pt x="26" y="415"/>
                </a:cubicBezTo>
                <a:cubicBezTo>
                  <a:pt x="27" y="417"/>
                  <a:pt x="32" y="416"/>
                  <a:pt x="32" y="417"/>
                </a:cubicBezTo>
                <a:cubicBezTo>
                  <a:pt x="34" y="420"/>
                  <a:pt x="33" y="424"/>
                  <a:pt x="31" y="426"/>
                </a:cubicBezTo>
                <a:cubicBezTo>
                  <a:pt x="30" y="428"/>
                  <a:pt x="26" y="426"/>
                  <a:pt x="25" y="428"/>
                </a:cubicBezTo>
                <a:cubicBezTo>
                  <a:pt x="25" y="431"/>
                  <a:pt x="29" y="432"/>
                  <a:pt x="28" y="434"/>
                </a:cubicBezTo>
                <a:cubicBezTo>
                  <a:pt x="28" y="441"/>
                  <a:pt x="25" y="447"/>
                  <a:pt x="23" y="453"/>
                </a:cubicBezTo>
                <a:cubicBezTo>
                  <a:pt x="22" y="454"/>
                  <a:pt x="21" y="453"/>
                  <a:pt x="21" y="452"/>
                </a:cubicBezTo>
                <a:cubicBezTo>
                  <a:pt x="20" y="449"/>
                  <a:pt x="24" y="445"/>
                  <a:pt x="22" y="444"/>
                </a:cubicBezTo>
                <a:cubicBezTo>
                  <a:pt x="17" y="443"/>
                  <a:pt x="13" y="440"/>
                  <a:pt x="8" y="441"/>
                </a:cubicBezTo>
                <a:cubicBezTo>
                  <a:pt x="7" y="446"/>
                  <a:pt x="3" y="446"/>
                  <a:pt x="2" y="450"/>
                </a:cubicBezTo>
                <a:cubicBezTo>
                  <a:pt x="1" y="452"/>
                  <a:pt x="0" y="456"/>
                  <a:pt x="2" y="457"/>
                </a:cubicBezTo>
                <a:cubicBezTo>
                  <a:pt x="4" y="457"/>
                  <a:pt x="6" y="455"/>
                  <a:pt x="4" y="452"/>
                </a:cubicBezTo>
                <a:cubicBezTo>
                  <a:pt x="5" y="451"/>
                  <a:pt x="7" y="452"/>
                  <a:pt x="8" y="452"/>
                </a:cubicBezTo>
                <a:cubicBezTo>
                  <a:pt x="10" y="451"/>
                  <a:pt x="11" y="454"/>
                  <a:pt x="12" y="455"/>
                </a:cubicBezTo>
                <a:cubicBezTo>
                  <a:pt x="15" y="453"/>
                  <a:pt x="20" y="455"/>
                  <a:pt x="22" y="457"/>
                </a:cubicBezTo>
                <a:cubicBezTo>
                  <a:pt x="23" y="459"/>
                  <a:pt x="20" y="461"/>
                  <a:pt x="20" y="462"/>
                </a:cubicBezTo>
                <a:cubicBezTo>
                  <a:pt x="19" y="463"/>
                  <a:pt x="18" y="465"/>
                  <a:pt x="17" y="466"/>
                </a:cubicBezTo>
                <a:cubicBezTo>
                  <a:pt x="16" y="467"/>
                  <a:pt x="14" y="467"/>
                  <a:pt x="14" y="469"/>
                </a:cubicBezTo>
                <a:cubicBezTo>
                  <a:pt x="13" y="470"/>
                  <a:pt x="12" y="472"/>
                  <a:pt x="13" y="472"/>
                </a:cubicBezTo>
                <a:cubicBezTo>
                  <a:pt x="18" y="473"/>
                  <a:pt x="23" y="470"/>
                  <a:pt x="28" y="472"/>
                </a:cubicBezTo>
                <a:cubicBezTo>
                  <a:pt x="30" y="473"/>
                  <a:pt x="32" y="477"/>
                  <a:pt x="30" y="479"/>
                </a:cubicBezTo>
                <a:cubicBezTo>
                  <a:pt x="29" y="481"/>
                  <a:pt x="26" y="477"/>
                  <a:pt x="23" y="477"/>
                </a:cubicBezTo>
                <a:cubicBezTo>
                  <a:pt x="21" y="476"/>
                  <a:pt x="18" y="474"/>
                  <a:pt x="17" y="476"/>
                </a:cubicBezTo>
                <a:cubicBezTo>
                  <a:pt x="15" y="477"/>
                  <a:pt x="16" y="481"/>
                  <a:pt x="18" y="482"/>
                </a:cubicBezTo>
                <a:cubicBezTo>
                  <a:pt x="20" y="484"/>
                  <a:pt x="24" y="480"/>
                  <a:pt x="25" y="482"/>
                </a:cubicBezTo>
                <a:cubicBezTo>
                  <a:pt x="26" y="485"/>
                  <a:pt x="21" y="487"/>
                  <a:pt x="21" y="490"/>
                </a:cubicBezTo>
                <a:cubicBezTo>
                  <a:pt x="21" y="494"/>
                  <a:pt x="21" y="499"/>
                  <a:pt x="24" y="502"/>
                </a:cubicBezTo>
                <a:cubicBezTo>
                  <a:pt x="26" y="503"/>
                  <a:pt x="26" y="495"/>
                  <a:pt x="28" y="496"/>
                </a:cubicBezTo>
                <a:cubicBezTo>
                  <a:pt x="31" y="497"/>
                  <a:pt x="28" y="501"/>
                  <a:pt x="29" y="503"/>
                </a:cubicBezTo>
                <a:cubicBezTo>
                  <a:pt x="28" y="505"/>
                  <a:pt x="26" y="506"/>
                  <a:pt x="25" y="508"/>
                </a:cubicBezTo>
                <a:cubicBezTo>
                  <a:pt x="23" y="510"/>
                  <a:pt x="21" y="513"/>
                  <a:pt x="22" y="516"/>
                </a:cubicBezTo>
                <a:cubicBezTo>
                  <a:pt x="24" y="518"/>
                  <a:pt x="28" y="517"/>
                  <a:pt x="30" y="519"/>
                </a:cubicBezTo>
                <a:cubicBezTo>
                  <a:pt x="31" y="520"/>
                  <a:pt x="28" y="522"/>
                  <a:pt x="28" y="523"/>
                </a:cubicBezTo>
                <a:cubicBezTo>
                  <a:pt x="29" y="525"/>
                  <a:pt x="34" y="523"/>
                  <a:pt x="34" y="525"/>
                </a:cubicBezTo>
                <a:cubicBezTo>
                  <a:pt x="34" y="527"/>
                  <a:pt x="29" y="526"/>
                  <a:pt x="29" y="528"/>
                </a:cubicBezTo>
                <a:cubicBezTo>
                  <a:pt x="29" y="530"/>
                  <a:pt x="33" y="531"/>
                  <a:pt x="34" y="533"/>
                </a:cubicBezTo>
                <a:cubicBezTo>
                  <a:pt x="35" y="536"/>
                  <a:pt x="34" y="540"/>
                  <a:pt x="36" y="542"/>
                </a:cubicBezTo>
                <a:cubicBezTo>
                  <a:pt x="38" y="545"/>
                  <a:pt x="40" y="547"/>
                  <a:pt x="43" y="547"/>
                </a:cubicBezTo>
                <a:cubicBezTo>
                  <a:pt x="45" y="547"/>
                  <a:pt x="43" y="543"/>
                  <a:pt x="44" y="542"/>
                </a:cubicBezTo>
                <a:cubicBezTo>
                  <a:pt x="44" y="540"/>
                  <a:pt x="47" y="540"/>
                  <a:pt x="47" y="539"/>
                </a:cubicBezTo>
                <a:cubicBezTo>
                  <a:pt x="47" y="537"/>
                  <a:pt x="44" y="536"/>
                  <a:pt x="45" y="535"/>
                </a:cubicBezTo>
                <a:cubicBezTo>
                  <a:pt x="45" y="534"/>
                  <a:pt x="47" y="536"/>
                  <a:pt x="48" y="537"/>
                </a:cubicBezTo>
                <a:cubicBezTo>
                  <a:pt x="49" y="538"/>
                  <a:pt x="52" y="539"/>
                  <a:pt x="54" y="540"/>
                </a:cubicBezTo>
                <a:cubicBezTo>
                  <a:pt x="53" y="539"/>
                  <a:pt x="53" y="539"/>
                  <a:pt x="53" y="538"/>
                </a:cubicBezTo>
                <a:cubicBezTo>
                  <a:pt x="51" y="533"/>
                  <a:pt x="52" y="527"/>
                  <a:pt x="48" y="524"/>
                </a:cubicBezTo>
                <a:cubicBezTo>
                  <a:pt x="46" y="521"/>
                  <a:pt x="42" y="527"/>
                  <a:pt x="40" y="526"/>
                </a:cubicBezTo>
                <a:cubicBezTo>
                  <a:pt x="36" y="523"/>
                  <a:pt x="37" y="518"/>
                  <a:pt x="35" y="514"/>
                </a:cubicBezTo>
                <a:cubicBezTo>
                  <a:pt x="33" y="511"/>
                  <a:pt x="32" y="506"/>
                  <a:pt x="33" y="502"/>
                </a:cubicBezTo>
                <a:cubicBezTo>
                  <a:pt x="34" y="498"/>
                  <a:pt x="38" y="497"/>
                  <a:pt x="40" y="494"/>
                </a:cubicBezTo>
                <a:cubicBezTo>
                  <a:pt x="42" y="492"/>
                  <a:pt x="42" y="490"/>
                  <a:pt x="43" y="488"/>
                </a:cubicBezTo>
                <a:cubicBezTo>
                  <a:pt x="44" y="485"/>
                  <a:pt x="46" y="482"/>
                  <a:pt x="46" y="478"/>
                </a:cubicBezTo>
                <a:cubicBezTo>
                  <a:pt x="45" y="476"/>
                  <a:pt x="39" y="475"/>
                  <a:pt x="39" y="472"/>
                </a:cubicBezTo>
                <a:cubicBezTo>
                  <a:pt x="39" y="468"/>
                  <a:pt x="43" y="465"/>
                  <a:pt x="45" y="461"/>
                </a:cubicBezTo>
                <a:cubicBezTo>
                  <a:pt x="45" y="460"/>
                  <a:pt x="45" y="458"/>
                  <a:pt x="45" y="457"/>
                </a:cubicBezTo>
                <a:cubicBezTo>
                  <a:pt x="46" y="455"/>
                  <a:pt x="47" y="454"/>
                  <a:pt x="48" y="452"/>
                </a:cubicBezTo>
                <a:cubicBezTo>
                  <a:pt x="48" y="449"/>
                  <a:pt x="49" y="446"/>
                  <a:pt x="48" y="442"/>
                </a:cubicBezTo>
                <a:cubicBezTo>
                  <a:pt x="48" y="440"/>
                  <a:pt x="43" y="439"/>
                  <a:pt x="43" y="437"/>
                </a:cubicBezTo>
                <a:cubicBezTo>
                  <a:pt x="44" y="434"/>
                  <a:pt x="51" y="433"/>
                  <a:pt x="50" y="430"/>
                </a:cubicBezTo>
                <a:cubicBezTo>
                  <a:pt x="49" y="426"/>
                  <a:pt x="42" y="427"/>
                  <a:pt x="40" y="424"/>
                </a:cubicBezTo>
                <a:cubicBezTo>
                  <a:pt x="39" y="423"/>
                  <a:pt x="43" y="422"/>
                  <a:pt x="44" y="422"/>
                </a:cubicBezTo>
                <a:cubicBezTo>
                  <a:pt x="46" y="422"/>
                  <a:pt x="47" y="425"/>
                  <a:pt x="49" y="424"/>
                </a:cubicBezTo>
                <a:cubicBezTo>
                  <a:pt x="50" y="424"/>
                  <a:pt x="51" y="422"/>
                  <a:pt x="51" y="421"/>
                </a:cubicBezTo>
                <a:cubicBezTo>
                  <a:pt x="51" y="420"/>
                  <a:pt x="51" y="418"/>
                  <a:pt x="49" y="418"/>
                </a:cubicBezTo>
                <a:cubicBezTo>
                  <a:pt x="47" y="417"/>
                  <a:pt x="43" y="419"/>
                  <a:pt x="41" y="417"/>
                </a:cubicBezTo>
                <a:cubicBezTo>
                  <a:pt x="39" y="414"/>
                  <a:pt x="42" y="411"/>
                  <a:pt x="41" y="408"/>
                </a:cubicBezTo>
                <a:cubicBezTo>
                  <a:pt x="41" y="405"/>
                  <a:pt x="39" y="402"/>
                  <a:pt x="39" y="398"/>
                </a:cubicBezTo>
                <a:cubicBezTo>
                  <a:pt x="39" y="397"/>
                  <a:pt x="40" y="396"/>
                  <a:pt x="39" y="395"/>
                </a:cubicBezTo>
                <a:cubicBezTo>
                  <a:pt x="38" y="394"/>
                  <a:pt x="35" y="395"/>
                  <a:pt x="35" y="394"/>
                </a:cubicBezTo>
                <a:cubicBezTo>
                  <a:pt x="33" y="389"/>
                  <a:pt x="34" y="385"/>
                  <a:pt x="35" y="381"/>
                </a:cubicBezTo>
                <a:cubicBezTo>
                  <a:pt x="35" y="378"/>
                  <a:pt x="38" y="376"/>
                  <a:pt x="37" y="373"/>
                </a:cubicBezTo>
                <a:cubicBezTo>
                  <a:pt x="37" y="369"/>
                  <a:pt x="34" y="366"/>
                  <a:pt x="33" y="362"/>
                </a:cubicBezTo>
                <a:cubicBezTo>
                  <a:pt x="33" y="358"/>
                  <a:pt x="33" y="354"/>
                  <a:pt x="34" y="350"/>
                </a:cubicBezTo>
                <a:cubicBezTo>
                  <a:pt x="34" y="347"/>
                  <a:pt x="34" y="344"/>
                  <a:pt x="34" y="341"/>
                </a:cubicBezTo>
                <a:cubicBezTo>
                  <a:pt x="34" y="339"/>
                  <a:pt x="36" y="337"/>
                  <a:pt x="36" y="335"/>
                </a:cubicBezTo>
                <a:cubicBezTo>
                  <a:pt x="36" y="332"/>
                  <a:pt x="33" y="329"/>
                  <a:pt x="34" y="326"/>
                </a:cubicBezTo>
                <a:cubicBezTo>
                  <a:pt x="36" y="324"/>
                  <a:pt x="42" y="324"/>
                  <a:pt x="42" y="321"/>
                </a:cubicBezTo>
                <a:cubicBezTo>
                  <a:pt x="43" y="316"/>
                  <a:pt x="38" y="312"/>
                  <a:pt x="37" y="307"/>
                </a:cubicBezTo>
                <a:cubicBezTo>
                  <a:pt x="35" y="300"/>
                  <a:pt x="33" y="294"/>
                  <a:pt x="34" y="287"/>
                </a:cubicBezTo>
                <a:cubicBezTo>
                  <a:pt x="35" y="285"/>
                  <a:pt x="41" y="286"/>
                  <a:pt x="42" y="283"/>
                </a:cubicBezTo>
                <a:cubicBezTo>
                  <a:pt x="44" y="275"/>
                  <a:pt x="39" y="275"/>
                  <a:pt x="39" y="270"/>
                </a:cubicBezTo>
                <a:cubicBezTo>
                  <a:pt x="39" y="269"/>
                  <a:pt x="41" y="269"/>
                  <a:pt x="41" y="268"/>
                </a:cubicBezTo>
                <a:cubicBezTo>
                  <a:pt x="42" y="260"/>
                  <a:pt x="44" y="254"/>
                  <a:pt x="46" y="248"/>
                </a:cubicBezTo>
                <a:cubicBezTo>
                  <a:pt x="46" y="245"/>
                  <a:pt x="49" y="240"/>
                  <a:pt x="47" y="237"/>
                </a:cubicBezTo>
                <a:cubicBezTo>
                  <a:pt x="47" y="235"/>
                  <a:pt x="43" y="239"/>
                  <a:pt x="42" y="237"/>
                </a:cubicBezTo>
                <a:cubicBezTo>
                  <a:pt x="41" y="234"/>
                  <a:pt x="44" y="230"/>
                  <a:pt x="43" y="226"/>
                </a:cubicBezTo>
                <a:cubicBezTo>
                  <a:pt x="42" y="224"/>
                  <a:pt x="38" y="224"/>
                  <a:pt x="37" y="221"/>
                </a:cubicBezTo>
                <a:cubicBezTo>
                  <a:pt x="36" y="220"/>
                  <a:pt x="39" y="219"/>
                  <a:pt x="39" y="217"/>
                </a:cubicBezTo>
                <a:cubicBezTo>
                  <a:pt x="39" y="215"/>
                  <a:pt x="36" y="214"/>
                  <a:pt x="36" y="212"/>
                </a:cubicBezTo>
                <a:cubicBezTo>
                  <a:pt x="35" y="208"/>
                  <a:pt x="35" y="205"/>
                  <a:pt x="36" y="202"/>
                </a:cubicBezTo>
                <a:cubicBezTo>
                  <a:pt x="37" y="197"/>
                  <a:pt x="41" y="193"/>
                  <a:pt x="42" y="188"/>
                </a:cubicBezTo>
                <a:cubicBezTo>
                  <a:pt x="42" y="184"/>
                  <a:pt x="43" y="177"/>
                  <a:pt x="39" y="176"/>
                </a:cubicBezTo>
                <a:cubicBezTo>
                  <a:pt x="40" y="175"/>
                  <a:pt x="40" y="174"/>
                  <a:pt x="41" y="172"/>
                </a:cubicBezTo>
                <a:cubicBezTo>
                  <a:pt x="43" y="173"/>
                  <a:pt x="40" y="167"/>
                  <a:pt x="41" y="164"/>
                </a:cubicBezTo>
                <a:cubicBezTo>
                  <a:pt x="43" y="161"/>
                  <a:pt x="47" y="159"/>
                  <a:pt x="48" y="156"/>
                </a:cubicBezTo>
                <a:cubicBezTo>
                  <a:pt x="50" y="152"/>
                  <a:pt x="49" y="147"/>
                  <a:pt x="51" y="144"/>
                </a:cubicBezTo>
                <a:cubicBezTo>
                  <a:pt x="52" y="142"/>
                  <a:pt x="57" y="145"/>
                  <a:pt x="58" y="143"/>
                </a:cubicBezTo>
                <a:cubicBezTo>
                  <a:pt x="59" y="140"/>
                  <a:pt x="54" y="138"/>
                  <a:pt x="54" y="136"/>
                </a:cubicBezTo>
                <a:cubicBezTo>
                  <a:pt x="53" y="134"/>
                  <a:pt x="55" y="132"/>
                  <a:pt x="55" y="129"/>
                </a:cubicBezTo>
                <a:cubicBezTo>
                  <a:pt x="55" y="126"/>
                  <a:pt x="53" y="123"/>
                  <a:pt x="52" y="119"/>
                </a:cubicBezTo>
                <a:cubicBezTo>
                  <a:pt x="52" y="118"/>
                  <a:pt x="52" y="116"/>
                  <a:pt x="53" y="114"/>
                </a:cubicBezTo>
                <a:cubicBezTo>
                  <a:pt x="53" y="113"/>
                  <a:pt x="55" y="114"/>
                  <a:pt x="55" y="113"/>
                </a:cubicBezTo>
                <a:cubicBezTo>
                  <a:pt x="54" y="111"/>
                  <a:pt x="50" y="110"/>
                  <a:pt x="50" y="107"/>
                </a:cubicBezTo>
                <a:cubicBezTo>
                  <a:pt x="50" y="105"/>
                  <a:pt x="53" y="103"/>
                  <a:pt x="55" y="102"/>
                </a:cubicBezTo>
                <a:cubicBezTo>
                  <a:pt x="58" y="100"/>
                  <a:pt x="63" y="100"/>
                  <a:pt x="65" y="97"/>
                </a:cubicBezTo>
                <a:cubicBezTo>
                  <a:pt x="68" y="93"/>
                  <a:pt x="67" y="89"/>
                  <a:pt x="68" y="85"/>
                </a:cubicBezTo>
                <a:cubicBezTo>
                  <a:pt x="68" y="83"/>
                  <a:pt x="67" y="80"/>
                  <a:pt x="66" y="78"/>
                </a:cubicBezTo>
                <a:close/>
              </a:path>
            </a:pathLst>
          </a:custGeom>
          <a:solidFill>
            <a:schemeClr val="bg1">
              <a:lumMod val="95000"/>
            </a:schemeClr>
          </a:solidFill>
          <a:ln w="3175" cap="rnd">
            <a:solidFill>
              <a:srgbClr val="A5A5A5"/>
            </a:solidFill>
            <a:round/>
            <a:headEnd/>
            <a:tailEnd/>
          </a:ln>
        </xdr:spPr>
        <xdr:txBody>
          <a:bodyPr/>
          <a:lstStyle/>
          <a:p>
            <a:endParaRPr lang="en-GB"/>
          </a:p>
        </xdr:txBody>
      </xdr:sp>
      <xdr:sp macro="" textlink="">
        <xdr:nvSpPr>
          <xdr:cNvPr id="357" name="MEX"/>
          <xdr:cNvSpPr>
            <a:spLocks noChangeAspect="1"/>
          </xdr:cNvSpPr>
        </xdr:nvSpPr>
        <xdr:spPr bwMode="auto">
          <a:xfrm>
            <a:off x="2960819" y="4243876"/>
            <a:ext cx="808937" cy="656292"/>
          </a:xfrm>
          <a:custGeom>
            <a:avLst/>
            <a:gdLst>
              <a:gd name="T0" fmla="*/ 954455 w 361"/>
              <a:gd name="T1" fmla="*/ 577928 h 274"/>
              <a:gd name="T2" fmla="*/ 969787 w 361"/>
              <a:gd name="T3" fmla="*/ 546133 h 274"/>
              <a:gd name="T4" fmla="*/ 1000453 w 361"/>
              <a:gd name="T5" fmla="*/ 480672 h 274"/>
              <a:gd name="T6" fmla="*/ 912290 w 361"/>
              <a:gd name="T7" fmla="*/ 469450 h 274"/>
              <a:gd name="T8" fmla="*/ 854793 w 361"/>
              <a:gd name="T9" fmla="*/ 549873 h 274"/>
              <a:gd name="T10" fmla="*/ 839460 w 361"/>
              <a:gd name="T11" fmla="*/ 574187 h 274"/>
              <a:gd name="T12" fmla="*/ 804962 w 361"/>
              <a:gd name="T13" fmla="*/ 581669 h 274"/>
              <a:gd name="T14" fmla="*/ 781963 w 361"/>
              <a:gd name="T15" fmla="*/ 579798 h 274"/>
              <a:gd name="T16" fmla="*/ 682301 w 361"/>
              <a:gd name="T17" fmla="*/ 572317 h 274"/>
              <a:gd name="T18" fmla="*/ 619054 w 361"/>
              <a:gd name="T19" fmla="*/ 458228 h 274"/>
              <a:gd name="T20" fmla="*/ 630554 w 361"/>
              <a:gd name="T21" fmla="*/ 454487 h 274"/>
              <a:gd name="T22" fmla="*/ 622887 w 361"/>
              <a:gd name="T23" fmla="*/ 342268 h 274"/>
              <a:gd name="T24" fmla="*/ 647803 w 361"/>
              <a:gd name="T25" fmla="*/ 288029 h 274"/>
              <a:gd name="T26" fmla="*/ 578806 w 361"/>
              <a:gd name="T27" fmla="*/ 239401 h 274"/>
              <a:gd name="T28" fmla="*/ 538558 w 361"/>
              <a:gd name="T29" fmla="*/ 138403 h 274"/>
              <a:gd name="T30" fmla="*/ 479144 w 361"/>
              <a:gd name="T31" fmla="*/ 123441 h 274"/>
              <a:gd name="T32" fmla="*/ 436979 w 361"/>
              <a:gd name="T33" fmla="*/ 138403 h 274"/>
              <a:gd name="T34" fmla="*/ 373732 w 361"/>
              <a:gd name="T35" fmla="*/ 56110 h 274"/>
              <a:gd name="T36" fmla="*/ 205074 w 361"/>
              <a:gd name="T37" fmla="*/ 54239 h 274"/>
              <a:gd name="T38" fmla="*/ 13416 w 361"/>
              <a:gd name="T39" fmla="*/ 0 h 274"/>
              <a:gd name="T40" fmla="*/ 15333 w 361"/>
              <a:gd name="T41" fmla="*/ 48628 h 274"/>
              <a:gd name="T42" fmla="*/ 26832 w 361"/>
              <a:gd name="T43" fmla="*/ 102867 h 274"/>
              <a:gd name="T44" fmla="*/ 72830 w 361"/>
              <a:gd name="T45" fmla="*/ 172069 h 274"/>
              <a:gd name="T46" fmla="*/ 82413 w 361"/>
              <a:gd name="T47" fmla="*/ 203865 h 274"/>
              <a:gd name="T48" fmla="*/ 44081 w 361"/>
              <a:gd name="T49" fmla="*/ 201994 h 274"/>
              <a:gd name="T50" fmla="*/ 105412 w 361"/>
              <a:gd name="T51" fmla="*/ 239401 h 274"/>
              <a:gd name="T52" fmla="*/ 126494 w 361"/>
              <a:gd name="T53" fmla="*/ 312343 h 274"/>
              <a:gd name="T54" fmla="*/ 166742 w 361"/>
              <a:gd name="T55" fmla="*/ 353490 h 274"/>
              <a:gd name="T56" fmla="*/ 218490 w 361"/>
              <a:gd name="T57" fmla="*/ 387156 h 274"/>
              <a:gd name="T58" fmla="*/ 191658 w 361"/>
              <a:gd name="T59" fmla="*/ 353490 h 274"/>
              <a:gd name="T60" fmla="*/ 168659 w 361"/>
              <a:gd name="T61" fmla="*/ 267455 h 274"/>
              <a:gd name="T62" fmla="*/ 124577 w 361"/>
              <a:gd name="T63" fmla="*/ 203865 h 274"/>
              <a:gd name="T64" fmla="*/ 93912 w 361"/>
              <a:gd name="T65" fmla="*/ 134663 h 274"/>
              <a:gd name="T66" fmla="*/ 70913 w 361"/>
              <a:gd name="T67" fmla="*/ 41147 h 274"/>
              <a:gd name="T68" fmla="*/ 122661 w 361"/>
              <a:gd name="T69" fmla="*/ 57980 h 274"/>
              <a:gd name="T70" fmla="*/ 139910 w 361"/>
              <a:gd name="T71" fmla="*/ 149625 h 274"/>
              <a:gd name="T72" fmla="*/ 195491 w 361"/>
              <a:gd name="T73" fmla="*/ 211346 h 274"/>
              <a:gd name="T74" fmla="*/ 218490 w 361"/>
              <a:gd name="T75" fmla="*/ 245012 h 274"/>
              <a:gd name="T76" fmla="*/ 229989 w 361"/>
              <a:gd name="T77" fmla="*/ 271196 h 274"/>
              <a:gd name="T78" fmla="*/ 272154 w 361"/>
              <a:gd name="T79" fmla="*/ 310473 h 274"/>
              <a:gd name="T80" fmla="*/ 318152 w 361"/>
              <a:gd name="T81" fmla="*/ 387156 h 274"/>
              <a:gd name="T82" fmla="*/ 341151 w 361"/>
              <a:gd name="T83" fmla="*/ 488153 h 274"/>
              <a:gd name="T84" fmla="*/ 352650 w 361"/>
              <a:gd name="T85" fmla="*/ 536781 h 274"/>
              <a:gd name="T86" fmla="*/ 456145 w 361"/>
              <a:gd name="T87" fmla="*/ 600372 h 274"/>
              <a:gd name="T88" fmla="*/ 580723 w 361"/>
              <a:gd name="T89" fmla="*/ 662092 h 274"/>
              <a:gd name="T90" fmla="*/ 695717 w 361"/>
              <a:gd name="T91" fmla="*/ 673314 h 274"/>
              <a:gd name="T92" fmla="*/ 739798 w 361"/>
              <a:gd name="T93" fmla="*/ 682666 h 274"/>
              <a:gd name="T94" fmla="*/ 795379 w 361"/>
              <a:gd name="T95" fmla="*/ 714461 h 274"/>
              <a:gd name="T96" fmla="*/ 850960 w 361"/>
              <a:gd name="T97" fmla="*/ 656481 h 274"/>
              <a:gd name="T98" fmla="*/ 841377 w 361"/>
              <a:gd name="T99" fmla="*/ 615334 h 274"/>
              <a:gd name="T100" fmla="*/ 927623 w 361"/>
              <a:gd name="T101" fmla="*/ 594761 h 274"/>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361"/>
              <a:gd name="T154" fmla="*/ 0 h 274"/>
              <a:gd name="T155" fmla="*/ 361 w 361"/>
              <a:gd name="T156" fmla="*/ 274 h 274"/>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361" h="274">
                <a:moveTo>
                  <a:pt x="340" y="217"/>
                </a:moveTo>
                <a:cubicBezTo>
                  <a:pt x="340" y="216"/>
                  <a:pt x="339" y="215"/>
                  <a:pt x="340" y="214"/>
                </a:cubicBezTo>
                <a:cubicBezTo>
                  <a:pt x="340" y="213"/>
                  <a:pt x="341" y="212"/>
                  <a:pt x="342" y="212"/>
                </a:cubicBezTo>
                <a:cubicBezTo>
                  <a:pt x="343" y="212"/>
                  <a:pt x="343" y="213"/>
                  <a:pt x="344" y="214"/>
                </a:cubicBezTo>
                <a:cubicBezTo>
                  <a:pt x="345" y="215"/>
                  <a:pt x="345" y="218"/>
                  <a:pt x="347" y="218"/>
                </a:cubicBezTo>
                <a:cubicBezTo>
                  <a:pt x="348" y="219"/>
                  <a:pt x="348" y="216"/>
                  <a:pt x="348" y="215"/>
                </a:cubicBezTo>
                <a:cubicBezTo>
                  <a:pt x="349" y="212"/>
                  <a:pt x="351" y="209"/>
                  <a:pt x="352" y="206"/>
                </a:cubicBezTo>
                <a:cubicBezTo>
                  <a:pt x="352" y="204"/>
                  <a:pt x="350" y="203"/>
                  <a:pt x="350" y="202"/>
                </a:cubicBezTo>
                <a:cubicBezTo>
                  <a:pt x="350" y="199"/>
                  <a:pt x="352" y="198"/>
                  <a:pt x="353" y="195"/>
                </a:cubicBezTo>
                <a:cubicBezTo>
                  <a:pt x="353" y="193"/>
                  <a:pt x="353" y="191"/>
                  <a:pt x="354" y="189"/>
                </a:cubicBezTo>
                <a:cubicBezTo>
                  <a:pt x="355" y="186"/>
                  <a:pt x="358" y="185"/>
                  <a:pt x="359" y="183"/>
                </a:cubicBezTo>
                <a:cubicBezTo>
                  <a:pt x="360" y="181"/>
                  <a:pt x="361" y="180"/>
                  <a:pt x="361" y="178"/>
                </a:cubicBezTo>
                <a:cubicBezTo>
                  <a:pt x="361" y="176"/>
                  <a:pt x="360" y="174"/>
                  <a:pt x="359" y="173"/>
                </a:cubicBezTo>
                <a:cubicBezTo>
                  <a:pt x="356" y="172"/>
                  <a:pt x="352" y="172"/>
                  <a:pt x="349" y="172"/>
                </a:cubicBezTo>
                <a:cubicBezTo>
                  <a:pt x="346" y="172"/>
                  <a:pt x="343" y="172"/>
                  <a:pt x="339" y="172"/>
                </a:cubicBezTo>
                <a:cubicBezTo>
                  <a:pt x="336" y="173"/>
                  <a:pt x="332" y="174"/>
                  <a:pt x="329" y="174"/>
                </a:cubicBezTo>
                <a:cubicBezTo>
                  <a:pt x="325" y="175"/>
                  <a:pt x="321" y="174"/>
                  <a:pt x="318" y="176"/>
                </a:cubicBezTo>
                <a:cubicBezTo>
                  <a:pt x="315" y="179"/>
                  <a:pt x="314" y="183"/>
                  <a:pt x="313" y="186"/>
                </a:cubicBezTo>
                <a:cubicBezTo>
                  <a:pt x="312" y="190"/>
                  <a:pt x="313" y="193"/>
                  <a:pt x="312" y="196"/>
                </a:cubicBezTo>
                <a:cubicBezTo>
                  <a:pt x="311" y="199"/>
                  <a:pt x="310" y="202"/>
                  <a:pt x="309" y="204"/>
                </a:cubicBezTo>
                <a:cubicBezTo>
                  <a:pt x="308" y="206"/>
                  <a:pt x="306" y="208"/>
                  <a:pt x="304" y="209"/>
                </a:cubicBezTo>
                <a:cubicBezTo>
                  <a:pt x="303" y="209"/>
                  <a:pt x="300" y="209"/>
                  <a:pt x="299" y="210"/>
                </a:cubicBezTo>
                <a:cubicBezTo>
                  <a:pt x="298" y="210"/>
                  <a:pt x="300" y="210"/>
                  <a:pt x="301" y="210"/>
                </a:cubicBezTo>
                <a:cubicBezTo>
                  <a:pt x="302" y="211"/>
                  <a:pt x="303" y="212"/>
                  <a:pt x="303" y="213"/>
                </a:cubicBezTo>
                <a:cubicBezTo>
                  <a:pt x="303" y="214"/>
                  <a:pt x="300" y="215"/>
                  <a:pt x="299" y="215"/>
                </a:cubicBezTo>
                <a:cubicBezTo>
                  <a:pt x="298" y="216"/>
                  <a:pt x="298" y="218"/>
                  <a:pt x="296" y="218"/>
                </a:cubicBezTo>
                <a:cubicBezTo>
                  <a:pt x="296" y="219"/>
                  <a:pt x="297" y="217"/>
                  <a:pt x="296" y="217"/>
                </a:cubicBezTo>
                <a:cubicBezTo>
                  <a:pt x="294" y="216"/>
                  <a:pt x="291" y="218"/>
                  <a:pt x="290" y="216"/>
                </a:cubicBezTo>
                <a:cubicBezTo>
                  <a:pt x="289" y="215"/>
                  <a:pt x="294" y="215"/>
                  <a:pt x="295" y="214"/>
                </a:cubicBezTo>
                <a:cubicBezTo>
                  <a:pt x="295" y="213"/>
                  <a:pt x="294" y="213"/>
                  <a:pt x="294" y="212"/>
                </a:cubicBezTo>
                <a:cubicBezTo>
                  <a:pt x="292" y="212"/>
                  <a:pt x="290" y="211"/>
                  <a:pt x="288" y="211"/>
                </a:cubicBezTo>
                <a:cubicBezTo>
                  <a:pt x="286" y="212"/>
                  <a:pt x="284" y="214"/>
                  <a:pt x="282" y="215"/>
                </a:cubicBezTo>
                <a:cubicBezTo>
                  <a:pt x="278" y="216"/>
                  <a:pt x="273" y="218"/>
                  <a:pt x="268" y="219"/>
                </a:cubicBezTo>
                <a:cubicBezTo>
                  <a:pt x="266" y="220"/>
                  <a:pt x="263" y="220"/>
                  <a:pt x="261" y="218"/>
                </a:cubicBezTo>
                <a:cubicBezTo>
                  <a:pt x="258" y="217"/>
                  <a:pt x="257" y="214"/>
                  <a:pt x="254" y="212"/>
                </a:cubicBezTo>
                <a:cubicBezTo>
                  <a:pt x="252" y="211"/>
                  <a:pt x="249" y="214"/>
                  <a:pt x="246" y="212"/>
                </a:cubicBezTo>
                <a:cubicBezTo>
                  <a:pt x="244" y="211"/>
                  <a:pt x="243" y="209"/>
                  <a:pt x="242" y="207"/>
                </a:cubicBezTo>
                <a:cubicBezTo>
                  <a:pt x="241" y="203"/>
                  <a:pt x="240" y="200"/>
                  <a:pt x="238" y="196"/>
                </a:cubicBezTo>
                <a:cubicBezTo>
                  <a:pt x="236" y="193"/>
                  <a:pt x="232" y="190"/>
                  <a:pt x="230" y="187"/>
                </a:cubicBezTo>
                <a:cubicBezTo>
                  <a:pt x="228" y="182"/>
                  <a:pt x="226" y="176"/>
                  <a:pt x="224" y="170"/>
                </a:cubicBezTo>
                <a:cubicBezTo>
                  <a:pt x="224" y="169"/>
                  <a:pt x="223" y="166"/>
                  <a:pt x="224" y="167"/>
                </a:cubicBezTo>
                <a:cubicBezTo>
                  <a:pt x="226" y="168"/>
                  <a:pt x="226" y="170"/>
                  <a:pt x="227" y="172"/>
                </a:cubicBezTo>
                <a:cubicBezTo>
                  <a:pt x="227" y="173"/>
                  <a:pt x="228" y="174"/>
                  <a:pt x="228" y="173"/>
                </a:cubicBezTo>
                <a:cubicBezTo>
                  <a:pt x="229" y="171"/>
                  <a:pt x="228" y="170"/>
                  <a:pt x="228" y="168"/>
                </a:cubicBezTo>
                <a:cubicBezTo>
                  <a:pt x="227" y="165"/>
                  <a:pt x="225" y="163"/>
                  <a:pt x="224" y="160"/>
                </a:cubicBezTo>
                <a:cubicBezTo>
                  <a:pt x="224" y="158"/>
                  <a:pt x="224" y="155"/>
                  <a:pt x="224" y="153"/>
                </a:cubicBezTo>
                <a:cubicBezTo>
                  <a:pt x="224" y="148"/>
                  <a:pt x="224" y="144"/>
                  <a:pt x="224" y="140"/>
                </a:cubicBezTo>
                <a:cubicBezTo>
                  <a:pt x="224" y="135"/>
                  <a:pt x="224" y="131"/>
                  <a:pt x="225" y="127"/>
                </a:cubicBezTo>
                <a:cubicBezTo>
                  <a:pt x="225" y="125"/>
                  <a:pt x="227" y="123"/>
                  <a:pt x="228" y="120"/>
                </a:cubicBezTo>
                <a:cubicBezTo>
                  <a:pt x="229" y="118"/>
                  <a:pt x="227" y="116"/>
                  <a:pt x="228" y="113"/>
                </a:cubicBezTo>
                <a:cubicBezTo>
                  <a:pt x="229" y="112"/>
                  <a:pt x="231" y="115"/>
                  <a:pt x="231" y="114"/>
                </a:cubicBezTo>
                <a:cubicBezTo>
                  <a:pt x="233" y="113"/>
                  <a:pt x="233" y="109"/>
                  <a:pt x="234" y="107"/>
                </a:cubicBezTo>
                <a:cubicBezTo>
                  <a:pt x="232" y="106"/>
                  <a:pt x="231" y="103"/>
                  <a:pt x="229" y="103"/>
                </a:cubicBezTo>
                <a:cubicBezTo>
                  <a:pt x="227" y="102"/>
                  <a:pt x="225" y="103"/>
                  <a:pt x="223" y="103"/>
                </a:cubicBezTo>
                <a:cubicBezTo>
                  <a:pt x="220" y="101"/>
                  <a:pt x="217" y="100"/>
                  <a:pt x="215" y="98"/>
                </a:cubicBezTo>
                <a:cubicBezTo>
                  <a:pt x="212" y="95"/>
                  <a:pt x="211" y="92"/>
                  <a:pt x="209" y="89"/>
                </a:cubicBezTo>
                <a:cubicBezTo>
                  <a:pt x="208" y="87"/>
                  <a:pt x="209" y="84"/>
                  <a:pt x="208" y="82"/>
                </a:cubicBezTo>
                <a:cubicBezTo>
                  <a:pt x="207" y="80"/>
                  <a:pt x="205" y="78"/>
                  <a:pt x="204" y="75"/>
                </a:cubicBezTo>
                <a:cubicBezTo>
                  <a:pt x="202" y="71"/>
                  <a:pt x="200" y="67"/>
                  <a:pt x="198" y="62"/>
                </a:cubicBezTo>
                <a:cubicBezTo>
                  <a:pt x="197" y="59"/>
                  <a:pt x="196" y="55"/>
                  <a:pt x="195" y="52"/>
                </a:cubicBezTo>
                <a:cubicBezTo>
                  <a:pt x="194" y="49"/>
                  <a:pt x="192" y="46"/>
                  <a:pt x="190" y="45"/>
                </a:cubicBezTo>
                <a:cubicBezTo>
                  <a:pt x="187" y="44"/>
                  <a:pt x="185" y="44"/>
                  <a:pt x="182" y="44"/>
                </a:cubicBezTo>
                <a:cubicBezTo>
                  <a:pt x="180" y="44"/>
                  <a:pt x="178" y="44"/>
                  <a:pt x="177" y="44"/>
                </a:cubicBezTo>
                <a:cubicBezTo>
                  <a:pt x="175" y="45"/>
                  <a:pt x="174" y="45"/>
                  <a:pt x="173" y="46"/>
                </a:cubicBezTo>
                <a:cubicBezTo>
                  <a:pt x="172" y="47"/>
                  <a:pt x="172" y="48"/>
                  <a:pt x="171" y="49"/>
                </a:cubicBezTo>
                <a:cubicBezTo>
                  <a:pt x="171" y="51"/>
                  <a:pt x="171" y="53"/>
                  <a:pt x="170" y="55"/>
                </a:cubicBezTo>
                <a:cubicBezTo>
                  <a:pt x="170" y="56"/>
                  <a:pt x="168" y="57"/>
                  <a:pt x="167" y="57"/>
                </a:cubicBezTo>
                <a:cubicBezTo>
                  <a:pt x="164" y="56"/>
                  <a:pt x="161" y="53"/>
                  <a:pt x="158" y="52"/>
                </a:cubicBezTo>
                <a:cubicBezTo>
                  <a:pt x="156" y="50"/>
                  <a:pt x="152" y="50"/>
                  <a:pt x="151" y="48"/>
                </a:cubicBezTo>
                <a:cubicBezTo>
                  <a:pt x="148" y="45"/>
                  <a:pt x="148" y="41"/>
                  <a:pt x="146" y="38"/>
                </a:cubicBezTo>
                <a:cubicBezTo>
                  <a:pt x="145" y="35"/>
                  <a:pt x="145" y="32"/>
                  <a:pt x="143" y="30"/>
                </a:cubicBezTo>
                <a:cubicBezTo>
                  <a:pt x="141" y="27"/>
                  <a:pt x="138" y="24"/>
                  <a:pt x="135" y="21"/>
                </a:cubicBezTo>
                <a:cubicBezTo>
                  <a:pt x="133" y="18"/>
                  <a:pt x="132" y="16"/>
                  <a:pt x="131" y="13"/>
                </a:cubicBezTo>
                <a:cubicBezTo>
                  <a:pt x="124" y="13"/>
                  <a:pt x="117" y="13"/>
                  <a:pt x="109" y="13"/>
                </a:cubicBezTo>
                <a:cubicBezTo>
                  <a:pt x="109" y="16"/>
                  <a:pt x="108" y="18"/>
                  <a:pt x="108" y="21"/>
                </a:cubicBezTo>
                <a:cubicBezTo>
                  <a:pt x="97" y="20"/>
                  <a:pt x="86" y="20"/>
                  <a:pt x="74" y="20"/>
                </a:cubicBezTo>
                <a:cubicBezTo>
                  <a:pt x="74" y="20"/>
                  <a:pt x="73" y="20"/>
                  <a:pt x="72" y="20"/>
                </a:cubicBezTo>
                <a:cubicBezTo>
                  <a:pt x="57" y="14"/>
                  <a:pt x="43" y="8"/>
                  <a:pt x="28" y="2"/>
                </a:cubicBezTo>
                <a:cubicBezTo>
                  <a:pt x="28" y="2"/>
                  <a:pt x="28" y="1"/>
                  <a:pt x="28" y="0"/>
                </a:cubicBezTo>
                <a:cubicBezTo>
                  <a:pt x="20" y="0"/>
                  <a:pt x="13" y="0"/>
                  <a:pt x="5" y="0"/>
                </a:cubicBezTo>
                <a:cubicBezTo>
                  <a:pt x="3" y="1"/>
                  <a:pt x="2" y="2"/>
                  <a:pt x="0" y="3"/>
                </a:cubicBezTo>
                <a:cubicBezTo>
                  <a:pt x="1" y="5"/>
                  <a:pt x="3" y="7"/>
                  <a:pt x="3" y="9"/>
                </a:cubicBezTo>
                <a:cubicBezTo>
                  <a:pt x="4" y="11"/>
                  <a:pt x="3" y="13"/>
                  <a:pt x="3" y="15"/>
                </a:cubicBezTo>
                <a:cubicBezTo>
                  <a:pt x="4" y="16"/>
                  <a:pt x="5" y="17"/>
                  <a:pt x="6" y="18"/>
                </a:cubicBezTo>
                <a:cubicBezTo>
                  <a:pt x="6" y="22"/>
                  <a:pt x="5" y="26"/>
                  <a:pt x="6" y="29"/>
                </a:cubicBezTo>
                <a:cubicBezTo>
                  <a:pt x="6" y="30"/>
                  <a:pt x="7" y="31"/>
                  <a:pt x="8" y="32"/>
                </a:cubicBezTo>
                <a:cubicBezTo>
                  <a:pt x="8" y="33"/>
                  <a:pt x="8" y="34"/>
                  <a:pt x="8" y="35"/>
                </a:cubicBezTo>
                <a:cubicBezTo>
                  <a:pt x="8" y="37"/>
                  <a:pt x="10" y="37"/>
                  <a:pt x="10" y="38"/>
                </a:cubicBezTo>
                <a:cubicBezTo>
                  <a:pt x="11" y="40"/>
                  <a:pt x="10" y="42"/>
                  <a:pt x="10" y="45"/>
                </a:cubicBezTo>
                <a:cubicBezTo>
                  <a:pt x="11" y="46"/>
                  <a:pt x="12" y="47"/>
                  <a:pt x="13" y="48"/>
                </a:cubicBezTo>
                <a:cubicBezTo>
                  <a:pt x="15" y="50"/>
                  <a:pt x="18" y="51"/>
                  <a:pt x="20" y="54"/>
                </a:cubicBezTo>
                <a:cubicBezTo>
                  <a:pt x="22" y="57"/>
                  <a:pt x="25" y="60"/>
                  <a:pt x="27" y="64"/>
                </a:cubicBezTo>
                <a:cubicBezTo>
                  <a:pt x="27" y="65"/>
                  <a:pt x="27" y="67"/>
                  <a:pt x="27" y="68"/>
                </a:cubicBezTo>
                <a:cubicBezTo>
                  <a:pt x="26" y="70"/>
                  <a:pt x="24" y="70"/>
                  <a:pt x="24" y="71"/>
                </a:cubicBezTo>
                <a:cubicBezTo>
                  <a:pt x="24" y="73"/>
                  <a:pt x="26" y="73"/>
                  <a:pt x="27" y="74"/>
                </a:cubicBezTo>
                <a:cubicBezTo>
                  <a:pt x="28" y="75"/>
                  <a:pt x="30" y="75"/>
                  <a:pt x="30" y="76"/>
                </a:cubicBezTo>
                <a:cubicBezTo>
                  <a:pt x="29" y="78"/>
                  <a:pt x="27" y="77"/>
                  <a:pt x="25" y="77"/>
                </a:cubicBezTo>
                <a:cubicBezTo>
                  <a:pt x="24" y="76"/>
                  <a:pt x="23" y="75"/>
                  <a:pt x="22" y="74"/>
                </a:cubicBezTo>
                <a:cubicBezTo>
                  <a:pt x="19" y="74"/>
                  <a:pt x="17" y="72"/>
                  <a:pt x="14" y="73"/>
                </a:cubicBezTo>
                <a:cubicBezTo>
                  <a:pt x="13" y="73"/>
                  <a:pt x="15" y="74"/>
                  <a:pt x="16" y="75"/>
                </a:cubicBezTo>
                <a:cubicBezTo>
                  <a:pt x="18" y="77"/>
                  <a:pt x="20" y="79"/>
                  <a:pt x="21" y="81"/>
                </a:cubicBezTo>
                <a:cubicBezTo>
                  <a:pt x="24" y="83"/>
                  <a:pt x="26" y="86"/>
                  <a:pt x="29" y="88"/>
                </a:cubicBezTo>
                <a:cubicBezTo>
                  <a:pt x="30" y="89"/>
                  <a:pt x="31" y="89"/>
                  <a:pt x="33" y="90"/>
                </a:cubicBezTo>
                <a:cubicBezTo>
                  <a:pt x="35" y="90"/>
                  <a:pt x="37" y="88"/>
                  <a:pt x="38" y="89"/>
                </a:cubicBezTo>
                <a:cubicBezTo>
                  <a:pt x="40" y="90"/>
                  <a:pt x="40" y="93"/>
                  <a:pt x="41" y="94"/>
                </a:cubicBezTo>
                <a:cubicBezTo>
                  <a:pt x="42" y="96"/>
                  <a:pt x="43" y="97"/>
                  <a:pt x="45" y="99"/>
                </a:cubicBezTo>
                <a:cubicBezTo>
                  <a:pt x="46" y="101"/>
                  <a:pt x="49" y="104"/>
                  <a:pt x="49" y="107"/>
                </a:cubicBezTo>
                <a:cubicBezTo>
                  <a:pt x="49" y="110"/>
                  <a:pt x="46" y="113"/>
                  <a:pt x="46" y="116"/>
                </a:cubicBezTo>
                <a:cubicBezTo>
                  <a:pt x="45" y="118"/>
                  <a:pt x="45" y="120"/>
                  <a:pt x="46" y="121"/>
                </a:cubicBezTo>
                <a:cubicBezTo>
                  <a:pt x="46" y="122"/>
                  <a:pt x="48" y="121"/>
                  <a:pt x="49" y="121"/>
                </a:cubicBezTo>
                <a:cubicBezTo>
                  <a:pt x="50" y="122"/>
                  <a:pt x="50" y="124"/>
                  <a:pt x="52" y="125"/>
                </a:cubicBezTo>
                <a:cubicBezTo>
                  <a:pt x="54" y="127"/>
                  <a:pt x="57" y="129"/>
                  <a:pt x="60" y="131"/>
                </a:cubicBezTo>
                <a:cubicBezTo>
                  <a:pt x="63" y="133"/>
                  <a:pt x="65" y="136"/>
                  <a:pt x="68" y="139"/>
                </a:cubicBezTo>
                <a:cubicBezTo>
                  <a:pt x="69" y="141"/>
                  <a:pt x="70" y="144"/>
                  <a:pt x="70" y="146"/>
                </a:cubicBezTo>
                <a:cubicBezTo>
                  <a:pt x="71" y="148"/>
                  <a:pt x="69" y="152"/>
                  <a:pt x="70" y="151"/>
                </a:cubicBezTo>
                <a:cubicBezTo>
                  <a:pt x="74" y="150"/>
                  <a:pt x="77" y="147"/>
                  <a:pt x="79" y="143"/>
                </a:cubicBezTo>
                <a:cubicBezTo>
                  <a:pt x="79" y="142"/>
                  <a:pt x="76" y="142"/>
                  <a:pt x="75" y="140"/>
                </a:cubicBezTo>
                <a:cubicBezTo>
                  <a:pt x="75" y="139"/>
                  <a:pt x="76" y="138"/>
                  <a:pt x="75" y="137"/>
                </a:cubicBezTo>
                <a:cubicBezTo>
                  <a:pt x="74" y="134"/>
                  <a:pt x="72" y="131"/>
                  <a:pt x="70" y="129"/>
                </a:cubicBezTo>
                <a:cubicBezTo>
                  <a:pt x="70" y="128"/>
                  <a:pt x="70" y="132"/>
                  <a:pt x="69" y="131"/>
                </a:cubicBezTo>
                <a:cubicBezTo>
                  <a:pt x="68" y="131"/>
                  <a:pt x="68" y="129"/>
                  <a:pt x="67" y="128"/>
                </a:cubicBezTo>
                <a:cubicBezTo>
                  <a:pt x="66" y="126"/>
                  <a:pt x="66" y="123"/>
                  <a:pt x="65" y="121"/>
                </a:cubicBezTo>
                <a:cubicBezTo>
                  <a:pt x="63" y="116"/>
                  <a:pt x="60" y="111"/>
                  <a:pt x="59" y="106"/>
                </a:cubicBezTo>
                <a:cubicBezTo>
                  <a:pt x="59" y="104"/>
                  <a:pt x="61" y="101"/>
                  <a:pt x="61" y="99"/>
                </a:cubicBezTo>
                <a:cubicBezTo>
                  <a:pt x="60" y="96"/>
                  <a:pt x="58" y="92"/>
                  <a:pt x="56" y="90"/>
                </a:cubicBezTo>
                <a:cubicBezTo>
                  <a:pt x="55" y="89"/>
                  <a:pt x="55" y="94"/>
                  <a:pt x="54" y="93"/>
                </a:cubicBezTo>
                <a:cubicBezTo>
                  <a:pt x="52" y="90"/>
                  <a:pt x="52" y="86"/>
                  <a:pt x="51" y="84"/>
                </a:cubicBezTo>
                <a:cubicBezTo>
                  <a:pt x="49" y="81"/>
                  <a:pt x="46" y="79"/>
                  <a:pt x="45" y="76"/>
                </a:cubicBezTo>
                <a:cubicBezTo>
                  <a:pt x="44" y="73"/>
                  <a:pt x="44" y="70"/>
                  <a:pt x="43" y="67"/>
                </a:cubicBezTo>
                <a:cubicBezTo>
                  <a:pt x="42" y="65"/>
                  <a:pt x="40" y="63"/>
                  <a:pt x="39" y="62"/>
                </a:cubicBezTo>
                <a:cubicBezTo>
                  <a:pt x="38" y="61"/>
                  <a:pt x="37" y="61"/>
                  <a:pt x="36" y="60"/>
                </a:cubicBezTo>
                <a:cubicBezTo>
                  <a:pt x="35" y="57"/>
                  <a:pt x="36" y="53"/>
                  <a:pt x="34" y="50"/>
                </a:cubicBezTo>
                <a:cubicBezTo>
                  <a:pt x="32" y="47"/>
                  <a:pt x="27" y="46"/>
                  <a:pt x="25" y="42"/>
                </a:cubicBezTo>
                <a:cubicBezTo>
                  <a:pt x="23" y="39"/>
                  <a:pt x="25" y="36"/>
                  <a:pt x="25" y="32"/>
                </a:cubicBezTo>
                <a:cubicBezTo>
                  <a:pt x="25" y="30"/>
                  <a:pt x="23" y="28"/>
                  <a:pt x="23" y="26"/>
                </a:cubicBezTo>
                <a:cubicBezTo>
                  <a:pt x="23" y="22"/>
                  <a:pt x="22" y="17"/>
                  <a:pt x="26" y="15"/>
                </a:cubicBezTo>
                <a:cubicBezTo>
                  <a:pt x="29" y="13"/>
                  <a:pt x="32" y="18"/>
                  <a:pt x="35" y="19"/>
                </a:cubicBezTo>
                <a:cubicBezTo>
                  <a:pt x="37" y="19"/>
                  <a:pt x="38" y="17"/>
                  <a:pt x="39" y="18"/>
                </a:cubicBezTo>
                <a:cubicBezTo>
                  <a:pt x="40" y="19"/>
                  <a:pt x="38" y="21"/>
                  <a:pt x="39" y="22"/>
                </a:cubicBezTo>
                <a:cubicBezTo>
                  <a:pt x="40" y="23"/>
                  <a:pt x="43" y="21"/>
                  <a:pt x="44" y="22"/>
                </a:cubicBezTo>
                <a:cubicBezTo>
                  <a:pt x="45" y="24"/>
                  <a:pt x="43" y="27"/>
                  <a:pt x="44" y="30"/>
                </a:cubicBezTo>
                <a:cubicBezTo>
                  <a:pt x="44" y="33"/>
                  <a:pt x="45" y="36"/>
                  <a:pt x="46" y="39"/>
                </a:cubicBezTo>
                <a:cubicBezTo>
                  <a:pt x="47" y="43"/>
                  <a:pt x="50" y="46"/>
                  <a:pt x="51" y="49"/>
                </a:cubicBezTo>
                <a:cubicBezTo>
                  <a:pt x="52" y="51"/>
                  <a:pt x="50" y="54"/>
                  <a:pt x="51" y="56"/>
                </a:cubicBezTo>
                <a:cubicBezTo>
                  <a:pt x="52" y="59"/>
                  <a:pt x="55" y="61"/>
                  <a:pt x="58" y="64"/>
                </a:cubicBezTo>
                <a:cubicBezTo>
                  <a:pt x="60" y="67"/>
                  <a:pt x="62" y="70"/>
                  <a:pt x="65" y="73"/>
                </a:cubicBezTo>
                <a:cubicBezTo>
                  <a:pt x="67" y="74"/>
                  <a:pt x="70" y="72"/>
                  <a:pt x="72" y="74"/>
                </a:cubicBezTo>
                <a:cubicBezTo>
                  <a:pt x="73" y="75"/>
                  <a:pt x="71" y="77"/>
                  <a:pt x="71" y="78"/>
                </a:cubicBezTo>
                <a:cubicBezTo>
                  <a:pt x="71" y="80"/>
                  <a:pt x="71" y="82"/>
                  <a:pt x="72" y="84"/>
                </a:cubicBezTo>
                <a:cubicBezTo>
                  <a:pt x="72" y="85"/>
                  <a:pt x="73" y="85"/>
                  <a:pt x="74" y="85"/>
                </a:cubicBezTo>
                <a:cubicBezTo>
                  <a:pt x="75" y="85"/>
                  <a:pt x="77" y="83"/>
                  <a:pt x="77" y="84"/>
                </a:cubicBezTo>
                <a:cubicBezTo>
                  <a:pt x="79" y="86"/>
                  <a:pt x="77" y="89"/>
                  <a:pt x="79" y="91"/>
                </a:cubicBezTo>
                <a:cubicBezTo>
                  <a:pt x="79" y="92"/>
                  <a:pt x="82" y="90"/>
                  <a:pt x="83" y="91"/>
                </a:cubicBezTo>
                <a:cubicBezTo>
                  <a:pt x="84" y="92"/>
                  <a:pt x="84" y="93"/>
                  <a:pt x="84" y="94"/>
                </a:cubicBezTo>
                <a:cubicBezTo>
                  <a:pt x="85" y="96"/>
                  <a:pt x="86" y="97"/>
                  <a:pt x="86" y="99"/>
                </a:cubicBezTo>
                <a:cubicBezTo>
                  <a:pt x="86" y="100"/>
                  <a:pt x="84" y="100"/>
                  <a:pt x="83" y="101"/>
                </a:cubicBezTo>
                <a:cubicBezTo>
                  <a:pt x="83" y="102"/>
                  <a:pt x="82" y="105"/>
                  <a:pt x="83" y="107"/>
                </a:cubicBezTo>
                <a:cubicBezTo>
                  <a:pt x="83" y="108"/>
                  <a:pt x="86" y="105"/>
                  <a:pt x="87" y="106"/>
                </a:cubicBezTo>
                <a:cubicBezTo>
                  <a:pt x="89" y="107"/>
                  <a:pt x="89" y="111"/>
                  <a:pt x="91" y="112"/>
                </a:cubicBezTo>
                <a:cubicBezTo>
                  <a:pt x="93" y="114"/>
                  <a:pt x="96" y="113"/>
                  <a:pt x="98" y="115"/>
                </a:cubicBezTo>
                <a:cubicBezTo>
                  <a:pt x="99" y="116"/>
                  <a:pt x="98" y="119"/>
                  <a:pt x="99" y="121"/>
                </a:cubicBezTo>
                <a:cubicBezTo>
                  <a:pt x="100" y="123"/>
                  <a:pt x="102" y="125"/>
                  <a:pt x="104" y="127"/>
                </a:cubicBezTo>
                <a:cubicBezTo>
                  <a:pt x="106" y="129"/>
                  <a:pt x="107" y="131"/>
                  <a:pt x="108" y="133"/>
                </a:cubicBezTo>
                <a:cubicBezTo>
                  <a:pt x="110" y="136"/>
                  <a:pt x="113" y="140"/>
                  <a:pt x="115" y="143"/>
                </a:cubicBezTo>
                <a:cubicBezTo>
                  <a:pt x="118" y="148"/>
                  <a:pt x="122" y="152"/>
                  <a:pt x="125" y="157"/>
                </a:cubicBezTo>
                <a:cubicBezTo>
                  <a:pt x="127" y="161"/>
                  <a:pt x="128" y="166"/>
                  <a:pt x="129" y="170"/>
                </a:cubicBezTo>
                <a:cubicBezTo>
                  <a:pt x="129" y="172"/>
                  <a:pt x="129" y="174"/>
                  <a:pt x="129" y="175"/>
                </a:cubicBezTo>
                <a:cubicBezTo>
                  <a:pt x="127" y="177"/>
                  <a:pt x="124" y="178"/>
                  <a:pt x="123" y="181"/>
                </a:cubicBezTo>
                <a:cubicBezTo>
                  <a:pt x="123" y="182"/>
                  <a:pt x="126" y="181"/>
                  <a:pt x="127" y="183"/>
                </a:cubicBezTo>
                <a:cubicBezTo>
                  <a:pt x="127" y="184"/>
                  <a:pt x="125" y="185"/>
                  <a:pt x="125" y="185"/>
                </a:cubicBezTo>
                <a:cubicBezTo>
                  <a:pt x="124" y="187"/>
                  <a:pt x="121" y="187"/>
                  <a:pt x="122" y="189"/>
                </a:cubicBezTo>
                <a:cubicBezTo>
                  <a:pt x="122" y="193"/>
                  <a:pt x="125" y="196"/>
                  <a:pt x="127" y="199"/>
                </a:cubicBezTo>
                <a:cubicBezTo>
                  <a:pt x="129" y="201"/>
                  <a:pt x="132" y="204"/>
                  <a:pt x="135" y="206"/>
                </a:cubicBezTo>
                <a:cubicBezTo>
                  <a:pt x="137" y="207"/>
                  <a:pt x="140" y="207"/>
                  <a:pt x="142" y="209"/>
                </a:cubicBezTo>
                <a:cubicBezTo>
                  <a:pt x="145" y="211"/>
                  <a:pt x="146" y="215"/>
                  <a:pt x="150" y="217"/>
                </a:cubicBezTo>
                <a:cubicBezTo>
                  <a:pt x="154" y="220"/>
                  <a:pt x="161" y="219"/>
                  <a:pt x="165" y="222"/>
                </a:cubicBezTo>
                <a:cubicBezTo>
                  <a:pt x="169" y="224"/>
                  <a:pt x="171" y="228"/>
                  <a:pt x="174" y="230"/>
                </a:cubicBezTo>
                <a:cubicBezTo>
                  <a:pt x="180" y="234"/>
                  <a:pt x="187" y="238"/>
                  <a:pt x="194" y="240"/>
                </a:cubicBezTo>
                <a:cubicBezTo>
                  <a:pt x="197" y="242"/>
                  <a:pt x="200" y="241"/>
                  <a:pt x="203" y="242"/>
                </a:cubicBezTo>
                <a:cubicBezTo>
                  <a:pt x="206" y="242"/>
                  <a:pt x="208" y="245"/>
                  <a:pt x="210" y="246"/>
                </a:cubicBezTo>
                <a:cubicBezTo>
                  <a:pt x="213" y="248"/>
                  <a:pt x="215" y="251"/>
                  <a:pt x="219" y="252"/>
                </a:cubicBezTo>
                <a:cubicBezTo>
                  <a:pt x="223" y="254"/>
                  <a:pt x="228" y="256"/>
                  <a:pt x="233" y="257"/>
                </a:cubicBezTo>
                <a:cubicBezTo>
                  <a:pt x="235" y="258"/>
                  <a:pt x="238" y="258"/>
                  <a:pt x="241" y="257"/>
                </a:cubicBezTo>
                <a:cubicBezTo>
                  <a:pt x="244" y="255"/>
                  <a:pt x="247" y="252"/>
                  <a:pt x="251" y="250"/>
                </a:cubicBezTo>
                <a:cubicBezTo>
                  <a:pt x="252" y="249"/>
                  <a:pt x="252" y="248"/>
                  <a:pt x="253" y="248"/>
                </a:cubicBezTo>
                <a:cubicBezTo>
                  <a:pt x="255" y="248"/>
                  <a:pt x="256" y="249"/>
                  <a:pt x="258" y="250"/>
                </a:cubicBezTo>
                <a:cubicBezTo>
                  <a:pt x="258" y="250"/>
                  <a:pt x="259" y="249"/>
                  <a:pt x="259" y="250"/>
                </a:cubicBezTo>
                <a:cubicBezTo>
                  <a:pt x="262" y="250"/>
                  <a:pt x="265" y="251"/>
                  <a:pt x="267" y="253"/>
                </a:cubicBezTo>
                <a:cubicBezTo>
                  <a:pt x="270" y="256"/>
                  <a:pt x="272" y="260"/>
                  <a:pt x="275" y="264"/>
                </a:cubicBezTo>
                <a:cubicBezTo>
                  <a:pt x="278" y="267"/>
                  <a:pt x="283" y="271"/>
                  <a:pt x="286" y="274"/>
                </a:cubicBezTo>
                <a:cubicBezTo>
                  <a:pt x="286" y="273"/>
                  <a:pt x="287" y="271"/>
                  <a:pt x="288" y="270"/>
                </a:cubicBezTo>
                <a:cubicBezTo>
                  <a:pt x="288" y="268"/>
                  <a:pt x="287" y="267"/>
                  <a:pt x="287" y="265"/>
                </a:cubicBezTo>
                <a:cubicBezTo>
                  <a:pt x="289" y="261"/>
                  <a:pt x="291" y="257"/>
                  <a:pt x="293" y="252"/>
                </a:cubicBezTo>
                <a:cubicBezTo>
                  <a:pt x="298" y="252"/>
                  <a:pt x="304" y="253"/>
                  <a:pt x="309" y="253"/>
                </a:cubicBezTo>
                <a:cubicBezTo>
                  <a:pt x="309" y="251"/>
                  <a:pt x="310" y="248"/>
                  <a:pt x="308" y="246"/>
                </a:cubicBezTo>
                <a:cubicBezTo>
                  <a:pt x="307" y="246"/>
                  <a:pt x="308" y="244"/>
                  <a:pt x="307" y="243"/>
                </a:cubicBezTo>
                <a:cubicBezTo>
                  <a:pt x="306" y="242"/>
                  <a:pt x="304" y="243"/>
                  <a:pt x="303" y="242"/>
                </a:cubicBezTo>
                <a:cubicBezTo>
                  <a:pt x="301" y="241"/>
                  <a:pt x="298" y="239"/>
                  <a:pt x="298" y="237"/>
                </a:cubicBezTo>
                <a:cubicBezTo>
                  <a:pt x="298" y="236"/>
                  <a:pt x="302" y="238"/>
                  <a:pt x="303" y="236"/>
                </a:cubicBezTo>
                <a:cubicBezTo>
                  <a:pt x="305" y="234"/>
                  <a:pt x="304" y="231"/>
                  <a:pt x="304" y="228"/>
                </a:cubicBezTo>
                <a:cubicBezTo>
                  <a:pt x="312" y="227"/>
                  <a:pt x="320" y="228"/>
                  <a:pt x="328" y="227"/>
                </a:cubicBezTo>
                <a:cubicBezTo>
                  <a:pt x="329" y="226"/>
                  <a:pt x="329" y="225"/>
                  <a:pt x="330" y="225"/>
                </a:cubicBezTo>
                <a:cubicBezTo>
                  <a:pt x="331" y="224"/>
                  <a:pt x="332" y="227"/>
                  <a:pt x="333" y="226"/>
                </a:cubicBezTo>
                <a:cubicBezTo>
                  <a:pt x="335" y="225"/>
                  <a:pt x="335" y="223"/>
                  <a:pt x="335" y="221"/>
                </a:cubicBezTo>
                <a:cubicBezTo>
                  <a:pt x="336" y="220"/>
                  <a:pt x="338" y="218"/>
                  <a:pt x="340" y="217"/>
                </a:cubicBezTo>
                <a:close/>
              </a:path>
            </a:pathLst>
          </a:custGeom>
          <a:solidFill>
            <a:schemeClr val="bg1">
              <a:lumMod val="95000"/>
            </a:schemeClr>
          </a:solidFill>
          <a:ln w="3175" cap="rnd">
            <a:solidFill>
              <a:srgbClr val="A5A5A5"/>
            </a:solidFill>
            <a:round/>
            <a:headEnd/>
            <a:tailEnd/>
          </a:ln>
        </xdr:spPr>
      </xdr:sp>
      <xdr:sp macro="" textlink="">
        <xdr:nvSpPr>
          <xdr:cNvPr id="358" name="CRI"/>
          <xdr:cNvSpPr>
            <a:spLocks noChangeAspect="1"/>
          </xdr:cNvSpPr>
        </xdr:nvSpPr>
        <xdr:spPr bwMode="auto">
          <a:xfrm>
            <a:off x="3769755" y="5003792"/>
            <a:ext cx="97827" cy="126653"/>
          </a:xfrm>
          <a:custGeom>
            <a:avLst/>
            <a:gdLst>
              <a:gd name="T0" fmla="*/ 114001 w 42"/>
              <a:gd name="T1" fmla="*/ 65568 h 47"/>
              <a:gd name="T2" fmla="*/ 110136 w 42"/>
              <a:gd name="T3" fmla="*/ 58074 h 47"/>
              <a:gd name="T4" fmla="*/ 102407 w 42"/>
              <a:gd name="T5" fmla="*/ 50581 h 47"/>
              <a:gd name="T6" fmla="*/ 85017 w 42"/>
              <a:gd name="T7" fmla="*/ 33721 h 47"/>
              <a:gd name="T8" fmla="*/ 85017 w 42"/>
              <a:gd name="T9" fmla="*/ 18734 h 47"/>
              <a:gd name="T10" fmla="*/ 83085 w 42"/>
              <a:gd name="T11" fmla="*/ 11240 h 47"/>
              <a:gd name="T12" fmla="*/ 79221 w 42"/>
              <a:gd name="T13" fmla="*/ 18734 h 47"/>
              <a:gd name="T14" fmla="*/ 57966 w 42"/>
              <a:gd name="T15" fmla="*/ 18734 h 47"/>
              <a:gd name="T16" fmla="*/ 48305 w 42"/>
              <a:gd name="T17" fmla="*/ 11240 h 47"/>
              <a:gd name="T18" fmla="*/ 36712 w 42"/>
              <a:gd name="T19" fmla="*/ 11240 h 47"/>
              <a:gd name="T20" fmla="*/ 11593 w 42"/>
              <a:gd name="T21" fmla="*/ 0 h 47"/>
              <a:gd name="T22" fmla="*/ 9661 w 42"/>
              <a:gd name="T23" fmla="*/ 0 h 47"/>
              <a:gd name="T24" fmla="*/ 1932 w 42"/>
              <a:gd name="T25" fmla="*/ 1873 h 47"/>
              <a:gd name="T26" fmla="*/ 0 w 42"/>
              <a:gd name="T27" fmla="*/ 11240 h 47"/>
              <a:gd name="T28" fmla="*/ 1932 w 42"/>
              <a:gd name="T29" fmla="*/ 18734 h 47"/>
              <a:gd name="T30" fmla="*/ 1932 w 42"/>
              <a:gd name="T31" fmla="*/ 26227 h 47"/>
              <a:gd name="T32" fmla="*/ 0 w 42"/>
              <a:gd name="T33" fmla="*/ 43087 h 47"/>
              <a:gd name="T34" fmla="*/ 1932 w 42"/>
              <a:gd name="T35" fmla="*/ 50581 h 47"/>
              <a:gd name="T36" fmla="*/ 15458 w 42"/>
              <a:gd name="T37" fmla="*/ 58074 h 47"/>
              <a:gd name="T38" fmla="*/ 28983 w 42"/>
              <a:gd name="T39" fmla="*/ 59948 h 47"/>
              <a:gd name="T40" fmla="*/ 28983 w 42"/>
              <a:gd name="T41" fmla="*/ 56201 h 47"/>
              <a:gd name="T42" fmla="*/ 23187 w 42"/>
              <a:gd name="T43" fmla="*/ 43087 h 47"/>
              <a:gd name="T44" fmla="*/ 25119 w 42"/>
              <a:gd name="T45" fmla="*/ 39341 h 47"/>
              <a:gd name="T46" fmla="*/ 36712 w 42"/>
              <a:gd name="T47" fmla="*/ 50581 h 47"/>
              <a:gd name="T48" fmla="*/ 42509 w 42"/>
              <a:gd name="T49" fmla="*/ 65568 h 47"/>
              <a:gd name="T50" fmla="*/ 65695 w 42"/>
              <a:gd name="T51" fmla="*/ 71188 h 47"/>
              <a:gd name="T52" fmla="*/ 79221 w 42"/>
              <a:gd name="T53" fmla="*/ 84301 h 47"/>
              <a:gd name="T54" fmla="*/ 79221 w 42"/>
              <a:gd name="T55" fmla="*/ 103035 h 47"/>
              <a:gd name="T56" fmla="*/ 90814 w 42"/>
              <a:gd name="T57" fmla="*/ 112402 h 47"/>
              <a:gd name="T58" fmla="*/ 85017 w 42"/>
              <a:gd name="T59" fmla="*/ 103035 h 47"/>
              <a:gd name="T60" fmla="*/ 85017 w 42"/>
              <a:gd name="T61" fmla="*/ 95541 h 47"/>
              <a:gd name="T62" fmla="*/ 94678 w 42"/>
              <a:gd name="T63" fmla="*/ 103035 h 47"/>
              <a:gd name="T64" fmla="*/ 106272 w 42"/>
              <a:gd name="T65" fmla="*/ 123642 h 47"/>
              <a:gd name="T66" fmla="*/ 106272 w 42"/>
              <a:gd name="T67" fmla="*/ 116148 h 47"/>
              <a:gd name="T68" fmla="*/ 110136 w 42"/>
              <a:gd name="T69" fmla="*/ 108655 h 47"/>
              <a:gd name="T70" fmla="*/ 110136 w 42"/>
              <a:gd name="T71" fmla="*/ 97415 h 47"/>
              <a:gd name="T72" fmla="*/ 119797 w 42"/>
              <a:gd name="T73" fmla="*/ 91795 h 47"/>
              <a:gd name="T74" fmla="*/ 110136 w 42"/>
              <a:gd name="T75" fmla="*/ 80555 h 47"/>
              <a:gd name="T76" fmla="*/ 114001 w 42"/>
              <a:gd name="T77" fmla="*/ 65568 h 47"/>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2"/>
              <a:gd name="T118" fmla="*/ 0 h 47"/>
              <a:gd name="T119" fmla="*/ 42 w 42"/>
              <a:gd name="T120" fmla="*/ 47 h 47"/>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2" h="47">
                <a:moveTo>
                  <a:pt x="40" y="24"/>
                </a:moveTo>
                <a:cubicBezTo>
                  <a:pt x="40" y="23"/>
                  <a:pt x="40" y="23"/>
                  <a:pt x="39" y="22"/>
                </a:cubicBezTo>
                <a:cubicBezTo>
                  <a:pt x="38" y="21"/>
                  <a:pt x="37" y="20"/>
                  <a:pt x="36" y="19"/>
                </a:cubicBezTo>
                <a:cubicBezTo>
                  <a:pt x="34" y="17"/>
                  <a:pt x="31" y="15"/>
                  <a:pt x="30" y="13"/>
                </a:cubicBezTo>
                <a:cubicBezTo>
                  <a:pt x="29" y="11"/>
                  <a:pt x="30" y="9"/>
                  <a:pt x="30" y="7"/>
                </a:cubicBezTo>
                <a:cubicBezTo>
                  <a:pt x="30" y="6"/>
                  <a:pt x="29" y="5"/>
                  <a:pt x="29" y="4"/>
                </a:cubicBezTo>
                <a:cubicBezTo>
                  <a:pt x="29" y="5"/>
                  <a:pt x="29" y="7"/>
                  <a:pt x="28" y="7"/>
                </a:cubicBezTo>
                <a:cubicBezTo>
                  <a:pt x="26" y="8"/>
                  <a:pt x="23" y="8"/>
                  <a:pt x="21" y="7"/>
                </a:cubicBezTo>
                <a:cubicBezTo>
                  <a:pt x="19" y="7"/>
                  <a:pt x="19" y="4"/>
                  <a:pt x="17" y="4"/>
                </a:cubicBezTo>
                <a:cubicBezTo>
                  <a:pt x="16" y="3"/>
                  <a:pt x="14" y="4"/>
                  <a:pt x="13" y="4"/>
                </a:cubicBezTo>
                <a:cubicBezTo>
                  <a:pt x="9" y="3"/>
                  <a:pt x="8" y="0"/>
                  <a:pt x="4" y="0"/>
                </a:cubicBezTo>
                <a:lnTo>
                  <a:pt x="3" y="0"/>
                </a:lnTo>
                <a:cubicBezTo>
                  <a:pt x="2" y="0"/>
                  <a:pt x="2" y="1"/>
                  <a:pt x="1" y="1"/>
                </a:cubicBezTo>
                <a:cubicBezTo>
                  <a:pt x="1" y="2"/>
                  <a:pt x="0" y="3"/>
                  <a:pt x="0" y="4"/>
                </a:cubicBezTo>
                <a:cubicBezTo>
                  <a:pt x="0" y="5"/>
                  <a:pt x="1" y="6"/>
                  <a:pt x="1" y="7"/>
                </a:cubicBezTo>
                <a:cubicBezTo>
                  <a:pt x="1" y="8"/>
                  <a:pt x="1" y="9"/>
                  <a:pt x="1" y="10"/>
                </a:cubicBezTo>
                <a:cubicBezTo>
                  <a:pt x="1" y="12"/>
                  <a:pt x="0" y="14"/>
                  <a:pt x="0" y="16"/>
                </a:cubicBezTo>
                <a:cubicBezTo>
                  <a:pt x="0" y="17"/>
                  <a:pt x="0" y="18"/>
                  <a:pt x="1" y="19"/>
                </a:cubicBezTo>
                <a:cubicBezTo>
                  <a:pt x="3" y="20"/>
                  <a:pt x="4" y="21"/>
                  <a:pt x="6" y="22"/>
                </a:cubicBezTo>
                <a:cubicBezTo>
                  <a:pt x="7" y="23"/>
                  <a:pt x="9" y="24"/>
                  <a:pt x="10" y="23"/>
                </a:cubicBezTo>
                <a:cubicBezTo>
                  <a:pt x="11" y="23"/>
                  <a:pt x="10" y="22"/>
                  <a:pt x="10" y="21"/>
                </a:cubicBezTo>
                <a:cubicBezTo>
                  <a:pt x="10" y="19"/>
                  <a:pt x="8" y="18"/>
                  <a:pt x="8" y="16"/>
                </a:cubicBezTo>
                <a:cubicBezTo>
                  <a:pt x="8" y="15"/>
                  <a:pt x="9" y="15"/>
                  <a:pt x="9" y="15"/>
                </a:cubicBezTo>
                <a:cubicBezTo>
                  <a:pt x="11" y="16"/>
                  <a:pt x="12" y="18"/>
                  <a:pt x="13" y="19"/>
                </a:cubicBezTo>
                <a:cubicBezTo>
                  <a:pt x="14" y="21"/>
                  <a:pt x="13" y="23"/>
                  <a:pt x="15" y="24"/>
                </a:cubicBezTo>
                <a:cubicBezTo>
                  <a:pt x="17" y="26"/>
                  <a:pt x="21" y="25"/>
                  <a:pt x="23" y="27"/>
                </a:cubicBezTo>
                <a:cubicBezTo>
                  <a:pt x="25" y="28"/>
                  <a:pt x="27" y="30"/>
                  <a:pt x="28" y="32"/>
                </a:cubicBezTo>
                <a:cubicBezTo>
                  <a:pt x="28" y="34"/>
                  <a:pt x="27" y="37"/>
                  <a:pt x="28" y="39"/>
                </a:cubicBezTo>
                <a:cubicBezTo>
                  <a:pt x="28" y="41"/>
                  <a:pt x="31" y="42"/>
                  <a:pt x="32" y="42"/>
                </a:cubicBezTo>
                <a:cubicBezTo>
                  <a:pt x="34" y="42"/>
                  <a:pt x="31" y="40"/>
                  <a:pt x="30" y="39"/>
                </a:cubicBezTo>
                <a:cubicBezTo>
                  <a:pt x="30" y="38"/>
                  <a:pt x="29" y="36"/>
                  <a:pt x="30" y="36"/>
                </a:cubicBezTo>
                <a:cubicBezTo>
                  <a:pt x="32" y="36"/>
                  <a:pt x="32" y="38"/>
                  <a:pt x="33" y="39"/>
                </a:cubicBezTo>
                <a:cubicBezTo>
                  <a:pt x="35" y="41"/>
                  <a:pt x="35" y="44"/>
                  <a:pt x="37" y="46"/>
                </a:cubicBezTo>
                <a:cubicBezTo>
                  <a:pt x="37" y="47"/>
                  <a:pt x="37" y="44"/>
                  <a:pt x="37" y="44"/>
                </a:cubicBezTo>
                <a:cubicBezTo>
                  <a:pt x="38" y="43"/>
                  <a:pt x="39" y="42"/>
                  <a:pt x="39" y="41"/>
                </a:cubicBezTo>
                <a:cubicBezTo>
                  <a:pt x="39" y="39"/>
                  <a:pt x="38" y="38"/>
                  <a:pt x="39" y="37"/>
                </a:cubicBezTo>
                <a:cubicBezTo>
                  <a:pt x="39" y="35"/>
                  <a:pt x="42" y="35"/>
                  <a:pt x="42" y="34"/>
                </a:cubicBezTo>
                <a:cubicBezTo>
                  <a:pt x="42" y="32"/>
                  <a:pt x="39" y="32"/>
                  <a:pt x="39" y="30"/>
                </a:cubicBezTo>
                <a:cubicBezTo>
                  <a:pt x="38" y="28"/>
                  <a:pt x="40" y="26"/>
                  <a:pt x="40" y="24"/>
                </a:cubicBezTo>
                <a:close/>
              </a:path>
            </a:pathLst>
          </a:custGeom>
          <a:solidFill>
            <a:schemeClr val="bg1">
              <a:lumMod val="95000"/>
            </a:schemeClr>
          </a:solidFill>
          <a:ln w="3175" cap="rnd">
            <a:solidFill>
              <a:srgbClr val="A5A5A5"/>
            </a:solidFill>
            <a:round/>
            <a:headEnd/>
            <a:tailEnd/>
          </a:ln>
        </xdr:spPr>
      </xdr:sp>
      <xdr:sp macro="" textlink="">
        <xdr:nvSpPr>
          <xdr:cNvPr id="359" name="COL"/>
          <xdr:cNvSpPr>
            <a:spLocks noChangeAspect="1"/>
          </xdr:cNvSpPr>
        </xdr:nvSpPr>
        <xdr:spPr bwMode="auto">
          <a:xfrm>
            <a:off x="3955858" y="4969251"/>
            <a:ext cx="346973" cy="564180"/>
          </a:xfrm>
          <a:custGeom>
            <a:avLst/>
            <a:gdLst>
              <a:gd name="T0" fmla="*/ 76631 w 152"/>
              <a:gd name="T1" fmla="*/ 179724 h 241"/>
              <a:gd name="T2" fmla="*/ 93873 w 152"/>
              <a:gd name="T3" fmla="*/ 146026 h 241"/>
              <a:gd name="T4" fmla="*/ 116862 w 152"/>
              <a:gd name="T5" fmla="*/ 112327 h 241"/>
              <a:gd name="T6" fmla="*/ 139851 w 152"/>
              <a:gd name="T7" fmla="*/ 65524 h 241"/>
              <a:gd name="T8" fmla="*/ 168588 w 152"/>
              <a:gd name="T9" fmla="*/ 58036 h 241"/>
              <a:gd name="T10" fmla="*/ 218398 w 152"/>
              <a:gd name="T11" fmla="*/ 41187 h 241"/>
              <a:gd name="T12" fmla="*/ 252882 w 152"/>
              <a:gd name="T13" fmla="*/ 13105 h 241"/>
              <a:gd name="T14" fmla="*/ 281618 w 152"/>
              <a:gd name="T15" fmla="*/ 18721 h 241"/>
              <a:gd name="T16" fmla="*/ 239471 w 152"/>
              <a:gd name="T17" fmla="*/ 54292 h 241"/>
              <a:gd name="T18" fmla="*/ 195408 w 152"/>
              <a:gd name="T19" fmla="*/ 132921 h 241"/>
              <a:gd name="T20" fmla="*/ 226061 w 152"/>
              <a:gd name="T21" fmla="*/ 134793 h 241"/>
              <a:gd name="T22" fmla="*/ 239471 w 152"/>
              <a:gd name="T23" fmla="*/ 202189 h 241"/>
              <a:gd name="T24" fmla="*/ 281618 w 152"/>
              <a:gd name="T25" fmla="*/ 211550 h 241"/>
              <a:gd name="T26" fmla="*/ 314186 w 152"/>
              <a:gd name="T27" fmla="*/ 215294 h 241"/>
              <a:gd name="T28" fmla="*/ 352502 w 152"/>
              <a:gd name="T29" fmla="*/ 245248 h 241"/>
              <a:gd name="T30" fmla="*/ 404227 w 152"/>
              <a:gd name="T31" fmla="*/ 245248 h 241"/>
              <a:gd name="T32" fmla="*/ 394649 w 152"/>
              <a:gd name="T33" fmla="*/ 286435 h 241"/>
              <a:gd name="T34" fmla="*/ 396564 w 152"/>
              <a:gd name="T35" fmla="*/ 335110 h 241"/>
              <a:gd name="T36" fmla="*/ 385070 w 152"/>
              <a:gd name="T37" fmla="*/ 370681 h 241"/>
              <a:gd name="T38" fmla="*/ 421469 w 152"/>
              <a:gd name="T39" fmla="*/ 430589 h 241"/>
              <a:gd name="T40" fmla="*/ 396564 w 152"/>
              <a:gd name="T41" fmla="*/ 396890 h 241"/>
              <a:gd name="T42" fmla="*/ 375491 w 152"/>
              <a:gd name="T43" fmla="*/ 409995 h 241"/>
              <a:gd name="T44" fmla="*/ 337175 w 152"/>
              <a:gd name="T45" fmla="*/ 436205 h 241"/>
              <a:gd name="T46" fmla="*/ 323765 w 152"/>
              <a:gd name="T47" fmla="*/ 451182 h 241"/>
              <a:gd name="T48" fmla="*/ 327597 w 152"/>
              <a:gd name="T49" fmla="*/ 505474 h 241"/>
              <a:gd name="T50" fmla="*/ 318018 w 152"/>
              <a:gd name="T51" fmla="*/ 649627 h 241"/>
              <a:gd name="T52" fmla="*/ 308439 w 152"/>
              <a:gd name="T53" fmla="*/ 621545 h 241"/>
              <a:gd name="T54" fmla="*/ 302692 w 152"/>
              <a:gd name="T55" fmla="*/ 578487 h 241"/>
              <a:gd name="T56" fmla="*/ 268208 w 152"/>
              <a:gd name="T57" fmla="*/ 572870 h 241"/>
              <a:gd name="T58" fmla="*/ 214566 w 152"/>
              <a:gd name="T59" fmla="*/ 570998 h 241"/>
              <a:gd name="T60" fmla="*/ 203072 w 152"/>
              <a:gd name="T61" fmla="*/ 544788 h 241"/>
              <a:gd name="T62" fmla="*/ 162840 w 152"/>
              <a:gd name="T63" fmla="*/ 522323 h 241"/>
              <a:gd name="T64" fmla="*/ 134104 w 152"/>
              <a:gd name="T65" fmla="*/ 484880 h 241"/>
              <a:gd name="T66" fmla="*/ 90041 w 152"/>
              <a:gd name="T67" fmla="*/ 462415 h 241"/>
              <a:gd name="T68" fmla="*/ 65136 w 152"/>
              <a:gd name="T69" fmla="*/ 462415 h 241"/>
              <a:gd name="T70" fmla="*/ 30652 w 152"/>
              <a:gd name="T71" fmla="*/ 443694 h 241"/>
              <a:gd name="T72" fmla="*/ 1916 w 152"/>
              <a:gd name="T73" fmla="*/ 417484 h 241"/>
              <a:gd name="T74" fmla="*/ 9579 w 152"/>
              <a:gd name="T75" fmla="*/ 395018 h 241"/>
              <a:gd name="T76" fmla="*/ 44063 w 152"/>
              <a:gd name="T77" fmla="*/ 376297 h 241"/>
              <a:gd name="T78" fmla="*/ 67052 w 152"/>
              <a:gd name="T79" fmla="*/ 335110 h 241"/>
              <a:gd name="T80" fmla="*/ 45978 w 152"/>
              <a:gd name="T81" fmla="*/ 314517 h 241"/>
              <a:gd name="T82" fmla="*/ 45978 w 152"/>
              <a:gd name="T83" fmla="*/ 271458 h 241"/>
              <a:gd name="T84" fmla="*/ 57473 w 152"/>
              <a:gd name="T85" fmla="*/ 234016 h 241"/>
              <a:gd name="T86" fmla="*/ 38315 w 152"/>
              <a:gd name="T87" fmla="*/ 200317 h 241"/>
              <a:gd name="T88" fmla="*/ 57473 w 152"/>
              <a:gd name="T89" fmla="*/ 170363 h 24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152"/>
              <a:gd name="T136" fmla="*/ 0 h 241"/>
              <a:gd name="T137" fmla="*/ 152 w 152"/>
              <a:gd name="T138" fmla="*/ 241 h 24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152" h="241">
                <a:moveTo>
                  <a:pt x="21" y="56"/>
                </a:moveTo>
                <a:cubicBezTo>
                  <a:pt x="22" y="58"/>
                  <a:pt x="26" y="61"/>
                  <a:pt x="27" y="63"/>
                </a:cubicBezTo>
                <a:cubicBezTo>
                  <a:pt x="27" y="64"/>
                  <a:pt x="26" y="66"/>
                  <a:pt x="27" y="67"/>
                </a:cubicBezTo>
                <a:cubicBezTo>
                  <a:pt x="27" y="68"/>
                  <a:pt x="29" y="68"/>
                  <a:pt x="29" y="67"/>
                </a:cubicBezTo>
                <a:cubicBezTo>
                  <a:pt x="30" y="64"/>
                  <a:pt x="27" y="61"/>
                  <a:pt x="28" y="58"/>
                </a:cubicBezTo>
                <a:cubicBezTo>
                  <a:pt x="29" y="56"/>
                  <a:pt x="32" y="56"/>
                  <a:pt x="34" y="54"/>
                </a:cubicBezTo>
                <a:cubicBezTo>
                  <a:pt x="36" y="52"/>
                  <a:pt x="36" y="49"/>
                  <a:pt x="38" y="48"/>
                </a:cubicBezTo>
                <a:cubicBezTo>
                  <a:pt x="40" y="46"/>
                  <a:pt x="42" y="48"/>
                  <a:pt x="44" y="46"/>
                </a:cubicBezTo>
                <a:cubicBezTo>
                  <a:pt x="44" y="45"/>
                  <a:pt x="42" y="43"/>
                  <a:pt x="42" y="42"/>
                </a:cubicBezTo>
                <a:cubicBezTo>
                  <a:pt x="43" y="38"/>
                  <a:pt x="44" y="35"/>
                  <a:pt x="44" y="31"/>
                </a:cubicBezTo>
                <a:cubicBezTo>
                  <a:pt x="44" y="31"/>
                  <a:pt x="43" y="30"/>
                  <a:pt x="44" y="29"/>
                </a:cubicBezTo>
                <a:cubicBezTo>
                  <a:pt x="46" y="27"/>
                  <a:pt x="49" y="26"/>
                  <a:pt x="51" y="24"/>
                </a:cubicBezTo>
                <a:cubicBezTo>
                  <a:pt x="53" y="23"/>
                  <a:pt x="54" y="20"/>
                  <a:pt x="57" y="20"/>
                </a:cubicBezTo>
                <a:cubicBezTo>
                  <a:pt x="58" y="20"/>
                  <a:pt x="58" y="23"/>
                  <a:pt x="60" y="24"/>
                </a:cubicBezTo>
                <a:cubicBezTo>
                  <a:pt x="61" y="24"/>
                  <a:pt x="61" y="23"/>
                  <a:pt x="61" y="22"/>
                </a:cubicBezTo>
                <a:cubicBezTo>
                  <a:pt x="62" y="20"/>
                  <a:pt x="62" y="17"/>
                  <a:pt x="64" y="16"/>
                </a:cubicBezTo>
                <a:cubicBezTo>
                  <a:pt x="66" y="15"/>
                  <a:pt x="69" y="17"/>
                  <a:pt x="71" y="17"/>
                </a:cubicBezTo>
                <a:cubicBezTo>
                  <a:pt x="74" y="17"/>
                  <a:pt x="77" y="16"/>
                  <a:pt x="79" y="15"/>
                </a:cubicBezTo>
                <a:cubicBezTo>
                  <a:pt x="83" y="13"/>
                  <a:pt x="86" y="11"/>
                  <a:pt x="88" y="8"/>
                </a:cubicBezTo>
                <a:cubicBezTo>
                  <a:pt x="89" y="7"/>
                  <a:pt x="87" y="4"/>
                  <a:pt x="88" y="3"/>
                </a:cubicBezTo>
                <a:cubicBezTo>
                  <a:pt x="89" y="2"/>
                  <a:pt x="90" y="5"/>
                  <a:pt x="91" y="5"/>
                </a:cubicBezTo>
                <a:cubicBezTo>
                  <a:pt x="93" y="4"/>
                  <a:pt x="94" y="1"/>
                  <a:pt x="96" y="0"/>
                </a:cubicBezTo>
                <a:cubicBezTo>
                  <a:pt x="97" y="0"/>
                  <a:pt x="99" y="0"/>
                  <a:pt x="99" y="1"/>
                </a:cubicBezTo>
                <a:cubicBezTo>
                  <a:pt x="101" y="2"/>
                  <a:pt x="101" y="5"/>
                  <a:pt x="101" y="7"/>
                </a:cubicBezTo>
                <a:cubicBezTo>
                  <a:pt x="101" y="8"/>
                  <a:pt x="100" y="7"/>
                  <a:pt x="99" y="8"/>
                </a:cubicBezTo>
                <a:cubicBezTo>
                  <a:pt x="96" y="9"/>
                  <a:pt x="92" y="9"/>
                  <a:pt x="89" y="12"/>
                </a:cubicBezTo>
                <a:cubicBezTo>
                  <a:pt x="87" y="14"/>
                  <a:pt x="87" y="17"/>
                  <a:pt x="86" y="20"/>
                </a:cubicBezTo>
                <a:cubicBezTo>
                  <a:pt x="84" y="24"/>
                  <a:pt x="80" y="26"/>
                  <a:pt x="78" y="31"/>
                </a:cubicBezTo>
                <a:cubicBezTo>
                  <a:pt x="77" y="33"/>
                  <a:pt x="79" y="37"/>
                  <a:pt x="78" y="39"/>
                </a:cubicBezTo>
                <a:cubicBezTo>
                  <a:pt x="76" y="43"/>
                  <a:pt x="72" y="45"/>
                  <a:pt x="71" y="49"/>
                </a:cubicBezTo>
                <a:cubicBezTo>
                  <a:pt x="71" y="50"/>
                  <a:pt x="72" y="51"/>
                  <a:pt x="73" y="51"/>
                </a:cubicBezTo>
                <a:cubicBezTo>
                  <a:pt x="74" y="51"/>
                  <a:pt x="75" y="49"/>
                  <a:pt x="76" y="49"/>
                </a:cubicBezTo>
                <a:cubicBezTo>
                  <a:pt x="77" y="48"/>
                  <a:pt x="79" y="49"/>
                  <a:pt x="81" y="50"/>
                </a:cubicBezTo>
                <a:cubicBezTo>
                  <a:pt x="83" y="52"/>
                  <a:pt x="83" y="55"/>
                  <a:pt x="84" y="58"/>
                </a:cubicBezTo>
                <a:cubicBezTo>
                  <a:pt x="85" y="62"/>
                  <a:pt x="83" y="65"/>
                  <a:pt x="84" y="69"/>
                </a:cubicBezTo>
                <a:cubicBezTo>
                  <a:pt x="84" y="71"/>
                  <a:pt x="85" y="73"/>
                  <a:pt x="86" y="75"/>
                </a:cubicBezTo>
                <a:cubicBezTo>
                  <a:pt x="87" y="76"/>
                  <a:pt x="87" y="78"/>
                  <a:pt x="88" y="78"/>
                </a:cubicBezTo>
                <a:cubicBezTo>
                  <a:pt x="91" y="78"/>
                  <a:pt x="94" y="77"/>
                  <a:pt x="96" y="77"/>
                </a:cubicBezTo>
                <a:cubicBezTo>
                  <a:pt x="98" y="77"/>
                  <a:pt x="100" y="78"/>
                  <a:pt x="101" y="78"/>
                </a:cubicBezTo>
                <a:cubicBezTo>
                  <a:pt x="103" y="78"/>
                  <a:pt x="104" y="76"/>
                  <a:pt x="106" y="76"/>
                </a:cubicBezTo>
                <a:cubicBezTo>
                  <a:pt x="108" y="76"/>
                  <a:pt x="107" y="79"/>
                  <a:pt x="108" y="80"/>
                </a:cubicBezTo>
                <a:cubicBezTo>
                  <a:pt x="110" y="81"/>
                  <a:pt x="112" y="79"/>
                  <a:pt x="113" y="80"/>
                </a:cubicBezTo>
                <a:cubicBezTo>
                  <a:pt x="116" y="83"/>
                  <a:pt x="118" y="88"/>
                  <a:pt x="121" y="91"/>
                </a:cubicBezTo>
                <a:cubicBezTo>
                  <a:pt x="122" y="92"/>
                  <a:pt x="123" y="90"/>
                  <a:pt x="125" y="90"/>
                </a:cubicBezTo>
                <a:cubicBezTo>
                  <a:pt x="125" y="90"/>
                  <a:pt x="126" y="91"/>
                  <a:pt x="127" y="91"/>
                </a:cubicBezTo>
                <a:cubicBezTo>
                  <a:pt x="129" y="91"/>
                  <a:pt x="130" y="91"/>
                  <a:pt x="132" y="91"/>
                </a:cubicBezTo>
                <a:cubicBezTo>
                  <a:pt x="136" y="91"/>
                  <a:pt x="139" y="90"/>
                  <a:pt x="142" y="90"/>
                </a:cubicBezTo>
                <a:cubicBezTo>
                  <a:pt x="143" y="90"/>
                  <a:pt x="145" y="90"/>
                  <a:pt x="145" y="91"/>
                </a:cubicBezTo>
                <a:cubicBezTo>
                  <a:pt x="146" y="94"/>
                  <a:pt x="146" y="98"/>
                  <a:pt x="145" y="101"/>
                </a:cubicBezTo>
                <a:cubicBezTo>
                  <a:pt x="144" y="102"/>
                  <a:pt x="141" y="102"/>
                  <a:pt x="141" y="104"/>
                </a:cubicBezTo>
                <a:cubicBezTo>
                  <a:pt x="140" y="105"/>
                  <a:pt x="142" y="106"/>
                  <a:pt x="142" y="107"/>
                </a:cubicBezTo>
                <a:cubicBezTo>
                  <a:pt x="141" y="109"/>
                  <a:pt x="139" y="111"/>
                  <a:pt x="139" y="113"/>
                </a:cubicBezTo>
                <a:cubicBezTo>
                  <a:pt x="140" y="115"/>
                  <a:pt x="143" y="116"/>
                  <a:pt x="143" y="118"/>
                </a:cubicBezTo>
                <a:cubicBezTo>
                  <a:pt x="144" y="120"/>
                  <a:pt x="143" y="122"/>
                  <a:pt x="143" y="124"/>
                </a:cubicBezTo>
                <a:cubicBezTo>
                  <a:pt x="143" y="124"/>
                  <a:pt x="145" y="124"/>
                  <a:pt x="145" y="124"/>
                </a:cubicBezTo>
                <a:cubicBezTo>
                  <a:pt x="146" y="126"/>
                  <a:pt x="146" y="129"/>
                  <a:pt x="145" y="131"/>
                </a:cubicBezTo>
                <a:cubicBezTo>
                  <a:pt x="144" y="134"/>
                  <a:pt x="140" y="135"/>
                  <a:pt x="139" y="138"/>
                </a:cubicBezTo>
                <a:cubicBezTo>
                  <a:pt x="139" y="140"/>
                  <a:pt x="143" y="140"/>
                  <a:pt x="144" y="142"/>
                </a:cubicBezTo>
                <a:cubicBezTo>
                  <a:pt x="146" y="143"/>
                  <a:pt x="146" y="145"/>
                  <a:pt x="147" y="146"/>
                </a:cubicBezTo>
                <a:cubicBezTo>
                  <a:pt x="149" y="151"/>
                  <a:pt x="150" y="155"/>
                  <a:pt x="152" y="160"/>
                </a:cubicBezTo>
                <a:cubicBezTo>
                  <a:pt x="151" y="161"/>
                  <a:pt x="151" y="162"/>
                  <a:pt x="150" y="163"/>
                </a:cubicBezTo>
                <a:cubicBezTo>
                  <a:pt x="148" y="159"/>
                  <a:pt x="147" y="155"/>
                  <a:pt x="145" y="151"/>
                </a:cubicBezTo>
                <a:cubicBezTo>
                  <a:pt x="144" y="150"/>
                  <a:pt x="144" y="147"/>
                  <a:pt x="143" y="148"/>
                </a:cubicBezTo>
                <a:cubicBezTo>
                  <a:pt x="141" y="148"/>
                  <a:pt x="141" y="151"/>
                  <a:pt x="140" y="153"/>
                </a:cubicBezTo>
                <a:cubicBezTo>
                  <a:pt x="138" y="152"/>
                  <a:pt x="137" y="151"/>
                  <a:pt x="136" y="151"/>
                </a:cubicBezTo>
                <a:cubicBezTo>
                  <a:pt x="135" y="151"/>
                  <a:pt x="135" y="152"/>
                  <a:pt x="135" y="153"/>
                </a:cubicBezTo>
                <a:cubicBezTo>
                  <a:pt x="129" y="153"/>
                  <a:pt x="123" y="154"/>
                  <a:pt x="117" y="154"/>
                </a:cubicBezTo>
                <a:cubicBezTo>
                  <a:pt x="117" y="157"/>
                  <a:pt x="117" y="159"/>
                  <a:pt x="118" y="162"/>
                </a:cubicBezTo>
                <a:cubicBezTo>
                  <a:pt x="119" y="162"/>
                  <a:pt x="120" y="161"/>
                  <a:pt x="121" y="162"/>
                </a:cubicBezTo>
                <a:cubicBezTo>
                  <a:pt x="122" y="163"/>
                  <a:pt x="122" y="164"/>
                  <a:pt x="123" y="166"/>
                </a:cubicBezTo>
                <a:cubicBezTo>
                  <a:pt x="123" y="167"/>
                  <a:pt x="124" y="168"/>
                  <a:pt x="123" y="168"/>
                </a:cubicBezTo>
                <a:cubicBezTo>
                  <a:pt x="121" y="169"/>
                  <a:pt x="119" y="168"/>
                  <a:pt x="116" y="168"/>
                </a:cubicBezTo>
                <a:cubicBezTo>
                  <a:pt x="115" y="169"/>
                  <a:pt x="114" y="169"/>
                  <a:pt x="113" y="170"/>
                </a:cubicBezTo>
                <a:cubicBezTo>
                  <a:pt x="113" y="175"/>
                  <a:pt x="113" y="180"/>
                  <a:pt x="113" y="185"/>
                </a:cubicBezTo>
                <a:cubicBezTo>
                  <a:pt x="114" y="186"/>
                  <a:pt x="116" y="187"/>
                  <a:pt x="118" y="188"/>
                </a:cubicBezTo>
                <a:cubicBezTo>
                  <a:pt x="119" y="190"/>
                  <a:pt x="121" y="191"/>
                  <a:pt x="123" y="193"/>
                </a:cubicBezTo>
                <a:cubicBezTo>
                  <a:pt x="122" y="195"/>
                  <a:pt x="122" y="197"/>
                  <a:pt x="121" y="200"/>
                </a:cubicBezTo>
                <a:cubicBezTo>
                  <a:pt x="119" y="213"/>
                  <a:pt x="117" y="228"/>
                  <a:pt x="115" y="241"/>
                </a:cubicBezTo>
                <a:cubicBezTo>
                  <a:pt x="115" y="239"/>
                  <a:pt x="115" y="238"/>
                  <a:pt x="114" y="236"/>
                </a:cubicBezTo>
                <a:cubicBezTo>
                  <a:pt x="113" y="235"/>
                  <a:pt x="111" y="234"/>
                  <a:pt x="111" y="233"/>
                </a:cubicBezTo>
                <a:cubicBezTo>
                  <a:pt x="110" y="232"/>
                  <a:pt x="112" y="231"/>
                  <a:pt x="111" y="231"/>
                </a:cubicBezTo>
                <a:cubicBezTo>
                  <a:pt x="110" y="230"/>
                  <a:pt x="107" y="232"/>
                  <a:pt x="107" y="230"/>
                </a:cubicBezTo>
                <a:cubicBezTo>
                  <a:pt x="108" y="225"/>
                  <a:pt x="112" y="221"/>
                  <a:pt x="113" y="215"/>
                </a:cubicBezTo>
                <a:cubicBezTo>
                  <a:pt x="113" y="214"/>
                  <a:pt x="110" y="216"/>
                  <a:pt x="109" y="215"/>
                </a:cubicBezTo>
                <a:cubicBezTo>
                  <a:pt x="108" y="214"/>
                  <a:pt x="110" y="212"/>
                  <a:pt x="109" y="211"/>
                </a:cubicBezTo>
                <a:cubicBezTo>
                  <a:pt x="107" y="210"/>
                  <a:pt x="104" y="210"/>
                  <a:pt x="102" y="210"/>
                </a:cubicBezTo>
                <a:cubicBezTo>
                  <a:pt x="100" y="211"/>
                  <a:pt x="98" y="213"/>
                  <a:pt x="96" y="213"/>
                </a:cubicBezTo>
                <a:cubicBezTo>
                  <a:pt x="95" y="213"/>
                  <a:pt x="94" y="210"/>
                  <a:pt x="92" y="210"/>
                </a:cubicBezTo>
                <a:cubicBezTo>
                  <a:pt x="89" y="210"/>
                  <a:pt x="87" y="212"/>
                  <a:pt x="85" y="213"/>
                </a:cubicBezTo>
                <a:cubicBezTo>
                  <a:pt x="82" y="213"/>
                  <a:pt x="80" y="213"/>
                  <a:pt x="77" y="212"/>
                </a:cubicBezTo>
                <a:cubicBezTo>
                  <a:pt x="75" y="212"/>
                  <a:pt x="72" y="212"/>
                  <a:pt x="72" y="211"/>
                </a:cubicBezTo>
                <a:cubicBezTo>
                  <a:pt x="71" y="209"/>
                  <a:pt x="73" y="208"/>
                  <a:pt x="73" y="207"/>
                </a:cubicBezTo>
                <a:cubicBezTo>
                  <a:pt x="74" y="205"/>
                  <a:pt x="74" y="204"/>
                  <a:pt x="73" y="203"/>
                </a:cubicBezTo>
                <a:cubicBezTo>
                  <a:pt x="72" y="202"/>
                  <a:pt x="71" y="205"/>
                  <a:pt x="71" y="204"/>
                </a:cubicBezTo>
                <a:cubicBezTo>
                  <a:pt x="69" y="202"/>
                  <a:pt x="68" y="199"/>
                  <a:pt x="66" y="197"/>
                </a:cubicBezTo>
                <a:cubicBezTo>
                  <a:pt x="64" y="196"/>
                  <a:pt x="61" y="196"/>
                  <a:pt x="59" y="194"/>
                </a:cubicBezTo>
                <a:cubicBezTo>
                  <a:pt x="57" y="193"/>
                  <a:pt x="58" y="190"/>
                  <a:pt x="57" y="188"/>
                </a:cubicBezTo>
                <a:cubicBezTo>
                  <a:pt x="55" y="186"/>
                  <a:pt x="53" y="184"/>
                  <a:pt x="51" y="182"/>
                </a:cubicBezTo>
                <a:cubicBezTo>
                  <a:pt x="50" y="181"/>
                  <a:pt x="49" y="180"/>
                  <a:pt x="48" y="180"/>
                </a:cubicBezTo>
                <a:cubicBezTo>
                  <a:pt x="47" y="179"/>
                  <a:pt x="45" y="179"/>
                  <a:pt x="44" y="179"/>
                </a:cubicBezTo>
                <a:lnTo>
                  <a:pt x="36" y="173"/>
                </a:lnTo>
                <a:lnTo>
                  <a:pt x="32" y="172"/>
                </a:lnTo>
                <a:lnTo>
                  <a:pt x="31" y="174"/>
                </a:lnTo>
                <a:lnTo>
                  <a:pt x="27" y="174"/>
                </a:lnTo>
                <a:lnTo>
                  <a:pt x="23" y="172"/>
                </a:lnTo>
                <a:lnTo>
                  <a:pt x="19" y="172"/>
                </a:lnTo>
                <a:lnTo>
                  <a:pt x="16" y="168"/>
                </a:lnTo>
                <a:lnTo>
                  <a:pt x="11" y="165"/>
                </a:lnTo>
                <a:lnTo>
                  <a:pt x="8" y="162"/>
                </a:lnTo>
                <a:lnTo>
                  <a:pt x="1" y="159"/>
                </a:lnTo>
                <a:cubicBezTo>
                  <a:pt x="1" y="158"/>
                  <a:pt x="0" y="156"/>
                  <a:pt x="1" y="155"/>
                </a:cubicBezTo>
                <a:cubicBezTo>
                  <a:pt x="1" y="154"/>
                  <a:pt x="4" y="156"/>
                  <a:pt x="5" y="155"/>
                </a:cubicBezTo>
                <a:cubicBezTo>
                  <a:pt x="6" y="154"/>
                  <a:pt x="5" y="152"/>
                  <a:pt x="5" y="150"/>
                </a:cubicBezTo>
                <a:cubicBezTo>
                  <a:pt x="4" y="149"/>
                  <a:pt x="3" y="148"/>
                  <a:pt x="3" y="147"/>
                </a:cubicBezTo>
                <a:cubicBezTo>
                  <a:pt x="3" y="145"/>
                  <a:pt x="3" y="143"/>
                  <a:pt x="5" y="143"/>
                </a:cubicBezTo>
                <a:cubicBezTo>
                  <a:pt x="7" y="142"/>
                  <a:pt x="9" y="143"/>
                  <a:pt x="11" y="143"/>
                </a:cubicBezTo>
                <a:cubicBezTo>
                  <a:pt x="13" y="142"/>
                  <a:pt x="15" y="141"/>
                  <a:pt x="16" y="140"/>
                </a:cubicBezTo>
                <a:cubicBezTo>
                  <a:pt x="17" y="138"/>
                  <a:pt x="16" y="136"/>
                  <a:pt x="16" y="135"/>
                </a:cubicBezTo>
                <a:cubicBezTo>
                  <a:pt x="17" y="132"/>
                  <a:pt x="19" y="130"/>
                  <a:pt x="21" y="128"/>
                </a:cubicBezTo>
                <a:cubicBezTo>
                  <a:pt x="22" y="127"/>
                  <a:pt x="24" y="126"/>
                  <a:pt x="24" y="124"/>
                </a:cubicBezTo>
                <a:cubicBezTo>
                  <a:pt x="25" y="123"/>
                  <a:pt x="24" y="122"/>
                  <a:pt x="23" y="121"/>
                </a:cubicBezTo>
                <a:cubicBezTo>
                  <a:pt x="22" y="121"/>
                  <a:pt x="21" y="123"/>
                  <a:pt x="20" y="123"/>
                </a:cubicBezTo>
                <a:cubicBezTo>
                  <a:pt x="18" y="121"/>
                  <a:pt x="17" y="119"/>
                  <a:pt x="17" y="117"/>
                </a:cubicBezTo>
                <a:cubicBezTo>
                  <a:pt x="17" y="115"/>
                  <a:pt x="20" y="114"/>
                  <a:pt x="21" y="112"/>
                </a:cubicBezTo>
                <a:cubicBezTo>
                  <a:pt x="21" y="110"/>
                  <a:pt x="20" y="107"/>
                  <a:pt x="19" y="104"/>
                </a:cubicBezTo>
                <a:cubicBezTo>
                  <a:pt x="19" y="103"/>
                  <a:pt x="16" y="102"/>
                  <a:pt x="17" y="101"/>
                </a:cubicBezTo>
                <a:cubicBezTo>
                  <a:pt x="18" y="99"/>
                  <a:pt x="22" y="99"/>
                  <a:pt x="23" y="97"/>
                </a:cubicBezTo>
                <a:cubicBezTo>
                  <a:pt x="24" y="95"/>
                  <a:pt x="20" y="94"/>
                  <a:pt x="20" y="92"/>
                </a:cubicBezTo>
                <a:cubicBezTo>
                  <a:pt x="19" y="90"/>
                  <a:pt x="21" y="88"/>
                  <a:pt x="21" y="87"/>
                </a:cubicBezTo>
                <a:cubicBezTo>
                  <a:pt x="20" y="85"/>
                  <a:pt x="18" y="85"/>
                  <a:pt x="18" y="83"/>
                </a:cubicBezTo>
                <a:cubicBezTo>
                  <a:pt x="17" y="81"/>
                  <a:pt x="19" y="79"/>
                  <a:pt x="18" y="78"/>
                </a:cubicBezTo>
                <a:cubicBezTo>
                  <a:pt x="17" y="76"/>
                  <a:pt x="15" y="76"/>
                  <a:pt x="14" y="74"/>
                </a:cubicBezTo>
                <a:cubicBezTo>
                  <a:pt x="15" y="73"/>
                  <a:pt x="16" y="71"/>
                  <a:pt x="17" y="70"/>
                </a:cubicBezTo>
                <a:cubicBezTo>
                  <a:pt x="18" y="69"/>
                  <a:pt x="20" y="71"/>
                  <a:pt x="20" y="70"/>
                </a:cubicBezTo>
                <a:cubicBezTo>
                  <a:pt x="21" y="68"/>
                  <a:pt x="21" y="66"/>
                  <a:pt x="21" y="63"/>
                </a:cubicBezTo>
                <a:cubicBezTo>
                  <a:pt x="21" y="62"/>
                  <a:pt x="19" y="60"/>
                  <a:pt x="19" y="59"/>
                </a:cubicBezTo>
                <a:cubicBezTo>
                  <a:pt x="19" y="57"/>
                  <a:pt x="20" y="57"/>
                  <a:pt x="21" y="56"/>
                </a:cubicBezTo>
                <a:close/>
              </a:path>
            </a:pathLst>
          </a:custGeom>
          <a:solidFill>
            <a:schemeClr val="bg1">
              <a:lumMod val="95000"/>
            </a:schemeClr>
          </a:solidFill>
          <a:ln w="3175" cap="rnd">
            <a:solidFill>
              <a:srgbClr val="A5A5A5"/>
            </a:solidFill>
            <a:round/>
            <a:headEnd/>
            <a:tailEnd/>
          </a:ln>
        </xdr:spPr>
      </xdr:sp>
      <xdr:sp macro="" textlink="">
        <xdr:nvSpPr>
          <xdr:cNvPr id="360" name="URY"/>
          <xdr:cNvSpPr>
            <a:spLocks noChangeAspect="1"/>
          </xdr:cNvSpPr>
        </xdr:nvSpPr>
        <xdr:spPr bwMode="auto">
          <a:xfrm>
            <a:off x="4578693" y="6443028"/>
            <a:ext cx="154482" cy="184222"/>
          </a:xfrm>
          <a:custGeom>
            <a:avLst/>
            <a:gdLst>
              <a:gd name="T0" fmla="*/ 169515 w 66"/>
              <a:gd name="T1" fmla="*/ 149892 h 79"/>
              <a:gd name="T2" fmla="*/ 180943 w 66"/>
              <a:gd name="T3" fmla="*/ 155444 h 79"/>
              <a:gd name="T4" fmla="*/ 169515 w 66"/>
              <a:gd name="T5" fmla="*/ 173949 h 79"/>
              <a:gd name="T6" fmla="*/ 161897 w 66"/>
              <a:gd name="T7" fmla="*/ 183201 h 79"/>
              <a:gd name="T8" fmla="*/ 125708 w 66"/>
              <a:gd name="T9" fmla="*/ 205408 h 79"/>
              <a:gd name="T10" fmla="*/ 72377 w 66"/>
              <a:gd name="T11" fmla="*/ 205408 h 79"/>
              <a:gd name="T12" fmla="*/ 26665 w 66"/>
              <a:gd name="T13" fmla="*/ 188753 h 79"/>
              <a:gd name="T14" fmla="*/ 3809 w 66"/>
              <a:gd name="T15" fmla="*/ 173949 h 79"/>
              <a:gd name="T16" fmla="*/ 3809 w 66"/>
              <a:gd name="T17" fmla="*/ 140639 h 79"/>
              <a:gd name="T18" fmla="*/ 11428 w 66"/>
              <a:gd name="T19" fmla="*/ 120284 h 79"/>
              <a:gd name="T20" fmla="*/ 9523 w 66"/>
              <a:gd name="T21" fmla="*/ 107330 h 79"/>
              <a:gd name="T22" fmla="*/ 13333 w 66"/>
              <a:gd name="T23" fmla="*/ 99928 h 79"/>
              <a:gd name="T24" fmla="*/ 3809 w 66"/>
              <a:gd name="T25" fmla="*/ 81423 h 79"/>
              <a:gd name="T26" fmla="*/ 15237 w 66"/>
              <a:gd name="T27" fmla="*/ 64768 h 79"/>
              <a:gd name="T28" fmla="*/ 15237 w 66"/>
              <a:gd name="T29" fmla="*/ 27758 h 79"/>
              <a:gd name="T30" fmla="*/ 24761 w 66"/>
              <a:gd name="T31" fmla="*/ 12954 h 79"/>
              <a:gd name="T32" fmla="*/ 53331 w 66"/>
              <a:gd name="T33" fmla="*/ 3701 h 79"/>
              <a:gd name="T34" fmla="*/ 78091 w 66"/>
              <a:gd name="T35" fmla="*/ 46263 h 79"/>
              <a:gd name="T36" fmla="*/ 83805 w 66"/>
              <a:gd name="T37" fmla="*/ 42562 h 79"/>
              <a:gd name="T38" fmla="*/ 85710 w 66"/>
              <a:gd name="T39" fmla="*/ 37010 h 79"/>
              <a:gd name="T40" fmla="*/ 102852 w 66"/>
              <a:gd name="T41" fmla="*/ 55516 h 79"/>
              <a:gd name="T42" fmla="*/ 135231 w 66"/>
              <a:gd name="T43" fmla="*/ 66619 h 79"/>
              <a:gd name="T44" fmla="*/ 161897 w 66"/>
              <a:gd name="T45" fmla="*/ 92526 h 79"/>
              <a:gd name="T46" fmla="*/ 165706 w 66"/>
              <a:gd name="T47" fmla="*/ 101779 h 79"/>
              <a:gd name="T48" fmla="*/ 175229 w 66"/>
              <a:gd name="T49" fmla="*/ 107330 h 79"/>
              <a:gd name="T50" fmla="*/ 169515 w 66"/>
              <a:gd name="T51" fmla="*/ 125835 h 79"/>
              <a:gd name="T52" fmla="*/ 163801 w 66"/>
              <a:gd name="T53" fmla="*/ 135088 h 79"/>
              <a:gd name="T54" fmla="*/ 169515 w 66"/>
              <a:gd name="T55" fmla="*/ 149892 h 79"/>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66"/>
              <a:gd name="T85" fmla="*/ 0 h 79"/>
              <a:gd name="T86" fmla="*/ 66 w 66"/>
              <a:gd name="T87" fmla="*/ 79 h 79"/>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66" h="79">
                <a:moveTo>
                  <a:pt x="62" y="57"/>
                </a:moveTo>
                <a:cubicBezTo>
                  <a:pt x="63" y="58"/>
                  <a:pt x="65" y="59"/>
                  <a:pt x="66" y="60"/>
                </a:cubicBezTo>
                <a:cubicBezTo>
                  <a:pt x="65" y="62"/>
                  <a:pt x="63" y="64"/>
                  <a:pt x="62" y="66"/>
                </a:cubicBezTo>
                <a:cubicBezTo>
                  <a:pt x="61" y="67"/>
                  <a:pt x="61" y="69"/>
                  <a:pt x="59" y="70"/>
                </a:cubicBezTo>
                <a:cubicBezTo>
                  <a:pt x="55" y="73"/>
                  <a:pt x="51" y="77"/>
                  <a:pt x="46" y="78"/>
                </a:cubicBezTo>
                <a:cubicBezTo>
                  <a:pt x="40" y="79"/>
                  <a:pt x="34" y="77"/>
                  <a:pt x="27" y="78"/>
                </a:cubicBezTo>
                <a:cubicBezTo>
                  <a:pt x="23" y="75"/>
                  <a:pt x="17" y="72"/>
                  <a:pt x="10" y="72"/>
                </a:cubicBezTo>
                <a:cubicBezTo>
                  <a:pt x="7" y="72"/>
                  <a:pt x="3" y="69"/>
                  <a:pt x="2" y="66"/>
                </a:cubicBezTo>
                <a:cubicBezTo>
                  <a:pt x="0" y="63"/>
                  <a:pt x="1" y="58"/>
                  <a:pt x="2" y="54"/>
                </a:cubicBezTo>
                <a:cubicBezTo>
                  <a:pt x="2" y="52"/>
                  <a:pt x="4" y="49"/>
                  <a:pt x="4" y="46"/>
                </a:cubicBezTo>
                <a:cubicBezTo>
                  <a:pt x="4" y="45"/>
                  <a:pt x="3" y="43"/>
                  <a:pt x="3" y="41"/>
                </a:cubicBezTo>
                <a:cubicBezTo>
                  <a:pt x="3" y="40"/>
                  <a:pt x="5" y="39"/>
                  <a:pt x="5" y="38"/>
                </a:cubicBezTo>
                <a:cubicBezTo>
                  <a:pt x="4" y="35"/>
                  <a:pt x="2" y="33"/>
                  <a:pt x="2" y="31"/>
                </a:cubicBezTo>
                <a:cubicBezTo>
                  <a:pt x="3" y="28"/>
                  <a:pt x="5" y="26"/>
                  <a:pt x="6" y="24"/>
                </a:cubicBezTo>
                <a:cubicBezTo>
                  <a:pt x="6" y="20"/>
                  <a:pt x="5" y="15"/>
                  <a:pt x="6" y="11"/>
                </a:cubicBezTo>
                <a:cubicBezTo>
                  <a:pt x="6" y="9"/>
                  <a:pt x="8" y="7"/>
                  <a:pt x="9" y="5"/>
                </a:cubicBezTo>
                <a:cubicBezTo>
                  <a:pt x="12" y="4"/>
                  <a:pt x="17" y="0"/>
                  <a:pt x="19" y="2"/>
                </a:cubicBezTo>
                <a:cubicBezTo>
                  <a:pt x="24" y="5"/>
                  <a:pt x="24" y="13"/>
                  <a:pt x="28" y="18"/>
                </a:cubicBezTo>
                <a:cubicBezTo>
                  <a:pt x="29" y="18"/>
                  <a:pt x="30" y="16"/>
                  <a:pt x="31" y="16"/>
                </a:cubicBezTo>
                <a:cubicBezTo>
                  <a:pt x="32" y="15"/>
                  <a:pt x="32" y="14"/>
                  <a:pt x="32" y="14"/>
                </a:cubicBezTo>
                <a:cubicBezTo>
                  <a:pt x="35" y="16"/>
                  <a:pt x="36" y="19"/>
                  <a:pt x="38" y="21"/>
                </a:cubicBezTo>
                <a:cubicBezTo>
                  <a:pt x="41" y="23"/>
                  <a:pt x="45" y="23"/>
                  <a:pt x="49" y="25"/>
                </a:cubicBezTo>
                <a:cubicBezTo>
                  <a:pt x="53" y="27"/>
                  <a:pt x="56" y="31"/>
                  <a:pt x="59" y="35"/>
                </a:cubicBezTo>
                <a:cubicBezTo>
                  <a:pt x="60" y="36"/>
                  <a:pt x="60" y="38"/>
                  <a:pt x="61" y="39"/>
                </a:cubicBezTo>
                <a:cubicBezTo>
                  <a:pt x="62" y="40"/>
                  <a:pt x="63" y="41"/>
                  <a:pt x="64" y="41"/>
                </a:cubicBezTo>
                <a:cubicBezTo>
                  <a:pt x="64" y="43"/>
                  <a:pt x="63" y="46"/>
                  <a:pt x="62" y="48"/>
                </a:cubicBezTo>
                <a:cubicBezTo>
                  <a:pt x="62" y="49"/>
                  <a:pt x="60" y="50"/>
                  <a:pt x="60" y="51"/>
                </a:cubicBezTo>
                <a:cubicBezTo>
                  <a:pt x="60" y="53"/>
                  <a:pt x="60" y="56"/>
                  <a:pt x="62" y="57"/>
                </a:cubicBezTo>
                <a:close/>
              </a:path>
            </a:pathLst>
          </a:custGeom>
          <a:solidFill>
            <a:schemeClr val="bg1">
              <a:lumMod val="95000"/>
            </a:schemeClr>
          </a:solidFill>
          <a:ln w="3175" cap="rnd">
            <a:solidFill>
              <a:srgbClr val="A5A5A5"/>
            </a:solidFill>
            <a:round/>
            <a:headEnd/>
            <a:tailEnd/>
          </a:ln>
        </xdr:spPr>
      </xdr:sp>
      <xdr:sp macro="" textlink="">
        <xdr:nvSpPr>
          <xdr:cNvPr id="361" name="ARG"/>
          <xdr:cNvSpPr>
            <a:spLocks noChangeAspect="1"/>
          </xdr:cNvSpPr>
        </xdr:nvSpPr>
        <xdr:spPr bwMode="auto">
          <a:xfrm>
            <a:off x="4236624" y="6143668"/>
            <a:ext cx="463448" cy="1116846"/>
          </a:xfrm>
          <a:custGeom>
            <a:avLst/>
            <a:gdLst>
              <a:gd name="T0" fmla="*/ 155416 w 208"/>
              <a:gd name="T1" fmla="*/ 1276632 h 498"/>
              <a:gd name="T2" fmla="*/ 166929 w 208"/>
              <a:gd name="T3" fmla="*/ 1212987 h 498"/>
              <a:gd name="T4" fmla="*/ 193791 w 208"/>
              <a:gd name="T5" fmla="*/ 1173677 h 498"/>
              <a:gd name="T6" fmla="*/ 236003 w 208"/>
              <a:gd name="T7" fmla="*/ 1085698 h 498"/>
              <a:gd name="T8" fmla="*/ 180360 w 208"/>
              <a:gd name="T9" fmla="*/ 1025798 h 498"/>
              <a:gd name="T10" fmla="*/ 230247 w 208"/>
              <a:gd name="T11" fmla="*/ 980872 h 498"/>
              <a:gd name="T12" fmla="*/ 260946 w 208"/>
              <a:gd name="T13" fmla="*/ 898509 h 498"/>
              <a:gd name="T14" fmla="*/ 278215 w 208"/>
              <a:gd name="T15" fmla="*/ 898509 h 498"/>
              <a:gd name="T16" fmla="*/ 274377 w 208"/>
              <a:gd name="T17" fmla="*/ 872302 h 498"/>
              <a:gd name="T18" fmla="*/ 243678 w 208"/>
              <a:gd name="T19" fmla="*/ 859199 h 498"/>
              <a:gd name="T20" fmla="*/ 241759 w 208"/>
              <a:gd name="T21" fmla="*/ 797427 h 498"/>
              <a:gd name="T22" fmla="*/ 299321 w 208"/>
              <a:gd name="T23" fmla="*/ 818018 h 498"/>
              <a:gd name="T24" fmla="*/ 330020 w 208"/>
              <a:gd name="T25" fmla="*/ 758117 h 498"/>
              <a:gd name="T26" fmla="*/ 347289 w 208"/>
              <a:gd name="T27" fmla="*/ 724423 h 498"/>
              <a:gd name="T28" fmla="*/ 477762 w 208"/>
              <a:gd name="T29" fmla="*/ 673882 h 498"/>
              <a:gd name="T30" fmla="*/ 489274 w 208"/>
              <a:gd name="T31" fmla="*/ 606494 h 498"/>
              <a:gd name="T32" fmla="*/ 477762 w 208"/>
              <a:gd name="T33" fmla="*/ 561568 h 498"/>
              <a:gd name="T34" fmla="*/ 429794 w 208"/>
              <a:gd name="T35" fmla="*/ 522258 h 498"/>
              <a:gd name="T36" fmla="*/ 437468 w 208"/>
              <a:gd name="T37" fmla="*/ 458614 h 498"/>
              <a:gd name="T38" fmla="*/ 433631 w 208"/>
              <a:gd name="T39" fmla="*/ 417432 h 498"/>
              <a:gd name="T40" fmla="*/ 452818 w 208"/>
              <a:gd name="T41" fmla="*/ 348172 h 498"/>
              <a:gd name="T42" fmla="*/ 523811 w 208"/>
              <a:gd name="T43" fmla="*/ 256449 h 498"/>
              <a:gd name="T44" fmla="*/ 571779 w 208"/>
              <a:gd name="T45" fmla="*/ 198421 h 498"/>
              <a:gd name="T46" fmla="*/ 552592 w 208"/>
              <a:gd name="T47" fmla="*/ 153495 h 498"/>
              <a:gd name="T48" fmla="*/ 539161 w 208"/>
              <a:gd name="T49" fmla="*/ 190933 h 498"/>
              <a:gd name="T50" fmla="*/ 502705 w 208"/>
              <a:gd name="T51" fmla="*/ 228371 h 498"/>
              <a:gd name="T52" fmla="*/ 429794 w 208"/>
              <a:gd name="T53" fmla="*/ 224627 h 498"/>
              <a:gd name="T54" fmla="*/ 414444 w 208"/>
              <a:gd name="T55" fmla="*/ 179702 h 498"/>
              <a:gd name="T56" fmla="*/ 424037 w 208"/>
              <a:gd name="T57" fmla="*/ 132904 h 498"/>
              <a:gd name="T58" fmla="*/ 331939 w 208"/>
              <a:gd name="T59" fmla="*/ 93595 h 498"/>
              <a:gd name="T60" fmla="*/ 264784 w 208"/>
              <a:gd name="T61" fmla="*/ 37438 h 498"/>
              <a:gd name="T62" fmla="*/ 207222 w 208"/>
              <a:gd name="T63" fmla="*/ 11231 h 498"/>
              <a:gd name="T64" fmla="*/ 182279 w 208"/>
              <a:gd name="T65" fmla="*/ 18719 h 498"/>
              <a:gd name="T66" fmla="*/ 122798 w 208"/>
              <a:gd name="T67" fmla="*/ 18719 h 498"/>
              <a:gd name="T68" fmla="*/ 94017 w 208"/>
              <a:gd name="T69" fmla="*/ 44925 h 498"/>
              <a:gd name="T70" fmla="*/ 65237 w 208"/>
              <a:gd name="T71" fmla="*/ 110442 h 498"/>
              <a:gd name="T72" fmla="*/ 57562 w 208"/>
              <a:gd name="T73" fmla="*/ 144136 h 498"/>
              <a:gd name="T74" fmla="*/ 59480 w 208"/>
              <a:gd name="T75" fmla="*/ 202165 h 498"/>
              <a:gd name="T76" fmla="*/ 44131 w 208"/>
              <a:gd name="T77" fmla="*/ 256449 h 498"/>
              <a:gd name="T78" fmla="*/ 19187 w 208"/>
              <a:gd name="T79" fmla="*/ 310734 h 498"/>
              <a:gd name="T80" fmla="*/ 11512 w 208"/>
              <a:gd name="T81" fmla="*/ 406201 h 498"/>
              <a:gd name="T82" fmla="*/ 30700 w 208"/>
              <a:gd name="T83" fmla="*/ 445511 h 498"/>
              <a:gd name="T84" fmla="*/ 38374 w 208"/>
              <a:gd name="T85" fmla="*/ 505411 h 498"/>
              <a:gd name="T86" fmla="*/ 26862 w 208"/>
              <a:gd name="T87" fmla="*/ 600878 h 498"/>
              <a:gd name="T88" fmla="*/ 26862 w 208"/>
              <a:gd name="T89" fmla="*/ 701960 h 498"/>
              <a:gd name="T90" fmla="*/ 3837 w 208"/>
              <a:gd name="T91" fmla="*/ 754373 h 498"/>
              <a:gd name="T92" fmla="*/ 13431 w 208"/>
              <a:gd name="T93" fmla="*/ 842352 h 498"/>
              <a:gd name="T94" fmla="*/ 19187 w 208"/>
              <a:gd name="T95" fmla="*/ 902253 h 498"/>
              <a:gd name="T96" fmla="*/ 24943 w 208"/>
              <a:gd name="T97" fmla="*/ 960282 h 498"/>
              <a:gd name="T98" fmla="*/ 46049 w 208"/>
              <a:gd name="T99" fmla="*/ 980872 h 498"/>
              <a:gd name="T100" fmla="*/ 49887 w 208"/>
              <a:gd name="T101" fmla="*/ 995848 h 498"/>
              <a:gd name="T102" fmla="*/ 44131 w 208"/>
              <a:gd name="T103" fmla="*/ 1055748 h 498"/>
              <a:gd name="T104" fmla="*/ 19187 w 208"/>
              <a:gd name="T105" fmla="*/ 1110033 h 498"/>
              <a:gd name="T106" fmla="*/ 23025 w 208"/>
              <a:gd name="T107" fmla="*/ 1168062 h 498"/>
              <a:gd name="T108" fmla="*/ 23025 w 208"/>
              <a:gd name="T109" fmla="*/ 1254169 h 498"/>
              <a:gd name="T110" fmla="*/ 59480 w 208"/>
              <a:gd name="T111" fmla="*/ 1291607 h 498"/>
              <a:gd name="T112" fmla="*/ 161173 w 208"/>
              <a:gd name="T113" fmla="*/ 1325301 h 49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208"/>
              <a:gd name="T172" fmla="*/ 0 h 498"/>
              <a:gd name="T173" fmla="*/ 208 w 208"/>
              <a:gd name="T174" fmla="*/ 498 h 49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208" h="498">
                <a:moveTo>
                  <a:pt x="58" y="491"/>
                </a:moveTo>
                <a:cubicBezTo>
                  <a:pt x="61" y="492"/>
                  <a:pt x="69" y="498"/>
                  <a:pt x="68" y="494"/>
                </a:cubicBezTo>
                <a:cubicBezTo>
                  <a:pt x="68" y="486"/>
                  <a:pt x="60" y="480"/>
                  <a:pt x="56" y="473"/>
                </a:cubicBezTo>
                <a:cubicBezTo>
                  <a:pt x="55" y="470"/>
                  <a:pt x="54" y="467"/>
                  <a:pt x="55" y="464"/>
                </a:cubicBezTo>
                <a:cubicBezTo>
                  <a:pt x="56" y="461"/>
                  <a:pt x="60" y="459"/>
                  <a:pt x="61" y="455"/>
                </a:cubicBezTo>
                <a:cubicBezTo>
                  <a:pt x="62" y="454"/>
                  <a:pt x="58" y="451"/>
                  <a:pt x="60" y="450"/>
                </a:cubicBezTo>
                <a:cubicBezTo>
                  <a:pt x="61" y="449"/>
                  <a:pt x="62" y="453"/>
                  <a:pt x="64" y="453"/>
                </a:cubicBezTo>
                <a:cubicBezTo>
                  <a:pt x="66" y="453"/>
                  <a:pt x="69" y="452"/>
                  <a:pt x="70" y="450"/>
                </a:cubicBezTo>
                <a:cubicBezTo>
                  <a:pt x="72" y="445"/>
                  <a:pt x="68" y="439"/>
                  <a:pt x="70" y="435"/>
                </a:cubicBezTo>
                <a:cubicBezTo>
                  <a:pt x="74" y="428"/>
                  <a:pt x="83" y="424"/>
                  <a:pt x="88" y="417"/>
                </a:cubicBezTo>
                <a:cubicBezTo>
                  <a:pt x="90" y="414"/>
                  <a:pt x="91" y="410"/>
                  <a:pt x="90" y="407"/>
                </a:cubicBezTo>
                <a:cubicBezTo>
                  <a:pt x="90" y="404"/>
                  <a:pt x="87" y="403"/>
                  <a:pt x="85" y="402"/>
                </a:cubicBezTo>
                <a:cubicBezTo>
                  <a:pt x="82" y="401"/>
                  <a:pt x="78" y="401"/>
                  <a:pt x="75" y="399"/>
                </a:cubicBezTo>
                <a:cubicBezTo>
                  <a:pt x="71" y="396"/>
                  <a:pt x="67" y="392"/>
                  <a:pt x="65" y="387"/>
                </a:cubicBezTo>
                <a:cubicBezTo>
                  <a:pt x="64" y="385"/>
                  <a:pt x="64" y="382"/>
                  <a:pt x="65" y="380"/>
                </a:cubicBezTo>
                <a:cubicBezTo>
                  <a:pt x="69" y="375"/>
                  <a:pt x="73" y="370"/>
                  <a:pt x="78" y="367"/>
                </a:cubicBezTo>
                <a:cubicBezTo>
                  <a:pt x="80" y="365"/>
                  <a:pt x="84" y="368"/>
                  <a:pt x="87" y="367"/>
                </a:cubicBezTo>
                <a:cubicBezTo>
                  <a:pt x="88" y="366"/>
                  <a:pt x="83" y="365"/>
                  <a:pt x="83" y="363"/>
                </a:cubicBezTo>
                <a:cubicBezTo>
                  <a:pt x="84" y="361"/>
                  <a:pt x="88" y="360"/>
                  <a:pt x="88" y="358"/>
                </a:cubicBezTo>
                <a:cubicBezTo>
                  <a:pt x="89" y="354"/>
                  <a:pt x="86" y="349"/>
                  <a:pt x="87" y="345"/>
                </a:cubicBezTo>
                <a:cubicBezTo>
                  <a:pt x="88" y="341"/>
                  <a:pt x="93" y="338"/>
                  <a:pt x="94" y="333"/>
                </a:cubicBezTo>
                <a:cubicBezTo>
                  <a:pt x="94" y="331"/>
                  <a:pt x="89" y="330"/>
                  <a:pt x="90" y="328"/>
                </a:cubicBezTo>
                <a:cubicBezTo>
                  <a:pt x="92" y="326"/>
                  <a:pt x="96" y="325"/>
                  <a:pt x="99" y="326"/>
                </a:cubicBezTo>
                <a:cubicBezTo>
                  <a:pt x="101" y="327"/>
                  <a:pt x="99" y="333"/>
                  <a:pt x="101" y="333"/>
                </a:cubicBezTo>
                <a:cubicBezTo>
                  <a:pt x="104" y="332"/>
                  <a:pt x="105" y="328"/>
                  <a:pt x="105" y="325"/>
                </a:cubicBezTo>
                <a:cubicBezTo>
                  <a:pt x="106" y="322"/>
                  <a:pt x="104" y="319"/>
                  <a:pt x="101" y="318"/>
                </a:cubicBezTo>
                <a:cubicBezTo>
                  <a:pt x="100" y="317"/>
                  <a:pt x="100" y="322"/>
                  <a:pt x="99" y="323"/>
                </a:cubicBezTo>
                <a:cubicBezTo>
                  <a:pt x="97" y="324"/>
                  <a:pt x="95" y="324"/>
                  <a:pt x="94" y="323"/>
                </a:cubicBezTo>
                <a:cubicBezTo>
                  <a:pt x="93" y="323"/>
                  <a:pt x="95" y="321"/>
                  <a:pt x="94" y="320"/>
                </a:cubicBezTo>
                <a:cubicBezTo>
                  <a:pt x="92" y="319"/>
                  <a:pt x="89" y="320"/>
                  <a:pt x="88" y="318"/>
                </a:cubicBezTo>
                <a:cubicBezTo>
                  <a:pt x="87" y="316"/>
                  <a:pt x="89" y="313"/>
                  <a:pt x="88" y="310"/>
                </a:cubicBezTo>
                <a:cubicBezTo>
                  <a:pt x="87" y="307"/>
                  <a:pt x="83" y="306"/>
                  <a:pt x="83" y="303"/>
                </a:cubicBezTo>
                <a:cubicBezTo>
                  <a:pt x="83" y="300"/>
                  <a:pt x="85" y="298"/>
                  <a:pt x="87" y="296"/>
                </a:cubicBezTo>
                <a:cubicBezTo>
                  <a:pt x="88" y="296"/>
                  <a:pt x="88" y="298"/>
                  <a:pt x="89" y="298"/>
                </a:cubicBezTo>
                <a:cubicBezTo>
                  <a:pt x="92" y="300"/>
                  <a:pt x="95" y="302"/>
                  <a:pt x="99" y="303"/>
                </a:cubicBezTo>
                <a:cubicBezTo>
                  <a:pt x="102" y="303"/>
                  <a:pt x="105" y="303"/>
                  <a:pt x="108" y="303"/>
                </a:cubicBezTo>
                <a:cubicBezTo>
                  <a:pt x="111" y="302"/>
                  <a:pt x="115" y="301"/>
                  <a:pt x="118" y="298"/>
                </a:cubicBezTo>
                <a:cubicBezTo>
                  <a:pt x="119" y="296"/>
                  <a:pt x="115" y="294"/>
                  <a:pt x="115" y="292"/>
                </a:cubicBezTo>
                <a:cubicBezTo>
                  <a:pt x="115" y="288"/>
                  <a:pt x="119" y="285"/>
                  <a:pt x="119" y="281"/>
                </a:cubicBezTo>
                <a:cubicBezTo>
                  <a:pt x="119" y="278"/>
                  <a:pt x="117" y="275"/>
                  <a:pt x="116" y="273"/>
                </a:cubicBezTo>
                <a:cubicBezTo>
                  <a:pt x="116" y="270"/>
                  <a:pt x="113" y="265"/>
                  <a:pt x="116" y="263"/>
                </a:cubicBezTo>
                <a:cubicBezTo>
                  <a:pt x="119" y="262"/>
                  <a:pt x="122" y="268"/>
                  <a:pt x="126" y="268"/>
                </a:cubicBezTo>
                <a:cubicBezTo>
                  <a:pt x="130" y="269"/>
                  <a:pt x="134" y="267"/>
                  <a:pt x="138" y="267"/>
                </a:cubicBezTo>
                <a:cubicBezTo>
                  <a:pt x="144" y="266"/>
                  <a:pt x="150" y="266"/>
                  <a:pt x="155" y="263"/>
                </a:cubicBezTo>
                <a:cubicBezTo>
                  <a:pt x="161" y="260"/>
                  <a:pt x="167" y="255"/>
                  <a:pt x="172" y="250"/>
                </a:cubicBezTo>
                <a:cubicBezTo>
                  <a:pt x="176" y="246"/>
                  <a:pt x="180" y="240"/>
                  <a:pt x="181" y="235"/>
                </a:cubicBezTo>
                <a:cubicBezTo>
                  <a:pt x="182" y="232"/>
                  <a:pt x="181" y="228"/>
                  <a:pt x="180" y="225"/>
                </a:cubicBezTo>
                <a:cubicBezTo>
                  <a:pt x="179" y="224"/>
                  <a:pt x="177" y="226"/>
                  <a:pt x="176" y="225"/>
                </a:cubicBezTo>
                <a:cubicBezTo>
                  <a:pt x="175" y="224"/>
                  <a:pt x="173" y="221"/>
                  <a:pt x="173" y="219"/>
                </a:cubicBezTo>
                <a:cubicBezTo>
                  <a:pt x="172" y="218"/>
                  <a:pt x="174" y="217"/>
                  <a:pt x="174" y="215"/>
                </a:cubicBezTo>
                <a:cubicBezTo>
                  <a:pt x="174" y="213"/>
                  <a:pt x="174" y="210"/>
                  <a:pt x="172" y="208"/>
                </a:cubicBezTo>
                <a:cubicBezTo>
                  <a:pt x="167" y="204"/>
                  <a:pt x="161" y="203"/>
                  <a:pt x="156" y="200"/>
                </a:cubicBezTo>
                <a:cubicBezTo>
                  <a:pt x="154" y="199"/>
                  <a:pt x="153" y="197"/>
                  <a:pt x="152" y="195"/>
                </a:cubicBezTo>
                <a:cubicBezTo>
                  <a:pt x="152" y="194"/>
                  <a:pt x="155" y="194"/>
                  <a:pt x="155" y="193"/>
                </a:cubicBezTo>
                <a:cubicBezTo>
                  <a:pt x="155" y="191"/>
                  <a:pt x="153" y="189"/>
                  <a:pt x="153" y="187"/>
                </a:cubicBezTo>
                <a:cubicBezTo>
                  <a:pt x="152" y="183"/>
                  <a:pt x="152" y="180"/>
                  <a:pt x="153" y="176"/>
                </a:cubicBezTo>
                <a:cubicBezTo>
                  <a:pt x="154" y="174"/>
                  <a:pt x="157" y="172"/>
                  <a:pt x="158" y="170"/>
                </a:cubicBezTo>
                <a:cubicBezTo>
                  <a:pt x="158" y="169"/>
                  <a:pt x="157" y="167"/>
                  <a:pt x="157" y="165"/>
                </a:cubicBezTo>
                <a:cubicBezTo>
                  <a:pt x="157" y="164"/>
                  <a:pt x="159" y="163"/>
                  <a:pt x="159" y="162"/>
                </a:cubicBezTo>
                <a:cubicBezTo>
                  <a:pt x="158" y="159"/>
                  <a:pt x="156" y="157"/>
                  <a:pt x="156" y="155"/>
                </a:cubicBezTo>
                <a:cubicBezTo>
                  <a:pt x="157" y="152"/>
                  <a:pt x="159" y="150"/>
                  <a:pt x="160" y="148"/>
                </a:cubicBezTo>
                <a:cubicBezTo>
                  <a:pt x="160" y="144"/>
                  <a:pt x="159" y="139"/>
                  <a:pt x="160" y="135"/>
                </a:cubicBezTo>
                <a:cubicBezTo>
                  <a:pt x="160" y="133"/>
                  <a:pt x="162" y="131"/>
                  <a:pt x="163" y="129"/>
                </a:cubicBezTo>
                <a:cubicBezTo>
                  <a:pt x="167" y="124"/>
                  <a:pt x="171" y="120"/>
                  <a:pt x="174" y="115"/>
                </a:cubicBezTo>
                <a:cubicBezTo>
                  <a:pt x="177" y="110"/>
                  <a:pt x="178" y="104"/>
                  <a:pt x="181" y="100"/>
                </a:cubicBezTo>
                <a:cubicBezTo>
                  <a:pt x="183" y="97"/>
                  <a:pt x="187" y="97"/>
                  <a:pt x="189" y="95"/>
                </a:cubicBezTo>
                <a:cubicBezTo>
                  <a:pt x="191" y="93"/>
                  <a:pt x="192" y="90"/>
                  <a:pt x="194" y="88"/>
                </a:cubicBezTo>
                <a:cubicBezTo>
                  <a:pt x="198" y="85"/>
                  <a:pt x="204" y="85"/>
                  <a:pt x="206" y="82"/>
                </a:cubicBezTo>
                <a:cubicBezTo>
                  <a:pt x="208" y="79"/>
                  <a:pt x="206" y="76"/>
                  <a:pt x="206" y="73"/>
                </a:cubicBezTo>
                <a:cubicBezTo>
                  <a:pt x="206" y="70"/>
                  <a:pt x="208" y="68"/>
                  <a:pt x="207" y="66"/>
                </a:cubicBezTo>
                <a:cubicBezTo>
                  <a:pt x="207" y="64"/>
                  <a:pt x="204" y="61"/>
                  <a:pt x="203" y="59"/>
                </a:cubicBezTo>
                <a:cubicBezTo>
                  <a:pt x="202" y="58"/>
                  <a:pt x="201" y="57"/>
                  <a:pt x="200" y="57"/>
                </a:cubicBezTo>
                <a:cubicBezTo>
                  <a:pt x="198" y="57"/>
                  <a:pt x="196" y="57"/>
                  <a:pt x="195" y="57"/>
                </a:cubicBezTo>
                <a:cubicBezTo>
                  <a:pt x="195" y="60"/>
                  <a:pt x="195" y="62"/>
                  <a:pt x="195" y="65"/>
                </a:cubicBezTo>
                <a:cubicBezTo>
                  <a:pt x="195" y="67"/>
                  <a:pt x="196" y="69"/>
                  <a:pt x="195" y="71"/>
                </a:cubicBezTo>
                <a:cubicBezTo>
                  <a:pt x="193" y="73"/>
                  <a:pt x="190" y="75"/>
                  <a:pt x="188" y="77"/>
                </a:cubicBezTo>
                <a:cubicBezTo>
                  <a:pt x="186" y="80"/>
                  <a:pt x="185" y="83"/>
                  <a:pt x="183" y="86"/>
                </a:cubicBezTo>
                <a:cubicBezTo>
                  <a:pt x="182" y="86"/>
                  <a:pt x="182" y="85"/>
                  <a:pt x="181" y="85"/>
                </a:cubicBezTo>
                <a:cubicBezTo>
                  <a:pt x="180" y="84"/>
                  <a:pt x="178" y="83"/>
                  <a:pt x="176" y="84"/>
                </a:cubicBezTo>
                <a:cubicBezTo>
                  <a:pt x="173" y="84"/>
                  <a:pt x="171" y="87"/>
                  <a:pt x="168" y="87"/>
                </a:cubicBezTo>
                <a:cubicBezTo>
                  <a:pt x="164" y="87"/>
                  <a:pt x="160" y="84"/>
                  <a:pt x="155" y="83"/>
                </a:cubicBezTo>
                <a:cubicBezTo>
                  <a:pt x="152" y="82"/>
                  <a:pt x="147" y="86"/>
                  <a:pt x="146" y="83"/>
                </a:cubicBezTo>
                <a:cubicBezTo>
                  <a:pt x="144" y="80"/>
                  <a:pt x="149" y="77"/>
                  <a:pt x="150" y="74"/>
                </a:cubicBezTo>
                <a:cubicBezTo>
                  <a:pt x="150" y="72"/>
                  <a:pt x="148" y="69"/>
                  <a:pt x="150" y="67"/>
                </a:cubicBezTo>
                <a:cubicBezTo>
                  <a:pt x="151" y="66"/>
                  <a:pt x="155" y="67"/>
                  <a:pt x="156" y="65"/>
                </a:cubicBezTo>
                <a:cubicBezTo>
                  <a:pt x="157" y="62"/>
                  <a:pt x="157" y="58"/>
                  <a:pt x="156" y="54"/>
                </a:cubicBezTo>
                <a:cubicBezTo>
                  <a:pt x="156" y="52"/>
                  <a:pt x="155" y="50"/>
                  <a:pt x="153" y="49"/>
                </a:cubicBezTo>
                <a:cubicBezTo>
                  <a:pt x="148" y="47"/>
                  <a:pt x="143" y="47"/>
                  <a:pt x="139" y="45"/>
                </a:cubicBezTo>
                <a:cubicBezTo>
                  <a:pt x="134" y="42"/>
                  <a:pt x="131" y="37"/>
                  <a:pt x="127" y="35"/>
                </a:cubicBezTo>
                <a:cubicBezTo>
                  <a:pt x="125" y="34"/>
                  <a:pt x="122" y="36"/>
                  <a:pt x="120" y="35"/>
                </a:cubicBezTo>
                <a:cubicBezTo>
                  <a:pt x="117" y="33"/>
                  <a:pt x="115" y="31"/>
                  <a:pt x="112" y="29"/>
                </a:cubicBezTo>
                <a:cubicBezTo>
                  <a:pt x="108" y="26"/>
                  <a:pt x="104" y="25"/>
                  <a:pt x="100" y="22"/>
                </a:cubicBezTo>
                <a:cubicBezTo>
                  <a:pt x="98" y="19"/>
                  <a:pt x="98" y="16"/>
                  <a:pt x="96" y="14"/>
                </a:cubicBezTo>
                <a:cubicBezTo>
                  <a:pt x="95" y="12"/>
                  <a:pt x="93" y="10"/>
                  <a:pt x="91" y="8"/>
                </a:cubicBezTo>
                <a:cubicBezTo>
                  <a:pt x="90" y="7"/>
                  <a:pt x="89" y="5"/>
                  <a:pt x="88" y="4"/>
                </a:cubicBezTo>
                <a:cubicBezTo>
                  <a:pt x="84" y="3"/>
                  <a:pt x="79" y="3"/>
                  <a:pt x="75" y="4"/>
                </a:cubicBezTo>
                <a:cubicBezTo>
                  <a:pt x="73" y="5"/>
                  <a:pt x="72" y="8"/>
                  <a:pt x="71" y="11"/>
                </a:cubicBezTo>
                <a:cubicBezTo>
                  <a:pt x="70" y="13"/>
                  <a:pt x="72" y="20"/>
                  <a:pt x="70" y="18"/>
                </a:cubicBezTo>
                <a:cubicBezTo>
                  <a:pt x="67" y="16"/>
                  <a:pt x="69" y="9"/>
                  <a:pt x="66" y="7"/>
                </a:cubicBezTo>
                <a:cubicBezTo>
                  <a:pt x="63" y="5"/>
                  <a:pt x="57" y="8"/>
                  <a:pt x="53" y="6"/>
                </a:cubicBezTo>
                <a:cubicBezTo>
                  <a:pt x="50" y="5"/>
                  <a:pt x="49" y="0"/>
                  <a:pt x="46" y="1"/>
                </a:cubicBezTo>
                <a:cubicBezTo>
                  <a:pt x="44" y="1"/>
                  <a:pt x="46" y="6"/>
                  <a:pt x="44" y="7"/>
                </a:cubicBezTo>
                <a:cubicBezTo>
                  <a:pt x="44" y="9"/>
                  <a:pt x="42" y="8"/>
                  <a:pt x="41" y="9"/>
                </a:cubicBezTo>
                <a:cubicBezTo>
                  <a:pt x="39" y="10"/>
                  <a:pt x="38" y="11"/>
                  <a:pt x="38" y="12"/>
                </a:cubicBezTo>
                <a:cubicBezTo>
                  <a:pt x="36" y="14"/>
                  <a:pt x="35" y="16"/>
                  <a:pt x="34" y="17"/>
                </a:cubicBezTo>
                <a:cubicBezTo>
                  <a:pt x="35" y="19"/>
                  <a:pt x="36" y="22"/>
                  <a:pt x="36" y="24"/>
                </a:cubicBezTo>
                <a:cubicBezTo>
                  <a:pt x="35" y="28"/>
                  <a:pt x="36" y="32"/>
                  <a:pt x="33" y="36"/>
                </a:cubicBezTo>
                <a:cubicBezTo>
                  <a:pt x="31" y="39"/>
                  <a:pt x="26" y="39"/>
                  <a:pt x="23" y="41"/>
                </a:cubicBezTo>
                <a:cubicBezTo>
                  <a:pt x="21" y="42"/>
                  <a:pt x="18" y="44"/>
                  <a:pt x="18" y="46"/>
                </a:cubicBezTo>
                <a:cubicBezTo>
                  <a:pt x="18" y="49"/>
                  <a:pt x="22" y="50"/>
                  <a:pt x="23" y="52"/>
                </a:cubicBezTo>
                <a:cubicBezTo>
                  <a:pt x="23" y="53"/>
                  <a:pt x="21" y="52"/>
                  <a:pt x="21" y="53"/>
                </a:cubicBezTo>
                <a:cubicBezTo>
                  <a:pt x="20" y="55"/>
                  <a:pt x="20" y="57"/>
                  <a:pt x="20" y="58"/>
                </a:cubicBezTo>
                <a:cubicBezTo>
                  <a:pt x="21" y="62"/>
                  <a:pt x="23" y="65"/>
                  <a:pt x="23" y="68"/>
                </a:cubicBezTo>
                <a:cubicBezTo>
                  <a:pt x="23" y="71"/>
                  <a:pt x="21" y="73"/>
                  <a:pt x="22" y="75"/>
                </a:cubicBezTo>
                <a:cubicBezTo>
                  <a:pt x="22" y="77"/>
                  <a:pt x="27" y="79"/>
                  <a:pt x="26" y="82"/>
                </a:cubicBezTo>
                <a:cubicBezTo>
                  <a:pt x="25" y="84"/>
                  <a:pt x="20" y="81"/>
                  <a:pt x="19" y="83"/>
                </a:cubicBezTo>
                <a:cubicBezTo>
                  <a:pt x="17" y="86"/>
                  <a:pt x="18" y="91"/>
                  <a:pt x="16" y="95"/>
                </a:cubicBezTo>
                <a:cubicBezTo>
                  <a:pt x="15" y="98"/>
                  <a:pt x="11" y="100"/>
                  <a:pt x="9" y="103"/>
                </a:cubicBezTo>
                <a:cubicBezTo>
                  <a:pt x="8" y="106"/>
                  <a:pt x="11" y="112"/>
                  <a:pt x="9" y="111"/>
                </a:cubicBezTo>
                <a:cubicBezTo>
                  <a:pt x="8" y="113"/>
                  <a:pt x="8" y="114"/>
                  <a:pt x="7" y="115"/>
                </a:cubicBezTo>
                <a:cubicBezTo>
                  <a:pt x="11" y="116"/>
                  <a:pt x="10" y="123"/>
                  <a:pt x="10" y="127"/>
                </a:cubicBezTo>
                <a:cubicBezTo>
                  <a:pt x="9" y="132"/>
                  <a:pt x="5" y="136"/>
                  <a:pt x="4" y="141"/>
                </a:cubicBezTo>
                <a:cubicBezTo>
                  <a:pt x="3" y="144"/>
                  <a:pt x="3" y="147"/>
                  <a:pt x="4" y="151"/>
                </a:cubicBezTo>
                <a:cubicBezTo>
                  <a:pt x="4" y="153"/>
                  <a:pt x="7" y="154"/>
                  <a:pt x="7" y="156"/>
                </a:cubicBezTo>
                <a:cubicBezTo>
                  <a:pt x="7" y="158"/>
                  <a:pt x="4" y="159"/>
                  <a:pt x="5" y="160"/>
                </a:cubicBezTo>
                <a:cubicBezTo>
                  <a:pt x="6" y="163"/>
                  <a:pt x="10" y="163"/>
                  <a:pt x="11" y="165"/>
                </a:cubicBezTo>
                <a:cubicBezTo>
                  <a:pt x="12" y="169"/>
                  <a:pt x="9" y="173"/>
                  <a:pt x="10" y="176"/>
                </a:cubicBezTo>
                <a:cubicBezTo>
                  <a:pt x="11" y="178"/>
                  <a:pt x="15" y="174"/>
                  <a:pt x="15" y="176"/>
                </a:cubicBezTo>
                <a:cubicBezTo>
                  <a:pt x="17" y="179"/>
                  <a:pt x="14" y="184"/>
                  <a:pt x="14" y="187"/>
                </a:cubicBezTo>
                <a:cubicBezTo>
                  <a:pt x="12" y="193"/>
                  <a:pt x="10" y="199"/>
                  <a:pt x="9" y="207"/>
                </a:cubicBezTo>
                <a:cubicBezTo>
                  <a:pt x="9" y="208"/>
                  <a:pt x="7" y="208"/>
                  <a:pt x="7" y="209"/>
                </a:cubicBezTo>
                <a:cubicBezTo>
                  <a:pt x="7" y="214"/>
                  <a:pt x="12" y="214"/>
                  <a:pt x="10" y="222"/>
                </a:cubicBezTo>
                <a:cubicBezTo>
                  <a:pt x="9" y="225"/>
                  <a:pt x="3" y="224"/>
                  <a:pt x="2" y="226"/>
                </a:cubicBezTo>
                <a:cubicBezTo>
                  <a:pt x="1" y="233"/>
                  <a:pt x="3" y="239"/>
                  <a:pt x="5" y="246"/>
                </a:cubicBezTo>
                <a:cubicBezTo>
                  <a:pt x="6" y="251"/>
                  <a:pt x="11" y="255"/>
                  <a:pt x="10" y="260"/>
                </a:cubicBezTo>
                <a:cubicBezTo>
                  <a:pt x="10" y="263"/>
                  <a:pt x="4" y="263"/>
                  <a:pt x="2" y="265"/>
                </a:cubicBezTo>
                <a:cubicBezTo>
                  <a:pt x="1" y="268"/>
                  <a:pt x="4" y="271"/>
                  <a:pt x="4" y="274"/>
                </a:cubicBezTo>
                <a:cubicBezTo>
                  <a:pt x="4" y="276"/>
                  <a:pt x="2" y="278"/>
                  <a:pt x="2" y="280"/>
                </a:cubicBezTo>
                <a:cubicBezTo>
                  <a:pt x="2" y="283"/>
                  <a:pt x="2" y="286"/>
                  <a:pt x="2" y="289"/>
                </a:cubicBezTo>
                <a:cubicBezTo>
                  <a:pt x="1" y="293"/>
                  <a:pt x="1" y="297"/>
                  <a:pt x="1" y="301"/>
                </a:cubicBezTo>
                <a:cubicBezTo>
                  <a:pt x="2" y="305"/>
                  <a:pt x="5" y="308"/>
                  <a:pt x="5" y="312"/>
                </a:cubicBezTo>
                <a:cubicBezTo>
                  <a:pt x="6" y="315"/>
                  <a:pt x="3" y="317"/>
                  <a:pt x="3" y="320"/>
                </a:cubicBezTo>
                <a:cubicBezTo>
                  <a:pt x="2" y="324"/>
                  <a:pt x="1" y="328"/>
                  <a:pt x="3" y="333"/>
                </a:cubicBezTo>
                <a:cubicBezTo>
                  <a:pt x="3" y="334"/>
                  <a:pt x="6" y="333"/>
                  <a:pt x="7" y="334"/>
                </a:cubicBezTo>
                <a:cubicBezTo>
                  <a:pt x="8" y="335"/>
                  <a:pt x="7" y="336"/>
                  <a:pt x="7" y="337"/>
                </a:cubicBezTo>
                <a:cubicBezTo>
                  <a:pt x="7" y="341"/>
                  <a:pt x="9" y="344"/>
                  <a:pt x="9" y="347"/>
                </a:cubicBezTo>
                <a:cubicBezTo>
                  <a:pt x="10" y="350"/>
                  <a:pt x="7" y="353"/>
                  <a:pt x="9" y="356"/>
                </a:cubicBezTo>
                <a:cubicBezTo>
                  <a:pt x="11" y="358"/>
                  <a:pt x="15" y="356"/>
                  <a:pt x="17" y="357"/>
                </a:cubicBezTo>
                <a:cubicBezTo>
                  <a:pt x="19" y="357"/>
                  <a:pt x="19" y="359"/>
                  <a:pt x="19" y="360"/>
                </a:cubicBezTo>
                <a:cubicBezTo>
                  <a:pt x="19" y="361"/>
                  <a:pt x="18" y="363"/>
                  <a:pt x="17" y="363"/>
                </a:cubicBezTo>
                <a:cubicBezTo>
                  <a:pt x="15" y="364"/>
                  <a:pt x="14" y="361"/>
                  <a:pt x="12" y="361"/>
                </a:cubicBezTo>
                <a:cubicBezTo>
                  <a:pt x="11" y="361"/>
                  <a:pt x="7" y="362"/>
                  <a:pt x="8" y="363"/>
                </a:cubicBezTo>
                <a:cubicBezTo>
                  <a:pt x="10" y="366"/>
                  <a:pt x="17" y="365"/>
                  <a:pt x="18" y="369"/>
                </a:cubicBezTo>
                <a:cubicBezTo>
                  <a:pt x="19" y="372"/>
                  <a:pt x="12" y="373"/>
                  <a:pt x="11" y="376"/>
                </a:cubicBezTo>
                <a:cubicBezTo>
                  <a:pt x="11" y="378"/>
                  <a:pt x="16" y="379"/>
                  <a:pt x="16" y="381"/>
                </a:cubicBezTo>
                <a:cubicBezTo>
                  <a:pt x="17" y="385"/>
                  <a:pt x="16" y="388"/>
                  <a:pt x="16" y="391"/>
                </a:cubicBezTo>
                <a:cubicBezTo>
                  <a:pt x="15" y="393"/>
                  <a:pt x="14" y="394"/>
                  <a:pt x="13" y="396"/>
                </a:cubicBezTo>
                <a:cubicBezTo>
                  <a:pt x="13" y="397"/>
                  <a:pt x="13" y="399"/>
                  <a:pt x="13" y="400"/>
                </a:cubicBezTo>
                <a:cubicBezTo>
                  <a:pt x="11" y="404"/>
                  <a:pt x="7" y="407"/>
                  <a:pt x="7" y="411"/>
                </a:cubicBezTo>
                <a:cubicBezTo>
                  <a:pt x="7" y="414"/>
                  <a:pt x="13" y="415"/>
                  <a:pt x="14" y="417"/>
                </a:cubicBezTo>
                <a:cubicBezTo>
                  <a:pt x="14" y="421"/>
                  <a:pt x="12" y="424"/>
                  <a:pt x="11" y="427"/>
                </a:cubicBezTo>
                <a:cubicBezTo>
                  <a:pt x="10" y="429"/>
                  <a:pt x="10" y="431"/>
                  <a:pt x="8" y="433"/>
                </a:cubicBezTo>
                <a:cubicBezTo>
                  <a:pt x="6" y="436"/>
                  <a:pt x="2" y="437"/>
                  <a:pt x="1" y="441"/>
                </a:cubicBezTo>
                <a:cubicBezTo>
                  <a:pt x="0" y="445"/>
                  <a:pt x="1" y="450"/>
                  <a:pt x="3" y="453"/>
                </a:cubicBezTo>
                <a:cubicBezTo>
                  <a:pt x="5" y="457"/>
                  <a:pt x="4" y="462"/>
                  <a:pt x="8" y="465"/>
                </a:cubicBezTo>
                <a:cubicBezTo>
                  <a:pt x="10" y="466"/>
                  <a:pt x="14" y="460"/>
                  <a:pt x="16" y="463"/>
                </a:cubicBezTo>
                <a:cubicBezTo>
                  <a:pt x="20" y="466"/>
                  <a:pt x="19" y="472"/>
                  <a:pt x="21" y="477"/>
                </a:cubicBezTo>
                <a:cubicBezTo>
                  <a:pt x="21" y="478"/>
                  <a:pt x="21" y="478"/>
                  <a:pt x="22" y="479"/>
                </a:cubicBezTo>
                <a:cubicBezTo>
                  <a:pt x="23" y="482"/>
                  <a:pt x="24" y="487"/>
                  <a:pt x="27" y="488"/>
                </a:cubicBezTo>
                <a:cubicBezTo>
                  <a:pt x="34" y="490"/>
                  <a:pt x="41" y="487"/>
                  <a:pt x="49" y="488"/>
                </a:cubicBezTo>
                <a:cubicBezTo>
                  <a:pt x="52" y="488"/>
                  <a:pt x="55" y="490"/>
                  <a:pt x="58" y="491"/>
                </a:cubicBezTo>
                <a:close/>
              </a:path>
            </a:pathLst>
          </a:custGeom>
          <a:solidFill>
            <a:schemeClr val="bg1">
              <a:lumMod val="95000"/>
            </a:schemeClr>
          </a:solidFill>
          <a:ln w="3175" cap="rnd">
            <a:solidFill>
              <a:srgbClr val="A5A5A5"/>
            </a:solidFill>
            <a:round/>
            <a:headEnd/>
            <a:tailEnd/>
          </a:ln>
        </xdr:spPr>
      </xdr:sp>
      <xdr:sp macro="" textlink="">
        <xdr:nvSpPr>
          <xdr:cNvPr id="362" name="BRA"/>
          <xdr:cNvSpPr>
            <a:spLocks noChangeAspect="1"/>
          </xdr:cNvSpPr>
        </xdr:nvSpPr>
        <xdr:spPr bwMode="auto">
          <a:xfrm>
            <a:off x="4104210" y="5211043"/>
            <a:ext cx="1108352" cy="1370152"/>
          </a:xfrm>
          <a:custGeom>
            <a:avLst/>
            <a:gdLst>
              <a:gd name="T0" fmla="*/ 790761 w 495"/>
              <a:gd name="T1" fmla="*/ 1508165 h 578"/>
              <a:gd name="T2" fmla="*/ 727576 w 495"/>
              <a:gd name="T3" fmla="*/ 1465128 h 578"/>
              <a:gd name="T4" fmla="*/ 618440 w 495"/>
              <a:gd name="T5" fmla="*/ 1410864 h 578"/>
              <a:gd name="T6" fmla="*/ 735235 w 495"/>
              <a:gd name="T7" fmla="*/ 1261171 h 578"/>
              <a:gd name="T8" fmla="*/ 714174 w 495"/>
              <a:gd name="T9" fmla="*/ 1178839 h 578"/>
              <a:gd name="T10" fmla="*/ 643331 w 495"/>
              <a:gd name="T11" fmla="*/ 1075924 h 578"/>
              <a:gd name="T12" fmla="*/ 570573 w 495"/>
              <a:gd name="T13" fmla="*/ 986108 h 578"/>
              <a:gd name="T14" fmla="*/ 561000 w 495"/>
              <a:gd name="T15" fmla="*/ 847641 h 578"/>
              <a:gd name="T16" fmla="*/ 486327 w 495"/>
              <a:gd name="T17" fmla="*/ 782150 h 578"/>
              <a:gd name="T18" fmla="*/ 402082 w 495"/>
              <a:gd name="T19" fmla="*/ 716659 h 578"/>
              <a:gd name="T20" fmla="*/ 298689 w 495"/>
              <a:gd name="T21" fmla="*/ 617487 h 578"/>
              <a:gd name="T22" fmla="*/ 187638 w 495"/>
              <a:gd name="T23" fmla="*/ 634328 h 578"/>
              <a:gd name="T24" fmla="*/ 114880 w 495"/>
              <a:gd name="T25" fmla="*/ 578192 h 578"/>
              <a:gd name="T26" fmla="*/ 9573 w 495"/>
              <a:gd name="T27" fmla="*/ 537027 h 578"/>
              <a:gd name="T28" fmla="*/ 42123 w 495"/>
              <a:gd name="T29" fmla="*/ 424756 h 578"/>
              <a:gd name="T30" fmla="*/ 139771 w 495"/>
              <a:gd name="T31" fmla="*/ 372363 h 578"/>
              <a:gd name="T32" fmla="*/ 141686 w 495"/>
              <a:gd name="T33" fmla="*/ 175890 h 578"/>
              <a:gd name="T34" fmla="*/ 195297 w 495"/>
              <a:gd name="T35" fmla="*/ 134724 h 578"/>
              <a:gd name="T36" fmla="*/ 243164 w 495"/>
              <a:gd name="T37" fmla="*/ 153436 h 578"/>
              <a:gd name="T38" fmla="*/ 333153 w 495"/>
              <a:gd name="T39" fmla="*/ 149694 h 578"/>
              <a:gd name="T40" fmla="*/ 367618 w 495"/>
              <a:gd name="T41" fmla="*/ 108528 h 578"/>
              <a:gd name="T42" fmla="*/ 340812 w 495"/>
              <a:gd name="T43" fmla="*/ 56135 h 578"/>
              <a:gd name="T44" fmla="*/ 394423 w 495"/>
              <a:gd name="T45" fmla="*/ 48650 h 578"/>
              <a:gd name="T46" fmla="*/ 480583 w 495"/>
              <a:gd name="T47" fmla="*/ 1871 h 578"/>
              <a:gd name="T48" fmla="*/ 507389 w 495"/>
              <a:gd name="T49" fmla="*/ 52393 h 578"/>
              <a:gd name="T50" fmla="*/ 515048 w 495"/>
              <a:gd name="T51" fmla="*/ 138467 h 578"/>
              <a:gd name="T52" fmla="*/ 555256 w 495"/>
              <a:gd name="T53" fmla="*/ 145951 h 578"/>
              <a:gd name="T54" fmla="*/ 620355 w 495"/>
              <a:gd name="T55" fmla="*/ 130982 h 578"/>
              <a:gd name="T56" fmla="*/ 662478 w 495"/>
              <a:gd name="T57" fmla="*/ 102915 h 578"/>
              <a:gd name="T58" fmla="*/ 719918 w 495"/>
              <a:gd name="T59" fmla="*/ 121626 h 578"/>
              <a:gd name="T60" fmla="*/ 785017 w 495"/>
              <a:gd name="T61" fmla="*/ 41166 h 578"/>
              <a:gd name="T62" fmla="*/ 829054 w 495"/>
              <a:gd name="T63" fmla="*/ 136596 h 578"/>
              <a:gd name="T64" fmla="*/ 811822 w 495"/>
              <a:gd name="T65" fmla="*/ 188988 h 578"/>
              <a:gd name="T66" fmla="*/ 712259 w 495"/>
              <a:gd name="T67" fmla="*/ 271320 h 578"/>
              <a:gd name="T68" fmla="*/ 762041 w 495"/>
              <a:gd name="T69" fmla="*/ 293774 h 578"/>
              <a:gd name="T70" fmla="*/ 813737 w 495"/>
              <a:gd name="T71" fmla="*/ 220798 h 578"/>
              <a:gd name="T72" fmla="*/ 880750 w 495"/>
              <a:gd name="T73" fmla="*/ 243253 h 578"/>
              <a:gd name="T74" fmla="*/ 853945 w 495"/>
              <a:gd name="T75" fmla="*/ 273191 h 578"/>
              <a:gd name="T76" fmla="*/ 865433 w 495"/>
              <a:gd name="T77" fmla="*/ 273191 h 578"/>
              <a:gd name="T78" fmla="*/ 955423 w 495"/>
              <a:gd name="T79" fmla="*/ 243253 h 578"/>
              <a:gd name="T80" fmla="*/ 1030095 w 495"/>
              <a:gd name="T81" fmla="*/ 288161 h 578"/>
              <a:gd name="T82" fmla="*/ 1129658 w 495"/>
              <a:gd name="T83" fmla="*/ 306872 h 578"/>
              <a:gd name="T84" fmla="*/ 1273259 w 495"/>
              <a:gd name="T85" fmla="*/ 387333 h 578"/>
              <a:gd name="T86" fmla="*/ 1363249 w 495"/>
              <a:gd name="T87" fmla="*/ 479020 h 578"/>
              <a:gd name="T88" fmla="*/ 1271344 w 495"/>
              <a:gd name="T89" fmla="*/ 668009 h 578"/>
              <a:gd name="T90" fmla="*/ 1227307 w 495"/>
              <a:gd name="T91" fmla="*/ 784021 h 578"/>
              <a:gd name="T92" fmla="*/ 1198587 w 495"/>
              <a:gd name="T93" fmla="*/ 984237 h 578"/>
              <a:gd name="T94" fmla="*/ 1127744 w 495"/>
              <a:gd name="T95" fmla="*/ 1111477 h 578"/>
              <a:gd name="T96" fmla="*/ 1043498 w 495"/>
              <a:gd name="T97" fmla="*/ 1117090 h 578"/>
              <a:gd name="T98" fmla="*/ 911385 w 495"/>
              <a:gd name="T99" fmla="*/ 1227489 h 578"/>
              <a:gd name="T100" fmla="*/ 911385 w 495"/>
              <a:gd name="T101" fmla="*/ 1345373 h 578"/>
              <a:gd name="T102" fmla="*/ 823310 w 495"/>
              <a:gd name="T103" fmla="*/ 1476355 h 578"/>
              <a:gd name="T104" fmla="*/ 829054 w 495"/>
              <a:gd name="T105" fmla="*/ 1401508 h 578"/>
              <a:gd name="T106" fmla="*/ 796505 w 495"/>
              <a:gd name="T107" fmla="*/ 1515650 h 578"/>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495"/>
              <a:gd name="T163" fmla="*/ 0 h 578"/>
              <a:gd name="T164" fmla="*/ 495 w 495"/>
              <a:gd name="T165" fmla="*/ 578 h 578"/>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495" h="578">
                <a:moveTo>
                  <a:pt x="281" y="578"/>
                </a:moveTo>
                <a:cubicBezTo>
                  <a:pt x="280" y="577"/>
                  <a:pt x="278" y="576"/>
                  <a:pt x="277" y="575"/>
                </a:cubicBezTo>
                <a:cubicBezTo>
                  <a:pt x="277" y="573"/>
                  <a:pt x="278" y="571"/>
                  <a:pt x="279" y="570"/>
                </a:cubicBezTo>
                <a:cubicBezTo>
                  <a:pt x="280" y="567"/>
                  <a:pt x="280" y="565"/>
                  <a:pt x="282" y="563"/>
                </a:cubicBezTo>
                <a:cubicBezTo>
                  <a:pt x="283" y="562"/>
                  <a:pt x="285" y="563"/>
                  <a:pt x="285" y="563"/>
                </a:cubicBezTo>
                <a:cubicBezTo>
                  <a:pt x="286" y="562"/>
                  <a:pt x="286" y="560"/>
                  <a:pt x="287" y="559"/>
                </a:cubicBezTo>
                <a:cubicBezTo>
                  <a:pt x="287" y="556"/>
                  <a:pt x="289" y="553"/>
                  <a:pt x="287" y="552"/>
                </a:cubicBezTo>
                <a:cubicBezTo>
                  <a:pt x="285" y="551"/>
                  <a:pt x="286" y="556"/>
                  <a:pt x="285" y="558"/>
                </a:cubicBezTo>
                <a:cubicBezTo>
                  <a:pt x="283" y="559"/>
                  <a:pt x="281" y="559"/>
                  <a:pt x="279" y="559"/>
                </a:cubicBezTo>
                <a:cubicBezTo>
                  <a:pt x="278" y="559"/>
                  <a:pt x="277" y="558"/>
                  <a:pt x="276" y="557"/>
                </a:cubicBezTo>
                <a:cubicBezTo>
                  <a:pt x="275" y="556"/>
                  <a:pt x="275" y="554"/>
                  <a:pt x="274" y="553"/>
                </a:cubicBezTo>
                <a:cubicBezTo>
                  <a:pt x="271" y="549"/>
                  <a:pt x="268" y="545"/>
                  <a:pt x="264" y="543"/>
                </a:cubicBezTo>
                <a:cubicBezTo>
                  <a:pt x="260" y="541"/>
                  <a:pt x="256" y="541"/>
                  <a:pt x="253" y="539"/>
                </a:cubicBezTo>
                <a:cubicBezTo>
                  <a:pt x="251" y="537"/>
                  <a:pt x="250" y="534"/>
                  <a:pt x="247" y="532"/>
                </a:cubicBezTo>
                <a:cubicBezTo>
                  <a:pt x="247" y="532"/>
                  <a:pt x="247" y="533"/>
                  <a:pt x="246" y="534"/>
                </a:cubicBezTo>
                <a:cubicBezTo>
                  <a:pt x="245" y="534"/>
                  <a:pt x="244" y="536"/>
                  <a:pt x="243" y="536"/>
                </a:cubicBezTo>
                <a:cubicBezTo>
                  <a:pt x="239" y="531"/>
                  <a:pt x="239" y="523"/>
                  <a:pt x="234" y="520"/>
                </a:cubicBezTo>
                <a:cubicBezTo>
                  <a:pt x="232" y="518"/>
                  <a:pt x="227" y="522"/>
                  <a:pt x="224" y="523"/>
                </a:cubicBezTo>
                <a:cubicBezTo>
                  <a:pt x="228" y="518"/>
                  <a:pt x="232" y="514"/>
                  <a:pt x="235" y="509"/>
                </a:cubicBezTo>
                <a:cubicBezTo>
                  <a:pt x="238" y="504"/>
                  <a:pt x="239" y="498"/>
                  <a:pt x="242" y="494"/>
                </a:cubicBezTo>
                <a:cubicBezTo>
                  <a:pt x="244" y="491"/>
                  <a:pt x="248" y="491"/>
                  <a:pt x="250" y="489"/>
                </a:cubicBezTo>
                <a:cubicBezTo>
                  <a:pt x="252" y="487"/>
                  <a:pt x="253" y="484"/>
                  <a:pt x="255" y="482"/>
                </a:cubicBezTo>
                <a:cubicBezTo>
                  <a:pt x="259" y="479"/>
                  <a:pt x="265" y="479"/>
                  <a:pt x="267" y="476"/>
                </a:cubicBezTo>
                <a:cubicBezTo>
                  <a:pt x="269" y="473"/>
                  <a:pt x="267" y="470"/>
                  <a:pt x="267" y="467"/>
                </a:cubicBezTo>
                <a:cubicBezTo>
                  <a:pt x="267" y="464"/>
                  <a:pt x="269" y="462"/>
                  <a:pt x="268" y="460"/>
                </a:cubicBezTo>
                <a:cubicBezTo>
                  <a:pt x="268" y="458"/>
                  <a:pt x="265" y="455"/>
                  <a:pt x="264" y="453"/>
                </a:cubicBezTo>
                <a:cubicBezTo>
                  <a:pt x="263" y="452"/>
                  <a:pt x="262" y="451"/>
                  <a:pt x="261" y="451"/>
                </a:cubicBezTo>
                <a:cubicBezTo>
                  <a:pt x="259" y="451"/>
                  <a:pt x="257" y="451"/>
                  <a:pt x="256" y="451"/>
                </a:cubicBezTo>
                <a:cubicBezTo>
                  <a:pt x="256" y="449"/>
                  <a:pt x="256" y="447"/>
                  <a:pt x="256" y="445"/>
                </a:cubicBezTo>
                <a:cubicBezTo>
                  <a:pt x="257" y="443"/>
                  <a:pt x="258" y="440"/>
                  <a:pt x="259" y="437"/>
                </a:cubicBezTo>
                <a:cubicBezTo>
                  <a:pt x="259" y="434"/>
                  <a:pt x="261" y="430"/>
                  <a:pt x="261" y="426"/>
                </a:cubicBezTo>
                <a:cubicBezTo>
                  <a:pt x="260" y="424"/>
                  <a:pt x="257" y="423"/>
                  <a:pt x="255" y="423"/>
                </a:cubicBezTo>
                <a:cubicBezTo>
                  <a:pt x="251" y="422"/>
                  <a:pt x="247" y="427"/>
                  <a:pt x="244" y="425"/>
                </a:cubicBezTo>
                <a:cubicBezTo>
                  <a:pt x="241" y="424"/>
                  <a:pt x="239" y="420"/>
                  <a:pt x="239" y="417"/>
                </a:cubicBezTo>
                <a:cubicBezTo>
                  <a:pt x="238" y="413"/>
                  <a:pt x="242" y="408"/>
                  <a:pt x="241" y="403"/>
                </a:cubicBezTo>
                <a:cubicBezTo>
                  <a:pt x="240" y="401"/>
                  <a:pt x="236" y="400"/>
                  <a:pt x="233" y="399"/>
                </a:cubicBezTo>
                <a:cubicBezTo>
                  <a:pt x="229" y="398"/>
                  <a:pt x="225" y="399"/>
                  <a:pt x="222" y="398"/>
                </a:cubicBezTo>
                <a:cubicBezTo>
                  <a:pt x="219" y="398"/>
                  <a:pt x="216" y="399"/>
                  <a:pt x="213" y="398"/>
                </a:cubicBezTo>
                <a:cubicBezTo>
                  <a:pt x="212" y="398"/>
                  <a:pt x="213" y="396"/>
                  <a:pt x="213" y="395"/>
                </a:cubicBezTo>
                <a:cubicBezTo>
                  <a:pt x="213" y="390"/>
                  <a:pt x="214" y="386"/>
                  <a:pt x="213" y="381"/>
                </a:cubicBezTo>
                <a:cubicBezTo>
                  <a:pt x="212" y="378"/>
                  <a:pt x="208" y="378"/>
                  <a:pt x="207" y="375"/>
                </a:cubicBezTo>
                <a:cubicBezTo>
                  <a:pt x="206" y="372"/>
                  <a:pt x="207" y="369"/>
                  <a:pt x="207" y="366"/>
                </a:cubicBezTo>
                <a:cubicBezTo>
                  <a:pt x="208" y="362"/>
                  <a:pt x="210" y="357"/>
                  <a:pt x="211" y="353"/>
                </a:cubicBezTo>
                <a:cubicBezTo>
                  <a:pt x="212" y="348"/>
                  <a:pt x="212" y="344"/>
                  <a:pt x="212" y="339"/>
                </a:cubicBezTo>
                <a:cubicBezTo>
                  <a:pt x="211" y="335"/>
                  <a:pt x="211" y="331"/>
                  <a:pt x="208" y="328"/>
                </a:cubicBezTo>
                <a:cubicBezTo>
                  <a:pt x="207" y="326"/>
                  <a:pt x="202" y="327"/>
                  <a:pt x="201" y="325"/>
                </a:cubicBezTo>
                <a:cubicBezTo>
                  <a:pt x="200" y="322"/>
                  <a:pt x="203" y="320"/>
                  <a:pt x="203" y="317"/>
                </a:cubicBezTo>
                <a:cubicBezTo>
                  <a:pt x="204" y="316"/>
                  <a:pt x="203" y="315"/>
                  <a:pt x="203" y="314"/>
                </a:cubicBezTo>
                <a:cubicBezTo>
                  <a:pt x="203" y="313"/>
                  <a:pt x="202" y="314"/>
                  <a:pt x="202" y="314"/>
                </a:cubicBezTo>
                <a:cubicBezTo>
                  <a:pt x="194" y="314"/>
                  <a:pt x="186" y="314"/>
                  <a:pt x="179" y="314"/>
                </a:cubicBezTo>
                <a:cubicBezTo>
                  <a:pt x="178" y="314"/>
                  <a:pt x="179" y="313"/>
                  <a:pt x="179" y="312"/>
                </a:cubicBezTo>
                <a:cubicBezTo>
                  <a:pt x="177" y="307"/>
                  <a:pt x="174" y="303"/>
                  <a:pt x="174" y="298"/>
                </a:cubicBezTo>
                <a:cubicBezTo>
                  <a:pt x="174" y="296"/>
                  <a:pt x="177" y="297"/>
                  <a:pt x="177" y="296"/>
                </a:cubicBezTo>
                <a:cubicBezTo>
                  <a:pt x="178" y="294"/>
                  <a:pt x="178" y="292"/>
                  <a:pt x="177" y="290"/>
                </a:cubicBezTo>
                <a:cubicBezTo>
                  <a:pt x="177" y="288"/>
                  <a:pt x="175" y="286"/>
                  <a:pt x="174" y="284"/>
                </a:cubicBezTo>
                <a:cubicBezTo>
                  <a:pt x="174" y="281"/>
                  <a:pt x="176" y="277"/>
                  <a:pt x="174" y="275"/>
                </a:cubicBezTo>
                <a:cubicBezTo>
                  <a:pt x="173" y="274"/>
                  <a:pt x="169" y="273"/>
                  <a:pt x="166" y="273"/>
                </a:cubicBezTo>
                <a:cubicBezTo>
                  <a:pt x="162" y="272"/>
                  <a:pt x="159" y="273"/>
                  <a:pt x="155" y="272"/>
                </a:cubicBezTo>
                <a:cubicBezTo>
                  <a:pt x="153" y="271"/>
                  <a:pt x="153" y="267"/>
                  <a:pt x="151" y="266"/>
                </a:cubicBezTo>
                <a:cubicBezTo>
                  <a:pt x="149" y="266"/>
                  <a:pt x="148" y="267"/>
                  <a:pt x="146" y="266"/>
                </a:cubicBezTo>
                <a:cubicBezTo>
                  <a:pt x="144" y="265"/>
                  <a:pt x="144" y="261"/>
                  <a:pt x="142" y="260"/>
                </a:cubicBezTo>
                <a:cubicBezTo>
                  <a:pt x="139" y="259"/>
                  <a:pt x="137" y="260"/>
                  <a:pt x="134" y="260"/>
                </a:cubicBezTo>
                <a:cubicBezTo>
                  <a:pt x="131" y="259"/>
                  <a:pt x="126" y="260"/>
                  <a:pt x="123" y="258"/>
                </a:cubicBezTo>
                <a:cubicBezTo>
                  <a:pt x="120" y="254"/>
                  <a:pt x="116" y="249"/>
                  <a:pt x="113" y="245"/>
                </a:cubicBezTo>
                <a:cubicBezTo>
                  <a:pt x="112" y="243"/>
                  <a:pt x="112" y="241"/>
                  <a:pt x="111" y="239"/>
                </a:cubicBezTo>
                <a:cubicBezTo>
                  <a:pt x="110" y="236"/>
                  <a:pt x="111" y="233"/>
                  <a:pt x="108" y="229"/>
                </a:cubicBezTo>
                <a:cubicBezTo>
                  <a:pt x="108" y="226"/>
                  <a:pt x="112" y="220"/>
                  <a:pt x="109" y="218"/>
                </a:cubicBezTo>
                <a:cubicBezTo>
                  <a:pt x="105" y="219"/>
                  <a:pt x="100" y="217"/>
                  <a:pt x="95" y="219"/>
                </a:cubicBezTo>
                <a:cubicBezTo>
                  <a:pt x="92" y="220"/>
                  <a:pt x="91" y="224"/>
                  <a:pt x="88" y="225"/>
                </a:cubicBezTo>
                <a:cubicBezTo>
                  <a:pt x="86" y="226"/>
                  <a:pt x="83" y="226"/>
                  <a:pt x="82" y="227"/>
                </a:cubicBezTo>
                <a:cubicBezTo>
                  <a:pt x="79" y="228"/>
                  <a:pt x="78" y="231"/>
                  <a:pt x="76" y="232"/>
                </a:cubicBezTo>
                <a:cubicBezTo>
                  <a:pt x="73" y="234"/>
                  <a:pt x="71" y="235"/>
                  <a:pt x="68" y="235"/>
                </a:cubicBezTo>
                <a:cubicBezTo>
                  <a:pt x="66" y="236"/>
                  <a:pt x="64" y="235"/>
                  <a:pt x="63" y="235"/>
                </a:cubicBezTo>
                <a:cubicBezTo>
                  <a:pt x="61" y="235"/>
                  <a:pt x="59" y="234"/>
                  <a:pt x="58" y="234"/>
                </a:cubicBezTo>
                <a:cubicBezTo>
                  <a:pt x="57" y="234"/>
                  <a:pt x="55" y="235"/>
                  <a:pt x="54" y="235"/>
                </a:cubicBezTo>
                <a:cubicBezTo>
                  <a:pt x="51" y="235"/>
                  <a:pt x="47" y="238"/>
                  <a:pt x="46" y="235"/>
                </a:cubicBezTo>
                <a:cubicBezTo>
                  <a:pt x="43" y="229"/>
                  <a:pt x="45" y="221"/>
                  <a:pt x="44" y="214"/>
                </a:cubicBezTo>
                <a:cubicBezTo>
                  <a:pt x="44" y="214"/>
                  <a:pt x="43" y="214"/>
                  <a:pt x="42" y="214"/>
                </a:cubicBezTo>
                <a:cubicBezTo>
                  <a:pt x="39" y="217"/>
                  <a:pt x="38" y="221"/>
                  <a:pt x="34" y="223"/>
                </a:cubicBezTo>
                <a:cubicBezTo>
                  <a:pt x="32" y="224"/>
                  <a:pt x="28" y="224"/>
                  <a:pt x="25" y="223"/>
                </a:cubicBezTo>
                <a:cubicBezTo>
                  <a:pt x="23" y="221"/>
                  <a:pt x="24" y="217"/>
                  <a:pt x="22" y="215"/>
                </a:cubicBezTo>
                <a:cubicBezTo>
                  <a:pt x="20" y="213"/>
                  <a:pt x="15" y="215"/>
                  <a:pt x="14" y="213"/>
                </a:cubicBezTo>
                <a:cubicBezTo>
                  <a:pt x="12" y="211"/>
                  <a:pt x="16" y="208"/>
                  <a:pt x="15" y="206"/>
                </a:cubicBezTo>
                <a:cubicBezTo>
                  <a:pt x="12" y="203"/>
                  <a:pt x="5" y="203"/>
                  <a:pt x="3" y="199"/>
                </a:cubicBezTo>
                <a:cubicBezTo>
                  <a:pt x="1" y="197"/>
                  <a:pt x="2" y="193"/>
                  <a:pt x="2" y="190"/>
                </a:cubicBezTo>
                <a:cubicBezTo>
                  <a:pt x="2" y="188"/>
                  <a:pt x="2" y="185"/>
                  <a:pt x="2" y="182"/>
                </a:cubicBezTo>
                <a:cubicBezTo>
                  <a:pt x="2" y="180"/>
                  <a:pt x="0" y="177"/>
                  <a:pt x="2" y="175"/>
                </a:cubicBezTo>
                <a:cubicBezTo>
                  <a:pt x="4" y="172"/>
                  <a:pt x="10" y="172"/>
                  <a:pt x="12" y="168"/>
                </a:cubicBezTo>
                <a:cubicBezTo>
                  <a:pt x="13" y="167"/>
                  <a:pt x="9" y="166"/>
                  <a:pt x="10" y="164"/>
                </a:cubicBezTo>
                <a:cubicBezTo>
                  <a:pt x="10" y="161"/>
                  <a:pt x="14" y="160"/>
                  <a:pt x="15" y="157"/>
                </a:cubicBezTo>
                <a:cubicBezTo>
                  <a:pt x="16" y="154"/>
                  <a:pt x="14" y="152"/>
                  <a:pt x="15" y="150"/>
                </a:cubicBezTo>
                <a:cubicBezTo>
                  <a:pt x="17" y="146"/>
                  <a:pt x="21" y="144"/>
                  <a:pt x="24" y="142"/>
                </a:cubicBezTo>
                <a:cubicBezTo>
                  <a:pt x="26" y="142"/>
                  <a:pt x="28" y="143"/>
                  <a:pt x="29" y="142"/>
                </a:cubicBezTo>
                <a:cubicBezTo>
                  <a:pt x="33" y="142"/>
                  <a:pt x="36" y="140"/>
                  <a:pt x="39" y="139"/>
                </a:cubicBezTo>
                <a:cubicBezTo>
                  <a:pt x="41" y="139"/>
                  <a:pt x="44" y="137"/>
                  <a:pt x="46" y="137"/>
                </a:cubicBezTo>
                <a:cubicBezTo>
                  <a:pt x="48" y="137"/>
                  <a:pt x="49" y="138"/>
                  <a:pt x="51" y="138"/>
                </a:cubicBezTo>
                <a:cubicBezTo>
                  <a:pt x="53" y="125"/>
                  <a:pt x="55" y="110"/>
                  <a:pt x="57" y="97"/>
                </a:cubicBezTo>
                <a:cubicBezTo>
                  <a:pt x="58" y="94"/>
                  <a:pt x="58" y="92"/>
                  <a:pt x="59" y="90"/>
                </a:cubicBezTo>
                <a:cubicBezTo>
                  <a:pt x="57" y="88"/>
                  <a:pt x="55" y="87"/>
                  <a:pt x="54" y="85"/>
                </a:cubicBezTo>
                <a:cubicBezTo>
                  <a:pt x="52" y="84"/>
                  <a:pt x="50" y="83"/>
                  <a:pt x="49" y="82"/>
                </a:cubicBezTo>
                <a:cubicBezTo>
                  <a:pt x="49" y="77"/>
                  <a:pt x="49" y="72"/>
                  <a:pt x="49" y="67"/>
                </a:cubicBezTo>
                <a:cubicBezTo>
                  <a:pt x="50" y="66"/>
                  <a:pt x="51" y="66"/>
                  <a:pt x="52" y="65"/>
                </a:cubicBezTo>
                <a:cubicBezTo>
                  <a:pt x="55" y="65"/>
                  <a:pt x="57" y="66"/>
                  <a:pt x="59" y="65"/>
                </a:cubicBezTo>
                <a:cubicBezTo>
                  <a:pt x="60" y="65"/>
                  <a:pt x="59" y="64"/>
                  <a:pt x="59" y="63"/>
                </a:cubicBezTo>
                <a:cubicBezTo>
                  <a:pt x="58" y="61"/>
                  <a:pt x="58" y="60"/>
                  <a:pt x="57" y="59"/>
                </a:cubicBezTo>
                <a:cubicBezTo>
                  <a:pt x="56" y="58"/>
                  <a:pt x="55" y="59"/>
                  <a:pt x="54" y="59"/>
                </a:cubicBezTo>
                <a:cubicBezTo>
                  <a:pt x="53" y="56"/>
                  <a:pt x="53" y="54"/>
                  <a:pt x="53" y="51"/>
                </a:cubicBezTo>
                <a:cubicBezTo>
                  <a:pt x="59" y="51"/>
                  <a:pt x="65" y="50"/>
                  <a:pt x="71" y="50"/>
                </a:cubicBezTo>
                <a:cubicBezTo>
                  <a:pt x="71" y="49"/>
                  <a:pt x="71" y="48"/>
                  <a:pt x="72" y="48"/>
                </a:cubicBezTo>
                <a:cubicBezTo>
                  <a:pt x="73" y="48"/>
                  <a:pt x="74" y="49"/>
                  <a:pt x="76" y="50"/>
                </a:cubicBezTo>
                <a:cubicBezTo>
                  <a:pt x="77" y="48"/>
                  <a:pt x="77" y="45"/>
                  <a:pt x="79" y="45"/>
                </a:cubicBezTo>
                <a:cubicBezTo>
                  <a:pt x="80" y="44"/>
                  <a:pt x="80" y="47"/>
                  <a:pt x="81" y="48"/>
                </a:cubicBezTo>
                <a:cubicBezTo>
                  <a:pt x="83" y="52"/>
                  <a:pt x="84" y="56"/>
                  <a:pt x="86" y="60"/>
                </a:cubicBezTo>
                <a:cubicBezTo>
                  <a:pt x="87" y="59"/>
                  <a:pt x="87" y="58"/>
                  <a:pt x="88" y="57"/>
                </a:cubicBezTo>
                <a:cubicBezTo>
                  <a:pt x="91" y="60"/>
                  <a:pt x="93" y="64"/>
                  <a:pt x="96" y="65"/>
                </a:cubicBezTo>
                <a:cubicBezTo>
                  <a:pt x="98" y="67"/>
                  <a:pt x="101" y="66"/>
                  <a:pt x="104" y="65"/>
                </a:cubicBezTo>
                <a:cubicBezTo>
                  <a:pt x="107" y="63"/>
                  <a:pt x="110" y="60"/>
                  <a:pt x="113" y="58"/>
                </a:cubicBezTo>
                <a:cubicBezTo>
                  <a:pt x="114" y="57"/>
                  <a:pt x="115" y="57"/>
                  <a:pt x="116" y="56"/>
                </a:cubicBezTo>
                <a:cubicBezTo>
                  <a:pt x="117" y="56"/>
                  <a:pt x="118" y="54"/>
                  <a:pt x="119" y="54"/>
                </a:cubicBezTo>
                <a:cubicBezTo>
                  <a:pt x="120" y="54"/>
                  <a:pt x="120" y="56"/>
                  <a:pt x="121" y="56"/>
                </a:cubicBezTo>
                <a:cubicBezTo>
                  <a:pt x="122" y="56"/>
                  <a:pt x="122" y="55"/>
                  <a:pt x="122" y="54"/>
                </a:cubicBezTo>
                <a:cubicBezTo>
                  <a:pt x="123" y="52"/>
                  <a:pt x="121" y="50"/>
                  <a:pt x="122" y="48"/>
                </a:cubicBezTo>
                <a:cubicBezTo>
                  <a:pt x="123" y="47"/>
                  <a:pt x="126" y="48"/>
                  <a:pt x="128" y="47"/>
                </a:cubicBezTo>
                <a:cubicBezTo>
                  <a:pt x="128" y="46"/>
                  <a:pt x="127" y="45"/>
                  <a:pt x="128" y="45"/>
                </a:cubicBezTo>
                <a:cubicBezTo>
                  <a:pt x="129" y="43"/>
                  <a:pt x="132" y="43"/>
                  <a:pt x="133" y="42"/>
                </a:cubicBezTo>
                <a:cubicBezTo>
                  <a:pt x="134" y="41"/>
                  <a:pt x="134" y="40"/>
                  <a:pt x="133" y="40"/>
                </a:cubicBezTo>
                <a:cubicBezTo>
                  <a:pt x="130" y="39"/>
                  <a:pt x="127" y="40"/>
                  <a:pt x="124" y="40"/>
                </a:cubicBezTo>
                <a:cubicBezTo>
                  <a:pt x="123" y="40"/>
                  <a:pt x="122" y="39"/>
                  <a:pt x="122" y="38"/>
                </a:cubicBezTo>
                <a:cubicBezTo>
                  <a:pt x="121" y="37"/>
                  <a:pt x="122" y="35"/>
                  <a:pt x="122" y="34"/>
                </a:cubicBezTo>
                <a:cubicBezTo>
                  <a:pt x="121" y="34"/>
                  <a:pt x="120" y="33"/>
                  <a:pt x="120" y="32"/>
                </a:cubicBezTo>
                <a:cubicBezTo>
                  <a:pt x="121" y="30"/>
                  <a:pt x="123" y="29"/>
                  <a:pt x="123" y="27"/>
                </a:cubicBezTo>
                <a:cubicBezTo>
                  <a:pt x="124" y="25"/>
                  <a:pt x="124" y="23"/>
                  <a:pt x="123" y="21"/>
                </a:cubicBezTo>
                <a:cubicBezTo>
                  <a:pt x="122" y="19"/>
                  <a:pt x="119" y="20"/>
                  <a:pt x="118" y="18"/>
                </a:cubicBezTo>
                <a:cubicBezTo>
                  <a:pt x="118" y="17"/>
                  <a:pt x="120" y="17"/>
                  <a:pt x="122" y="17"/>
                </a:cubicBezTo>
                <a:cubicBezTo>
                  <a:pt x="125" y="17"/>
                  <a:pt x="127" y="20"/>
                  <a:pt x="130" y="20"/>
                </a:cubicBezTo>
                <a:cubicBezTo>
                  <a:pt x="132" y="21"/>
                  <a:pt x="133" y="20"/>
                  <a:pt x="134" y="20"/>
                </a:cubicBezTo>
                <a:cubicBezTo>
                  <a:pt x="137" y="21"/>
                  <a:pt x="139" y="22"/>
                  <a:pt x="141" y="22"/>
                </a:cubicBezTo>
                <a:cubicBezTo>
                  <a:pt x="142" y="21"/>
                  <a:pt x="141" y="19"/>
                  <a:pt x="143" y="18"/>
                </a:cubicBezTo>
                <a:cubicBezTo>
                  <a:pt x="147" y="17"/>
                  <a:pt x="152" y="18"/>
                  <a:pt x="156" y="17"/>
                </a:cubicBezTo>
                <a:cubicBezTo>
                  <a:pt x="158" y="16"/>
                  <a:pt x="158" y="14"/>
                  <a:pt x="160" y="13"/>
                </a:cubicBezTo>
                <a:cubicBezTo>
                  <a:pt x="162" y="12"/>
                  <a:pt x="164" y="13"/>
                  <a:pt x="165" y="12"/>
                </a:cubicBezTo>
                <a:cubicBezTo>
                  <a:pt x="166" y="11"/>
                  <a:pt x="167" y="9"/>
                  <a:pt x="167" y="7"/>
                </a:cubicBezTo>
                <a:cubicBezTo>
                  <a:pt x="168" y="5"/>
                  <a:pt x="167" y="2"/>
                  <a:pt x="167" y="1"/>
                </a:cubicBezTo>
                <a:cubicBezTo>
                  <a:pt x="170" y="1"/>
                  <a:pt x="172" y="0"/>
                  <a:pt x="174" y="1"/>
                </a:cubicBezTo>
                <a:cubicBezTo>
                  <a:pt x="176" y="1"/>
                  <a:pt x="175" y="4"/>
                  <a:pt x="175" y="5"/>
                </a:cubicBezTo>
                <a:cubicBezTo>
                  <a:pt x="175" y="6"/>
                  <a:pt x="173" y="7"/>
                  <a:pt x="173" y="8"/>
                </a:cubicBezTo>
                <a:cubicBezTo>
                  <a:pt x="173" y="9"/>
                  <a:pt x="173" y="11"/>
                  <a:pt x="174" y="11"/>
                </a:cubicBezTo>
                <a:cubicBezTo>
                  <a:pt x="176" y="12"/>
                  <a:pt x="178" y="10"/>
                  <a:pt x="180" y="11"/>
                </a:cubicBezTo>
                <a:cubicBezTo>
                  <a:pt x="181" y="12"/>
                  <a:pt x="179" y="15"/>
                  <a:pt x="180" y="17"/>
                </a:cubicBezTo>
                <a:cubicBezTo>
                  <a:pt x="181" y="18"/>
                  <a:pt x="184" y="17"/>
                  <a:pt x="184" y="19"/>
                </a:cubicBezTo>
                <a:cubicBezTo>
                  <a:pt x="182" y="21"/>
                  <a:pt x="177" y="21"/>
                  <a:pt x="176" y="24"/>
                </a:cubicBezTo>
                <a:cubicBezTo>
                  <a:pt x="176" y="28"/>
                  <a:pt x="176" y="34"/>
                  <a:pt x="176" y="38"/>
                </a:cubicBezTo>
                <a:cubicBezTo>
                  <a:pt x="176" y="40"/>
                  <a:pt x="179" y="40"/>
                  <a:pt x="179" y="41"/>
                </a:cubicBezTo>
                <a:cubicBezTo>
                  <a:pt x="180" y="42"/>
                  <a:pt x="179" y="45"/>
                  <a:pt x="179" y="46"/>
                </a:cubicBezTo>
                <a:cubicBezTo>
                  <a:pt x="179" y="48"/>
                  <a:pt x="180" y="49"/>
                  <a:pt x="181" y="49"/>
                </a:cubicBezTo>
                <a:cubicBezTo>
                  <a:pt x="182" y="51"/>
                  <a:pt x="185" y="51"/>
                  <a:pt x="187" y="52"/>
                </a:cubicBezTo>
                <a:cubicBezTo>
                  <a:pt x="188" y="53"/>
                  <a:pt x="186" y="55"/>
                  <a:pt x="187" y="56"/>
                </a:cubicBezTo>
                <a:cubicBezTo>
                  <a:pt x="188" y="57"/>
                  <a:pt x="189" y="59"/>
                  <a:pt x="191" y="59"/>
                </a:cubicBezTo>
                <a:cubicBezTo>
                  <a:pt x="192" y="60"/>
                  <a:pt x="194" y="61"/>
                  <a:pt x="195" y="60"/>
                </a:cubicBezTo>
                <a:cubicBezTo>
                  <a:pt x="196" y="59"/>
                  <a:pt x="194" y="57"/>
                  <a:pt x="194" y="56"/>
                </a:cubicBezTo>
                <a:cubicBezTo>
                  <a:pt x="195" y="54"/>
                  <a:pt x="197" y="53"/>
                  <a:pt x="199" y="52"/>
                </a:cubicBezTo>
                <a:cubicBezTo>
                  <a:pt x="200" y="52"/>
                  <a:pt x="201" y="54"/>
                  <a:pt x="202" y="54"/>
                </a:cubicBezTo>
                <a:cubicBezTo>
                  <a:pt x="203" y="53"/>
                  <a:pt x="202" y="50"/>
                  <a:pt x="204" y="49"/>
                </a:cubicBezTo>
                <a:cubicBezTo>
                  <a:pt x="205" y="49"/>
                  <a:pt x="206" y="50"/>
                  <a:pt x="208" y="49"/>
                </a:cubicBezTo>
                <a:cubicBezTo>
                  <a:pt x="209" y="49"/>
                  <a:pt x="209" y="47"/>
                  <a:pt x="210" y="47"/>
                </a:cubicBezTo>
                <a:cubicBezTo>
                  <a:pt x="212" y="47"/>
                  <a:pt x="213" y="48"/>
                  <a:pt x="214" y="48"/>
                </a:cubicBezTo>
                <a:cubicBezTo>
                  <a:pt x="216" y="49"/>
                  <a:pt x="218" y="48"/>
                  <a:pt x="220" y="48"/>
                </a:cubicBezTo>
                <a:cubicBezTo>
                  <a:pt x="221" y="48"/>
                  <a:pt x="224" y="48"/>
                  <a:pt x="225" y="48"/>
                </a:cubicBezTo>
                <a:cubicBezTo>
                  <a:pt x="227" y="48"/>
                  <a:pt x="229" y="47"/>
                  <a:pt x="229" y="46"/>
                </a:cubicBezTo>
                <a:cubicBezTo>
                  <a:pt x="229" y="44"/>
                  <a:pt x="225" y="45"/>
                  <a:pt x="225" y="43"/>
                </a:cubicBezTo>
                <a:cubicBezTo>
                  <a:pt x="225" y="41"/>
                  <a:pt x="227" y="39"/>
                  <a:pt x="229" y="38"/>
                </a:cubicBezTo>
                <a:cubicBezTo>
                  <a:pt x="231" y="38"/>
                  <a:pt x="232" y="40"/>
                  <a:pt x="234" y="40"/>
                </a:cubicBezTo>
                <a:cubicBezTo>
                  <a:pt x="235" y="40"/>
                  <a:pt x="237" y="39"/>
                  <a:pt x="238" y="39"/>
                </a:cubicBezTo>
                <a:cubicBezTo>
                  <a:pt x="239" y="39"/>
                  <a:pt x="240" y="37"/>
                  <a:pt x="240" y="38"/>
                </a:cubicBezTo>
                <a:cubicBezTo>
                  <a:pt x="242" y="38"/>
                  <a:pt x="242" y="40"/>
                  <a:pt x="242" y="41"/>
                </a:cubicBezTo>
                <a:cubicBezTo>
                  <a:pt x="244" y="43"/>
                  <a:pt x="245" y="44"/>
                  <a:pt x="247" y="45"/>
                </a:cubicBezTo>
                <a:cubicBezTo>
                  <a:pt x="249" y="46"/>
                  <a:pt x="251" y="46"/>
                  <a:pt x="252" y="45"/>
                </a:cubicBezTo>
                <a:cubicBezTo>
                  <a:pt x="253" y="45"/>
                  <a:pt x="254" y="43"/>
                  <a:pt x="255" y="43"/>
                </a:cubicBezTo>
                <a:cubicBezTo>
                  <a:pt x="257" y="42"/>
                  <a:pt x="258" y="42"/>
                  <a:pt x="259" y="43"/>
                </a:cubicBezTo>
                <a:cubicBezTo>
                  <a:pt x="260" y="43"/>
                  <a:pt x="260" y="45"/>
                  <a:pt x="261" y="45"/>
                </a:cubicBezTo>
                <a:cubicBezTo>
                  <a:pt x="262" y="46"/>
                  <a:pt x="265" y="46"/>
                  <a:pt x="267" y="45"/>
                </a:cubicBezTo>
                <a:cubicBezTo>
                  <a:pt x="269" y="44"/>
                  <a:pt x="270" y="41"/>
                  <a:pt x="270" y="39"/>
                </a:cubicBezTo>
                <a:cubicBezTo>
                  <a:pt x="271" y="36"/>
                  <a:pt x="271" y="33"/>
                  <a:pt x="272" y="29"/>
                </a:cubicBezTo>
                <a:cubicBezTo>
                  <a:pt x="273" y="27"/>
                  <a:pt x="275" y="24"/>
                  <a:pt x="277" y="22"/>
                </a:cubicBezTo>
                <a:cubicBezTo>
                  <a:pt x="279" y="20"/>
                  <a:pt x="281" y="19"/>
                  <a:pt x="284" y="17"/>
                </a:cubicBezTo>
                <a:cubicBezTo>
                  <a:pt x="285" y="16"/>
                  <a:pt x="284" y="15"/>
                  <a:pt x="285" y="15"/>
                </a:cubicBezTo>
                <a:cubicBezTo>
                  <a:pt x="287" y="15"/>
                  <a:pt x="288" y="17"/>
                  <a:pt x="288" y="18"/>
                </a:cubicBezTo>
                <a:cubicBezTo>
                  <a:pt x="289" y="21"/>
                  <a:pt x="287" y="24"/>
                  <a:pt x="288" y="27"/>
                </a:cubicBezTo>
                <a:cubicBezTo>
                  <a:pt x="289" y="29"/>
                  <a:pt x="290" y="30"/>
                  <a:pt x="291" y="32"/>
                </a:cubicBezTo>
                <a:cubicBezTo>
                  <a:pt x="293" y="36"/>
                  <a:pt x="294" y="41"/>
                  <a:pt x="295" y="45"/>
                </a:cubicBezTo>
                <a:cubicBezTo>
                  <a:pt x="296" y="47"/>
                  <a:pt x="295" y="49"/>
                  <a:pt x="296" y="51"/>
                </a:cubicBezTo>
                <a:cubicBezTo>
                  <a:pt x="297" y="52"/>
                  <a:pt x="300" y="50"/>
                  <a:pt x="301" y="51"/>
                </a:cubicBezTo>
                <a:cubicBezTo>
                  <a:pt x="302" y="52"/>
                  <a:pt x="297" y="53"/>
                  <a:pt x="298" y="54"/>
                </a:cubicBezTo>
                <a:cubicBezTo>
                  <a:pt x="299" y="55"/>
                  <a:pt x="302" y="54"/>
                  <a:pt x="303" y="56"/>
                </a:cubicBezTo>
                <a:cubicBezTo>
                  <a:pt x="303" y="57"/>
                  <a:pt x="299" y="55"/>
                  <a:pt x="299" y="56"/>
                </a:cubicBezTo>
                <a:cubicBezTo>
                  <a:pt x="299" y="58"/>
                  <a:pt x="302" y="58"/>
                  <a:pt x="302" y="59"/>
                </a:cubicBezTo>
                <a:cubicBezTo>
                  <a:pt x="302" y="61"/>
                  <a:pt x="300" y="62"/>
                  <a:pt x="299" y="64"/>
                </a:cubicBezTo>
                <a:cubicBezTo>
                  <a:pt x="297" y="66"/>
                  <a:pt x="296" y="68"/>
                  <a:pt x="294" y="70"/>
                </a:cubicBezTo>
                <a:cubicBezTo>
                  <a:pt x="293" y="72"/>
                  <a:pt x="291" y="73"/>
                  <a:pt x="290" y="74"/>
                </a:cubicBezTo>
                <a:cubicBezTo>
                  <a:pt x="288" y="76"/>
                  <a:pt x="287" y="78"/>
                  <a:pt x="285" y="80"/>
                </a:cubicBezTo>
                <a:cubicBezTo>
                  <a:pt x="284" y="83"/>
                  <a:pt x="283" y="87"/>
                  <a:pt x="281" y="90"/>
                </a:cubicBezTo>
                <a:cubicBezTo>
                  <a:pt x="279" y="92"/>
                  <a:pt x="278" y="94"/>
                  <a:pt x="275" y="95"/>
                </a:cubicBezTo>
                <a:cubicBezTo>
                  <a:pt x="272" y="97"/>
                  <a:pt x="268" y="98"/>
                  <a:pt x="264" y="99"/>
                </a:cubicBezTo>
                <a:cubicBezTo>
                  <a:pt x="262" y="100"/>
                  <a:pt x="260" y="101"/>
                  <a:pt x="258" y="101"/>
                </a:cubicBezTo>
                <a:cubicBezTo>
                  <a:pt x="260" y="102"/>
                  <a:pt x="263" y="103"/>
                  <a:pt x="265" y="103"/>
                </a:cubicBezTo>
                <a:cubicBezTo>
                  <a:pt x="268" y="102"/>
                  <a:pt x="270" y="100"/>
                  <a:pt x="273" y="99"/>
                </a:cubicBezTo>
                <a:cubicBezTo>
                  <a:pt x="273" y="98"/>
                  <a:pt x="275" y="98"/>
                  <a:pt x="275" y="99"/>
                </a:cubicBezTo>
                <a:cubicBezTo>
                  <a:pt x="275" y="102"/>
                  <a:pt x="273" y="105"/>
                  <a:pt x="274" y="108"/>
                </a:cubicBezTo>
                <a:cubicBezTo>
                  <a:pt x="274" y="111"/>
                  <a:pt x="277" y="112"/>
                  <a:pt x="279" y="115"/>
                </a:cubicBezTo>
                <a:cubicBezTo>
                  <a:pt x="278" y="113"/>
                  <a:pt x="277" y="111"/>
                  <a:pt x="277" y="109"/>
                </a:cubicBezTo>
                <a:cubicBezTo>
                  <a:pt x="276" y="106"/>
                  <a:pt x="276" y="103"/>
                  <a:pt x="277" y="100"/>
                </a:cubicBezTo>
                <a:cubicBezTo>
                  <a:pt x="278" y="99"/>
                  <a:pt x="281" y="99"/>
                  <a:pt x="282" y="98"/>
                </a:cubicBezTo>
                <a:cubicBezTo>
                  <a:pt x="284" y="96"/>
                  <a:pt x="286" y="94"/>
                  <a:pt x="288" y="92"/>
                </a:cubicBezTo>
                <a:cubicBezTo>
                  <a:pt x="289" y="90"/>
                  <a:pt x="289" y="87"/>
                  <a:pt x="291" y="85"/>
                </a:cubicBezTo>
                <a:cubicBezTo>
                  <a:pt x="292" y="84"/>
                  <a:pt x="295" y="86"/>
                  <a:pt x="296" y="85"/>
                </a:cubicBezTo>
                <a:cubicBezTo>
                  <a:pt x="296" y="84"/>
                  <a:pt x="295" y="83"/>
                  <a:pt x="295" y="82"/>
                </a:cubicBezTo>
                <a:cubicBezTo>
                  <a:pt x="295" y="80"/>
                  <a:pt x="296" y="79"/>
                  <a:pt x="297" y="78"/>
                </a:cubicBezTo>
                <a:cubicBezTo>
                  <a:pt x="299" y="78"/>
                  <a:pt x="301" y="78"/>
                  <a:pt x="302" y="78"/>
                </a:cubicBezTo>
                <a:cubicBezTo>
                  <a:pt x="304" y="79"/>
                  <a:pt x="304" y="81"/>
                  <a:pt x="306" y="81"/>
                </a:cubicBezTo>
                <a:cubicBezTo>
                  <a:pt x="310" y="81"/>
                  <a:pt x="314" y="79"/>
                  <a:pt x="318" y="79"/>
                </a:cubicBezTo>
                <a:cubicBezTo>
                  <a:pt x="319" y="79"/>
                  <a:pt x="321" y="78"/>
                  <a:pt x="321" y="79"/>
                </a:cubicBezTo>
                <a:cubicBezTo>
                  <a:pt x="321" y="83"/>
                  <a:pt x="320" y="87"/>
                  <a:pt x="319" y="90"/>
                </a:cubicBezTo>
                <a:cubicBezTo>
                  <a:pt x="318" y="93"/>
                  <a:pt x="318" y="95"/>
                  <a:pt x="317" y="97"/>
                </a:cubicBezTo>
                <a:cubicBezTo>
                  <a:pt x="316" y="99"/>
                  <a:pt x="314" y="100"/>
                  <a:pt x="313" y="100"/>
                </a:cubicBezTo>
                <a:cubicBezTo>
                  <a:pt x="307" y="101"/>
                  <a:pt x="301" y="99"/>
                  <a:pt x="296" y="100"/>
                </a:cubicBezTo>
                <a:cubicBezTo>
                  <a:pt x="294" y="101"/>
                  <a:pt x="292" y="103"/>
                  <a:pt x="291" y="104"/>
                </a:cubicBezTo>
                <a:cubicBezTo>
                  <a:pt x="294" y="104"/>
                  <a:pt x="298" y="103"/>
                  <a:pt x="302" y="103"/>
                </a:cubicBezTo>
                <a:cubicBezTo>
                  <a:pt x="305" y="103"/>
                  <a:pt x="307" y="102"/>
                  <a:pt x="310" y="102"/>
                </a:cubicBezTo>
                <a:cubicBezTo>
                  <a:pt x="310" y="105"/>
                  <a:pt x="309" y="108"/>
                  <a:pt x="308" y="111"/>
                </a:cubicBezTo>
                <a:cubicBezTo>
                  <a:pt x="308" y="113"/>
                  <a:pt x="305" y="114"/>
                  <a:pt x="305" y="117"/>
                </a:cubicBezTo>
                <a:cubicBezTo>
                  <a:pt x="304" y="120"/>
                  <a:pt x="306" y="123"/>
                  <a:pt x="307" y="126"/>
                </a:cubicBezTo>
                <a:cubicBezTo>
                  <a:pt x="307" y="123"/>
                  <a:pt x="307" y="121"/>
                  <a:pt x="308" y="118"/>
                </a:cubicBezTo>
                <a:cubicBezTo>
                  <a:pt x="308" y="117"/>
                  <a:pt x="309" y="115"/>
                  <a:pt x="309" y="114"/>
                </a:cubicBezTo>
                <a:cubicBezTo>
                  <a:pt x="311" y="110"/>
                  <a:pt x="312" y="106"/>
                  <a:pt x="314" y="102"/>
                </a:cubicBezTo>
                <a:cubicBezTo>
                  <a:pt x="315" y="100"/>
                  <a:pt x="318" y="100"/>
                  <a:pt x="320" y="98"/>
                </a:cubicBezTo>
                <a:cubicBezTo>
                  <a:pt x="321" y="97"/>
                  <a:pt x="323" y="95"/>
                  <a:pt x="324" y="93"/>
                </a:cubicBezTo>
                <a:cubicBezTo>
                  <a:pt x="325" y="90"/>
                  <a:pt x="324" y="87"/>
                  <a:pt x="326" y="85"/>
                </a:cubicBezTo>
                <a:cubicBezTo>
                  <a:pt x="328" y="83"/>
                  <a:pt x="330" y="85"/>
                  <a:pt x="332" y="85"/>
                </a:cubicBezTo>
                <a:cubicBezTo>
                  <a:pt x="335" y="85"/>
                  <a:pt x="338" y="84"/>
                  <a:pt x="340" y="85"/>
                </a:cubicBezTo>
                <a:cubicBezTo>
                  <a:pt x="343" y="86"/>
                  <a:pt x="345" y="89"/>
                  <a:pt x="347" y="90"/>
                </a:cubicBezTo>
                <a:cubicBezTo>
                  <a:pt x="352" y="92"/>
                  <a:pt x="357" y="92"/>
                  <a:pt x="361" y="94"/>
                </a:cubicBezTo>
                <a:cubicBezTo>
                  <a:pt x="362" y="94"/>
                  <a:pt x="360" y="97"/>
                  <a:pt x="361" y="97"/>
                </a:cubicBezTo>
                <a:cubicBezTo>
                  <a:pt x="362" y="98"/>
                  <a:pt x="363" y="95"/>
                  <a:pt x="364" y="95"/>
                </a:cubicBezTo>
                <a:cubicBezTo>
                  <a:pt x="365" y="95"/>
                  <a:pt x="366" y="96"/>
                  <a:pt x="367" y="97"/>
                </a:cubicBezTo>
                <a:cubicBezTo>
                  <a:pt x="369" y="98"/>
                  <a:pt x="370" y="99"/>
                  <a:pt x="371" y="100"/>
                </a:cubicBezTo>
                <a:cubicBezTo>
                  <a:pt x="372" y="102"/>
                  <a:pt x="373" y="105"/>
                  <a:pt x="373" y="107"/>
                </a:cubicBezTo>
                <a:cubicBezTo>
                  <a:pt x="373" y="109"/>
                  <a:pt x="371" y="112"/>
                  <a:pt x="372" y="114"/>
                </a:cubicBezTo>
                <a:cubicBezTo>
                  <a:pt x="372" y="115"/>
                  <a:pt x="375" y="116"/>
                  <a:pt x="376" y="115"/>
                </a:cubicBezTo>
                <a:cubicBezTo>
                  <a:pt x="379" y="114"/>
                  <a:pt x="381" y="111"/>
                  <a:pt x="384" y="110"/>
                </a:cubicBezTo>
                <a:cubicBezTo>
                  <a:pt x="386" y="109"/>
                  <a:pt x="389" y="110"/>
                  <a:pt x="391" y="110"/>
                </a:cubicBezTo>
                <a:cubicBezTo>
                  <a:pt x="392" y="110"/>
                  <a:pt x="394" y="111"/>
                  <a:pt x="396" y="111"/>
                </a:cubicBezTo>
                <a:cubicBezTo>
                  <a:pt x="400" y="112"/>
                  <a:pt x="405" y="113"/>
                  <a:pt x="410" y="114"/>
                </a:cubicBezTo>
                <a:cubicBezTo>
                  <a:pt x="414" y="114"/>
                  <a:pt x="419" y="113"/>
                  <a:pt x="423" y="114"/>
                </a:cubicBezTo>
                <a:cubicBezTo>
                  <a:pt x="427" y="114"/>
                  <a:pt x="431" y="115"/>
                  <a:pt x="435" y="117"/>
                </a:cubicBezTo>
                <a:cubicBezTo>
                  <a:pt x="440" y="120"/>
                  <a:pt x="444" y="124"/>
                  <a:pt x="448" y="128"/>
                </a:cubicBezTo>
                <a:cubicBezTo>
                  <a:pt x="451" y="130"/>
                  <a:pt x="451" y="134"/>
                  <a:pt x="453" y="137"/>
                </a:cubicBezTo>
                <a:cubicBezTo>
                  <a:pt x="455" y="138"/>
                  <a:pt x="457" y="137"/>
                  <a:pt x="459" y="138"/>
                </a:cubicBezTo>
                <a:cubicBezTo>
                  <a:pt x="460" y="139"/>
                  <a:pt x="460" y="141"/>
                  <a:pt x="462" y="143"/>
                </a:cubicBezTo>
                <a:cubicBezTo>
                  <a:pt x="463" y="144"/>
                  <a:pt x="465" y="144"/>
                  <a:pt x="466" y="145"/>
                </a:cubicBezTo>
                <a:cubicBezTo>
                  <a:pt x="468" y="146"/>
                  <a:pt x="470" y="148"/>
                  <a:pt x="472" y="148"/>
                </a:cubicBezTo>
                <a:cubicBezTo>
                  <a:pt x="476" y="149"/>
                  <a:pt x="481" y="146"/>
                  <a:pt x="485" y="147"/>
                </a:cubicBezTo>
                <a:cubicBezTo>
                  <a:pt x="488" y="149"/>
                  <a:pt x="489" y="153"/>
                  <a:pt x="490" y="156"/>
                </a:cubicBezTo>
                <a:cubicBezTo>
                  <a:pt x="491" y="158"/>
                  <a:pt x="490" y="160"/>
                  <a:pt x="490" y="162"/>
                </a:cubicBezTo>
                <a:cubicBezTo>
                  <a:pt x="491" y="167"/>
                  <a:pt x="494" y="172"/>
                  <a:pt x="494" y="177"/>
                </a:cubicBezTo>
                <a:cubicBezTo>
                  <a:pt x="495" y="181"/>
                  <a:pt x="495" y="185"/>
                  <a:pt x="494" y="188"/>
                </a:cubicBezTo>
                <a:cubicBezTo>
                  <a:pt x="494" y="192"/>
                  <a:pt x="494" y="196"/>
                  <a:pt x="492" y="200"/>
                </a:cubicBezTo>
                <a:cubicBezTo>
                  <a:pt x="490" y="204"/>
                  <a:pt x="485" y="207"/>
                  <a:pt x="483" y="212"/>
                </a:cubicBezTo>
                <a:cubicBezTo>
                  <a:pt x="481" y="216"/>
                  <a:pt x="481" y="221"/>
                  <a:pt x="478" y="224"/>
                </a:cubicBezTo>
                <a:cubicBezTo>
                  <a:pt x="476" y="228"/>
                  <a:pt x="470" y="230"/>
                  <a:pt x="467" y="234"/>
                </a:cubicBezTo>
                <a:cubicBezTo>
                  <a:pt x="464" y="238"/>
                  <a:pt x="463" y="243"/>
                  <a:pt x="461" y="247"/>
                </a:cubicBezTo>
                <a:cubicBezTo>
                  <a:pt x="459" y="251"/>
                  <a:pt x="458" y="256"/>
                  <a:pt x="454" y="260"/>
                </a:cubicBezTo>
                <a:cubicBezTo>
                  <a:pt x="453" y="261"/>
                  <a:pt x="449" y="258"/>
                  <a:pt x="448" y="260"/>
                </a:cubicBezTo>
                <a:cubicBezTo>
                  <a:pt x="446" y="263"/>
                  <a:pt x="447" y="267"/>
                  <a:pt x="446" y="271"/>
                </a:cubicBezTo>
                <a:cubicBezTo>
                  <a:pt x="445" y="273"/>
                  <a:pt x="443" y="275"/>
                  <a:pt x="443" y="277"/>
                </a:cubicBezTo>
                <a:cubicBezTo>
                  <a:pt x="443" y="278"/>
                  <a:pt x="446" y="279"/>
                  <a:pt x="446" y="281"/>
                </a:cubicBezTo>
                <a:cubicBezTo>
                  <a:pt x="447" y="284"/>
                  <a:pt x="445" y="287"/>
                  <a:pt x="445" y="291"/>
                </a:cubicBezTo>
                <a:cubicBezTo>
                  <a:pt x="445" y="296"/>
                  <a:pt x="448" y="300"/>
                  <a:pt x="447" y="305"/>
                </a:cubicBezTo>
                <a:cubicBezTo>
                  <a:pt x="447" y="313"/>
                  <a:pt x="443" y="320"/>
                  <a:pt x="443" y="328"/>
                </a:cubicBezTo>
                <a:cubicBezTo>
                  <a:pt x="442" y="330"/>
                  <a:pt x="445" y="332"/>
                  <a:pt x="444" y="334"/>
                </a:cubicBezTo>
                <a:cubicBezTo>
                  <a:pt x="444" y="336"/>
                  <a:pt x="441" y="337"/>
                  <a:pt x="441" y="339"/>
                </a:cubicBezTo>
                <a:cubicBezTo>
                  <a:pt x="440" y="344"/>
                  <a:pt x="441" y="350"/>
                  <a:pt x="440" y="356"/>
                </a:cubicBezTo>
                <a:cubicBezTo>
                  <a:pt x="439" y="359"/>
                  <a:pt x="436" y="362"/>
                  <a:pt x="435" y="365"/>
                </a:cubicBezTo>
                <a:cubicBezTo>
                  <a:pt x="433" y="368"/>
                  <a:pt x="431" y="371"/>
                  <a:pt x="430" y="375"/>
                </a:cubicBezTo>
                <a:cubicBezTo>
                  <a:pt x="428" y="378"/>
                  <a:pt x="426" y="381"/>
                  <a:pt x="424" y="385"/>
                </a:cubicBezTo>
                <a:cubicBezTo>
                  <a:pt x="423" y="387"/>
                  <a:pt x="422" y="389"/>
                  <a:pt x="422" y="391"/>
                </a:cubicBezTo>
                <a:cubicBezTo>
                  <a:pt x="422" y="394"/>
                  <a:pt x="424" y="397"/>
                  <a:pt x="422" y="399"/>
                </a:cubicBezTo>
                <a:cubicBezTo>
                  <a:pt x="420" y="402"/>
                  <a:pt x="415" y="403"/>
                  <a:pt x="412" y="406"/>
                </a:cubicBezTo>
                <a:cubicBezTo>
                  <a:pt x="410" y="407"/>
                  <a:pt x="411" y="411"/>
                  <a:pt x="409" y="412"/>
                </a:cubicBezTo>
                <a:cubicBezTo>
                  <a:pt x="407" y="413"/>
                  <a:pt x="404" y="413"/>
                  <a:pt x="401" y="412"/>
                </a:cubicBezTo>
                <a:cubicBezTo>
                  <a:pt x="400" y="412"/>
                  <a:pt x="399" y="409"/>
                  <a:pt x="397" y="409"/>
                </a:cubicBezTo>
                <a:cubicBezTo>
                  <a:pt x="396" y="409"/>
                  <a:pt x="397" y="412"/>
                  <a:pt x="396" y="412"/>
                </a:cubicBezTo>
                <a:cubicBezTo>
                  <a:pt x="394" y="414"/>
                  <a:pt x="391" y="415"/>
                  <a:pt x="388" y="415"/>
                </a:cubicBezTo>
                <a:cubicBezTo>
                  <a:pt x="386" y="415"/>
                  <a:pt x="384" y="412"/>
                  <a:pt x="382" y="412"/>
                </a:cubicBezTo>
                <a:cubicBezTo>
                  <a:pt x="380" y="412"/>
                  <a:pt x="379" y="413"/>
                  <a:pt x="378" y="414"/>
                </a:cubicBezTo>
                <a:cubicBezTo>
                  <a:pt x="375" y="416"/>
                  <a:pt x="374" y="419"/>
                  <a:pt x="372" y="421"/>
                </a:cubicBezTo>
                <a:cubicBezTo>
                  <a:pt x="371" y="422"/>
                  <a:pt x="369" y="424"/>
                  <a:pt x="367" y="425"/>
                </a:cubicBezTo>
                <a:cubicBezTo>
                  <a:pt x="364" y="426"/>
                  <a:pt x="360" y="425"/>
                  <a:pt x="358" y="426"/>
                </a:cubicBezTo>
                <a:cubicBezTo>
                  <a:pt x="352" y="429"/>
                  <a:pt x="348" y="435"/>
                  <a:pt x="343" y="439"/>
                </a:cubicBezTo>
                <a:cubicBezTo>
                  <a:pt x="341" y="441"/>
                  <a:pt x="339" y="443"/>
                  <a:pt x="338" y="445"/>
                </a:cubicBezTo>
                <a:cubicBezTo>
                  <a:pt x="335" y="448"/>
                  <a:pt x="332" y="451"/>
                  <a:pt x="331" y="455"/>
                </a:cubicBezTo>
                <a:cubicBezTo>
                  <a:pt x="330" y="457"/>
                  <a:pt x="331" y="460"/>
                  <a:pt x="331" y="463"/>
                </a:cubicBezTo>
                <a:cubicBezTo>
                  <a:pt x="331" y="464"/>
                  <a:pt x="329" y="465"/>
                  <a:pt x="329" y="466"/>
                </a:cubicBezTo>
                <a:cubicBezTo>
                  <a:pt x="330" y="469"/>
                  <a:pt x="333" y="472"/>
                  <a:pt x="334" y="476"/>
                </a:cubicBezTo>
                <a:cubicBezTo>
                  <a:pt x="334" y="482"/>
                  <a:pt x="334" y="488"/>
                  <a:pt x="332" y="494"/>
                </a:cubicBezTo>
                <a:cubicBezTo>
                  <a:pt x="332" y="495"/>
                  <a:pt x="329" y="494"/>
                  <a:pt x="329" y="495"/>
                </a:cubicBezTo>
                <a:cubicBezTo>
                  <a:pt x="329" y="497"/>
                  <a:pt x="332" y="498"/>
                  <a:pt x="331" y="499"/>
                </a:cubicBezTo>
                <a:cubicBezTo>
                  <a:pt x="329" y="502"/>
                  <a:pt x="323" y="504"/>
                  <a:pt x="321" y="507"/>
                </a:cubicBezTo>
                <a:cubicBezTo>
                  <a:pt x="317" y="513"/>
                  <a:pt x="315" y="521"/>
                  <a:pt x="312" y="528"/>
                </a:cubicBezTo>
                <a:cubicBezTo>
                  <a:pt x="311" y="532"/>
                  <a:pt x="310" y="537"/>
                  <a:pt x="307" y="541"/>
                </a:cubicBezTo>
                <a:cubicBezTo>
                  <a:pt x="304" y="545"/>
                  <a:pt x="300" y="548"/>
                  <a:pt x="296" y="551"/>
                </a:cubicBezTo>
                <a:cubicBezTo>
                  <a:pt x="295" y="552"/>
                  <a:pt x="293" y="550"/>
                  <a:pt x="293" y="549"/>
                </a:cubicBezTo>
                <a:cubicBezTo>
                  <a:pt x="294" y="547"/>
                  <a:pt x="296" y="548"/>
                  <a:pt x="298" y="547"/>
                </a:cubicBezTo>
                <a:cubicBezTo>
                  <a:pt x="300" y="545"/>
                  <a:pt x="302" y="544"/>
                  <a:pt x="303" y="541"/>
                </a:cubicBezTo>
                <a:cubicBezTo>
                  <a:pt x="304" y="540"/>
                  <a:pt x="302" y="538"/>
                  <a:pt x="303" y="537"/>
                </a:cubicBezTo>
                <a:cubicBezTo>
                  <a:pt x="304" y="536"/>
                  <a:pt x="306" y="537"/>
                  <a:pt x="306" y="536"/>
                </a:cubicBezTo>
                <a:cubicBezTo>
                  <a:pt x="308" y="533"/>
                  <a:pt x="310" y="529"/>
                  <a:pt x="310" y="525"/>
                </a:cubicBezTo>
                <a:cubicBezTo>
                  <a:pt x="309" y="523"/>
                  <a:pt x="307" y="527"/>
                  <a:pt x="305" y="526"/>
                </a:cubicBezTo>
                <a:cubicBezTo>
                  <a:pt x="303" y="525"/>
                  <a:pt x="303" y="521"/>
                  <a:pt x="301" y="520"/>
                </a:cubicBezTo>
                <a:cubicBezTo>
                  <a:pt x="299" y="520"/>
                  <a:pt x="299" y="523"/>
                  <a:pt x="300" y="525"/>
                </a:cubicBezTo>
                <a:cubicBezTo>
                  <a:pt x="300" y="526"/>
                  <a:pt x="303" y="527"/>
                  <a:pt x="303" y="528"/>
                </a:cubicBezTo>
                <a:cubicBezTo>
                  <a:pt x="302" y="533"/>
                  <a:pt x="297" y="536"/>
                  <a:pt x="295" y="540"/>
                </a:cubicBezTo>
                <a:cubicBezTo>
                  <a:pt x="294" y="543"/>
                  <a:pt x="292" y="546"/>
                  <a:pt x="291" y="549"/>
                </a:cubicBezTo>
                <a:cubicBezTo>
                  <a:pt x="291" y="550"/>
                  <a:pt x="294" y="551"/>
                  <a:pt x="293" y="553"/>
                </a:cubicBezTo>
                <a:cubicBezTo>
                  <a:pt x="293" y="556"/>
                  <a:pt x="290" y="559"/>
                  <a:pt x="289" y="562"/>
                </a:cubicBezTo>
                <a:cubicBezTo>
                  <a:pt x="287" y="565"/>
                  <a:pt x="287" y="568"/>
                  <a:pt x="285" y="571"/>
                </a:cubicBezTo>
                <a:cubicBezTo>
                  <a:pt x="284" y="573"/>
                  <a:pt x="282" y="576"/>
                  <a:pt x="281" y="578"/>
                </a:cubicBezTo>
                <a:close/>
              </a:path>
            </a:pathLst>
          </a:custGeom>
          <a:solidFill>
            <a:schemeClr val="bg1">
              <a:lumMod val="95000"/>
            </a:schemeClr>
          </a:solidFill>
          <a:ln w="3175" cap="rnd">
            <a:solidFill>
              <a:srgbClr val="A5A5A5"/>
            </a:solidFill>
            <a:round/>
            <a:headEnd/>
            <a:tailEnd/>
          </a:ln>
        </xdr:spPr>
      </xdr:sp>
      <xdr:sp macro="" textlink="">
        <xdr:nvSpPr>
          <xdr:cNvPr id="363" name="PRY"/>
          <xdr:cNvSpPr>
            <a:spLocks noChangeAspect="1"/>
          </xdr:cNvSpPr>
        </xdr:nvSpPr>
        <xdr:spPr bwMode="auto">
          <a:xfrm>
            <a:off x="4446278" y="6063070"/>
            <a:ext cx="242758" cy="287847"/>
          </a:xfrm>
          <a:custGeom>
            <a:avLst/>
            <a:gdLst>
              <a:gd name="T0" fmla="*/ 280877 w 109"/>
              <a:gd name="T1" fmla="*/ 253421 h 124"/>
              <a:gd name="T2" fmla="*/ 280877 w 109"/>
              <a:gd name="T3" fmla="*/ 236650 h 124"/>
              <a:gd name="T4" fmla="*/ 290366 w 109"/>
              <a:gd name="T5" fmla="*/ 214290 h 124"/>
              <a:gd name="T6" fmla="*/ 294162 w 109"/>
              <a:gd name="T7" fmla="*/ 186339 h 124"/>
              <a:gd name="T8" fmla="*/ 278979 w 109"/>
              <a:gd name="T9" fmla="*/ 177022 h 124"/>
              <a:gd name="T10" fmla="*/ 248614 w 109"/>
              <a:gd name="T11" fmla="*/ 184475 h 124"/>
              <a:gd name="T12" fmla="*/ 235329 w 109"/>
              <a:gd name="T13" fmla="*/ 162115 h 124"/>
              <a:gd name="T14" fmla="*/ 239125 w 109"/>
              <a:gd name="T15" fmla="*/ 122984 h 124"/>
              <a:gd name="T16" fmla="*/ 220147 w 109"/>
              <a:gd name="T17" fmla="*/ 111803 h 124"/>
              <a:gd name="T18" fmla="*/ 187884 w 109"/>
              <a:gd name="T19" fmla="*/ 109940 h 124"/>
              <a:gd name="T20" fmla="*/ 165110 w 109"/>
              <a:gd name="T21" fmla="*/ 109940 h 124"/>
              <a:gd name="T22" fmla="*/ 165110 w 109"/>
              <a:gd name="T23" fmla="*/ 102486 h 124"/>
              <a:gd name="T24" fmla="*/ 165110 w 109"/>
              <a:gd name="T25" fmla="*/ 65219 h 124"/>
              <a:gd name="T26" fmla="*/ 149928 w 109"/>
              <a:gd name="T27" fmla="*/ 48448 h 124"/>
              <a:gd name="T28" fmla="*/ 149928 w 109"/>
              <a:gd name="T29" fmla="*/ 24224 h 124"/>
              <a:gd name="T30" fmla="*/ 117665 w 109"/>
              <a:gd name="T31" fmla="*/ 1863 h 124"/>
              <a:gd name="T32" fmla="*/ 83504 w 109"/>
              <a:gd name="T33" fmla="*/ 0 h 124"/>
              <a:gd name="T34" fmla="*/ 24672 w 109"/>
              <a:gd name="T35" fmla="*/ 18634 h 124"/>
              <a:gd name="T36" fmla="*/ 18978 w 109"/>
              <a:gd name="T37" fmla="*/ 40995 h 124"/>
              <a:gd name="T38" fmla="*/ 9489 w 109"/>
              <a:gd name="T39" fmla="*/ 54038 h 124"/>
              <a:gd name="T40" fmla="*/ 11387 w 109"/>
              <a:gd name="T41" fmla="*/ 70809 h 124"/>
              <a:gd name="T42" fmla="*/ 0 w 109"/>
              <a:gd name="T43" fmla="*/ 121120 h 124"/>
              <a:gd name="T44" fmla="*/ 13285 w 109"/>
              <a:gd name="T45" fmla="*/ 136027 h 124"/>
              <a:gd name="T46" fmla="*/ 24672 w 109"/>
              <a:gd name="T47" fmla="*/ 158388 h 124"/>
              <a:gd name="T48" fmla="*/ 56934 w 109"/>
              <a:gd name="T49" fmla="*/ 177022 h 124"/>
              <a:gd name="T50" fmla="*/ 79708 w 109"/>
              <a:gd name="T51" fmla="*/ 195656 h 124"/>
              <a:gd name="T52" fmla="*/ 96789 w 109"/>
              <a:gd name="T53" fmla="*/ 195656 h 124"/>
              <a:gd name="T54" fmla="*/ 129052 w 109"/>
              <a:gd name="T55" fmla="*/ 221743 h 124"/>
              <a:gd name="T56" fmla="*/ 167008 w 109"/>
              <a:gd name="T57" fmla="*/ 231060 h 124"/>
              <a:gd name="T58" fmla="*/ 176497 w 109"/>
              <a:gd name="T59" fmla="*/ 244104 h 124"/>
              <a:gd name="T60" fmla="*/ 176497 w 109"/>
              <a:gd name="T61" fmla="*/ 275781 h 124"/>
              <a:gd name="T62" fmla="*/ 157519 w 109"/>
              <a:gd name="T63" fmla="*/ 279508 h 124"/>
              <a:gd name="T64" fmla="*/ 157519 w 109"/>
              <a:gd name="T65" fmla="*/ 298142 h 124"/>
              <a:gd name="T66" fmla="*/ 149928 w 109"/>
              <a:gd name="T67" fmla="*/ 322366 h 124"/>
              <a:gd name="T68" fmla="*/ 172701 w 109"/>
              <a:gd name="T69" fmla="*/ 322366 h 124"/>
              <a:gd name="T70" fmla="*/ 208760 w 109"/>
              <a:gd name="T71" fmla="*/ 333546 h 124"/>
              <a:gd name="T72" fmla="*/ 227738 w 109"/>
              <a:gd name="T73" fmla="*/ 324229 h 124"/>
              <a:gd name="T74" fmla="*/ 242921 w 109"/>
              <a:gd name="T75" fmla="*/ 329820 h 124"/>
              <a:gd name="T76" fmla="*/ 248614 w 109"/>
              <a:gd name="T77" fmla="*/ 331683 h 124"/>
              <a:gd name="T78" fmla="*/ 261899 w 109"/>
              <a:gd name="T79" fmla="*/ 307459 h 124"/>
              <a:gd name="T80" fmla="*/ 280877 w 109"/>
              <a:gd name="T81" fmla="*/ 290688 h 124"/>
              <a:gd name="T82" fmla="*/ 280877 w 109"/>
              <a:gd name="T83" fmla="*/ 275781 h 124"/>
              <a:gd name="T84" fmla="*/ 280877 w 109"/>
              <a:gd name="T85" fmla="*/ 253421 h 124"/>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09"/>
              <a:gd name="T130" fmla="*/ 0 h 124"/>
              <a:gd name="T131" fmla="*/ 109 w 109"/>
              <a:gd name="T132" fmla="*/ 124 h 124"/>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09" h="124">
                <a:moveTo>
                  <a:pt x="104" y="94"/>
                </a:moveTo>
                <a:cubicBezTo>
                  <a:pt x="104" y="92"/>
                  <a:pt x="104" y="90"/>
                  <a:pt x="104" y="88"/>
                </a:cubicBezTo>
                <a:cubicBezTo>
                  <a:pt x="105" y="86"/>
                  <a:pt x="106" y="83"/>
                  <a:pt x="107" y="80"/>
                </a:cubicBezTo>
                <a:cubicBezTo>
                  <a:pt x="107" y="77"/>
                  <a:pt x="109" y="73"/>
                  <a:pt x="109" y="69"/>
                </a:cubicBezTo>
                <a:cubicBezTo>
                  <a:pt x="108" y="67"/>
                  <a:pt x="105" y="66"/>
                  <a:pt x="103" y="66"/>
                </a:cubicBezTo>
                <a:cubicBezTo>
                  <a:pt x="99" y="65"/>
                  <a:pt x="95" y="70"/>
                  <a:pt x="92" y="68"/>
                </a:cubicBezTo>
                <a:cubicBezTo>
                  <a:pt x="89" y="67"/>
                  <a:pt x="87" y="63"/>
                  <a:pt x="87" y="60"/>
                </a:cubicBezTo>
                <a:cubicBezTo>
                  <a:pt x="86" y="56"/>
                  <a:pt x="90" y="51"/>
                  <a:pt x="89" y="46"/>
                </a:cubicBezTo>
                <a:cubicBezTo>
                  <a:pt x="88" y="44"/>
                  <a:pt x="84" y="43"/>
                  <a:pt x="81" y="42"/>
                </a:cubicBezTo>
                <a:cubicBezTo>
                  <a:pt x="77" y="41"/>
                  <a:pt x="73" y="42"/>
                  <a:pt x="70" y="41"/>
                </a:cubicBezTo>
                <a:cubicBezTo>
                  <a:pt x="67" y="41"/>
                  <a:pt x="64" y="42"/>
                  <a:pt x="61" y="41"/>
                </a:cubicBezTo>
                <a:cubicBezTo>
                  <a:pt x="60" y="41"/>
                  <a:pt x="61" y="39"/>
                  <a:pt x="61" y="38"/>
                </a:cubicBezTo>
                <a:cubicBezTo>
                  <a:pt x="61" y="33"/>
                  <a:pt x="62" y="29"/>
                  <a:pt x="61" y="24"/>
                </a:cubicBezTo>
                <a:cubicBezTo>
                  <a:pt x="60" y="21"/>
                  <a:pt x="56" y="21"/>
                  <a:pt x="55" y="18"/>
                </a:cubicBezTo>
                <a:cubicBezTo>
                  <a:pt x="54" y="15"/>
                  <a:pt x="55" y="12"/>
                  <a:pt x="55" y="9"/>
                </a:cubicBezTo>
                <a:cubicBezTo>
                  <a:pt x="51" y="6"/>
                  <a:pt x="47" y="4"/>
                  <a:pt x="44" y="1"/>
                </a:cubicBezTo>
                <a:cubicBezTo>
                  <a:pt x="39" y="1"/>
                  <a:pt x="35" y="0"/>
                  <a:pt x="31" y="0"/>
                </a:cubicBezTo>
                <a:cubicBezTo>
                  <a:pt x="23" y="2"/>
                  <a:pt x="16" y="4"/>
                  <a:pt x="9" y="7"/>
                </a:cubicBezTo>
                <a:cubicBezTo>
                  <a:pt x="8" y="9"/>
                  <a:pt x="8" y="12"/>
                  <a:pt x="7" y="15"/>
                </a:cubicBezTo>
                <a:cubicBezTo>
                  <a:pt x="6" y="16"/>
                  <a:pt x="5" y="18"/>
                  <a:pt x="3" y="20"/>
                </a:cubicBezTo>
                <a:cubicBezTo>
                  <a:pt x="3" y="22"/>
                  <a:pt x="4" y="24"/>
                  <a:pt x="4" y="27"/>
                </a:cubicBezTo>
                <a:cubicBezTo>
                  <a:pt x="3" y="33"/>
                  <a:pt x="2" y="39"/>
                  <a:pt x="0" y="45"/>
                </a:cubicBezTo>
                <a:cubicBezTo>
                  <a:pt x="2" y="47"/>
                  <a:pt x="4" y="49"/>
                  <a:pt x="5" y="51"/>
                </a:cubicBezTo>
                <a:cubicBezTo>
                  <a:pt x="7" y="53"/>
                  <a:pt x="7" y="56"/>
                  <a:pt x="9" y="59"/>
                </a:cubicBezTo>
                <a:cubicBezTo>
                  <a:pt x="13" y="62"/>
                  <a:pt x="17" y="63"/>
                  <a:pt x="21" y="66"/>
                </a:cubicBezTo>
                <a:cubicBezTo>
                  <a:pt x="24" y="68"/>
                  <a:pt x="26" y="70"/>
                  <a:pt x="29" y="72"/>
                </a:cubicBezTo>
                <a:cubicBezTo>
                  <a:pt x="31" y="73"/>
                  <a:pt x="34" y="71"/>
                  <a:pt x="36" y="72"/>
                </a:cubicBezTo>
                <a:cubicBezTo>
                  <a:pt x="40" y="74"/>
                  <a:pt x="43" y="79"/>
                  <a:pt x="48" y="82"/>
                </a:cubicBezTo>
                <a:cubicBezTo>
                  <a:pt x="52" y="84"/>
                  <a:pt x="57" y="84"/>
                  <a:pt x="62" y="86"/>
                </a:cubicBezTo>
                <a:cubicBezTo>
                  <a:pt x="64" y="87"/>
                  <a:pt x="65" y="89"/>
                  <a:pt x="65" y="91"/>
                </a:cubicBezTo>
                <a:cubicBezTo>
                  <a:pt x="66" y="95"/>
                  <a:pt x="66" y="99"/>
                  <a:pt x="65" y="102"/>
                </a:cubicBezTo>
                <a:cubicBezTo>
                  <a:pt x="64" y="104"/>
                  <a:pt x="60" y="103"/>
                  <a:pt x="59" y="104"/>
                </a:cubicBezTo>
                <a:cubicBezTo>
                  <a:pt x="57" y="106"/>
                  <a:pt x="59" y="109"/>
                  <a:pt x="59" y="111"/>
                </a:cubicBezTo>
                <a:cubicBezTo>
                  <a:pt x="58" y="114"/>
                  <a:pt x="53" y="117"/>
                  <a:pt x="55" y="120"/>
                </a:cubicBezTo>
                <a:cubicBezTo>
                  <a:pt x="56" y="123"/>
                  <a:pt x="61" y="119"/>
                  <a:pt x="64" y="120"/>
                </a:cubicBezTo>
                <a:cubicBezTo>
                  <a:pt x="69" y="121"/>
                  <a:pt x="73" y="124"/>
                  <a:pt x="77" y="124"/>
                </a:cubicBezTo>
                <a:cubicBezTo>
                  <a:pt x="80" y="124"/>
                  <a:pt x="82" y="121"/>
                  <a:pt x="85" y="121"/>
                </a:cubicBezTo>
                <a:cubicBezTo>
                  <a:pt x="87" y="120"/>
                  <a:pt x="89" y="121"/>
                  <a:pt x="90" y="122"/>
                </a:cubicBezTo>
                <a:cubicBezTo>
                  <a:pt x="91" y="122"/>
                  <a:pt x="91" y="123"/>
                  <a:pt x="92" y="123"/>
                </a:cubicBezTo>
                <a:cubicBezTo>
                  <a:pt x="94" y="120"/>
                  <a:pt x="95" y="117"/>
                  <a:pt x="97" y="114"/>
                </a:cubicBezTo>
                <a:cubicBezTo>
                  <a:pt x="99" y="112"/>
                  <a:pt x="102" y="110"/>
                  <a:pt x="104" y="108"/>
                </a:cubicBezTo>
                <a:cubicBezTo>
                  <a:pt x="105" y="106"/>
                  <a:pt x="104" y="104"/>
                  <a:pt x="104" y="102"/>
                </a:cubicBezTo>
                <a:cubicBezTo>
                  <a:pt x="104" y="99"/>
                  <a:pt x="104" y="97"/>
                  <a:pt x="104" y="94"/>
                </a:cubicBezTo>
                <a:close/>
              </a:path>
            </a:pathLst>
          </a:custGeom>
          <a:solidFill>
            <a:schemeClr val="bg1">
              <a:lumMod val="95000"/>
            </a:schemeClr>
          </a:solidFill>
          <a:ln w="3175" cap="rnd">
            <a:solidFill>
              <a:srgbClr val="A5A5A5"/>
            </a:solidFill>
            <a:round/>
            <a:headEnd/>
            <a:tailEnd/>
          </a:ln>
        </xdr:spPr>
      </xdr:sp>
    </xdr:grpSp>
    <xdr:clientData/>
  </xdr:twoCellAnchor>
  <xdr:twoCellAnchor editAs="oneCell">
    <xdr:from>
      <xdr:col>1</xdr:col>
      <xdr:colOff>38100</xdr:colOff>
      <xdr:row>53</xdr:row>
      <xdr:rowOff>68314</xdr:rowOff>
    </xdr:from>
    <xdr:to>
      <xdr:col>1</xdr:col>
      <xdr:colOff>855662</xdr:colOff>
      <xdr:row>54</xdr:row>
      <xdr:rowOff>58789</xdr:rowOff>
    </xdr:to>
    <xdr:sp macro="[0]!returntop" textlink="lang!C112">
      <xdr:nvSpPr>
        <xdr:cNvPr id="393" name="go_top"/>
        <xdr:cNvSpPr txBox="1"/>
      </xdr:nvSpPr>
      <xdr:spPr>
        <a:xfrm>
          <a:off x="219075" y="11203039"/>
          <a:ext cx="81756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clientData/>
  </xdr:twoCellAnchor>
  <xdr:twoCellAnchor editAs="oneCell">
    <xdr:from>
      <xdr:col>4</xdr:col>
      <xdr:colOff>489076</xdr:colOff>
      <xdr:row>11</xdr:row>
      <xdr:rowOff>13245</xdr:rowOff>
    </xdr:from>
    <xdr:to>
      <xdr:col>9</xdr:col>
      <xdr:colOff>261415</xdr:colOff>
      <xdr:row>33</xdr:row>
      <xdr:rowOff>21181</xdr:rowOff>
    </xdr:to>
    <xdr:grpSp>
      <xdr:nvGrpSpPr>
        <xdr:cNvPr id="139" name="grpCityLabels2"/>
        <xdr:cNvGrpSpPr/>
      </xdr:nvGrpSpPr>
      <xdr:grpSpPr>
        <a:xfrm>
          <a:off x="3179889" y="3144589"/>
          <a:ext cx="4296714" cy="4198936"/>
          <a:chOff x="16091505" y="4211790"/>
          <a:chExt cx="5007856" cy="4198936"/>
        </a:xfrm>
      </xdr:grpSpPr>
      <xdr:sp macro="" textlink="">
        <xdr:nvSpPr>
          <xdr:cNvPr id="3923" name="lbl_city_BSAS"/>
          <xdr:cNvSpPr txBox="1"/>
        </xdr:nvSpPr>
        <xdr:spPr>
          <a:xfrm>
            <a:off x="19491058" y="8019155"/>
            <a:ext cx="689481" cy="391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Buenos Aires		</a:t>
            </a:r>
          </a:p>
        </xdr:txBody>
      </xdr:sp>
      <xdr:sp macro="" textlink="">
        <xdr:nvSpPr>
          <xdr:cNvPr id="3924" name="lbl_city_CDBE"/>
          <xdr:cNvSpPr txBox="1"/>
        </xdr:nvSpPr>
        <xdr:spPr>
          <a:xfrm>
            <a:off x="18089150" y="4558384"/>
            <a:ext cx="1239264" cy="185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Ciudad de Belice</a:t>
            </a:r>
          </a:p>
        </xdr:txBody>
      </xdr:sp>
      <xdr:sp macro="" textlink="">
        <xdr:nvSpPr>
          <xdr:cNvPr id="3925" name="lbl_city_ASUN"/>
          <xdr:cNvSpPr txBox="1"/>
        </xdr:nvSpPr>
        <xdr:spPr>
          <a:xfrm>
            <a:off x="18438518" y="7059229"/>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Asunción</a:t>
            </a:r>
          </a:p>
        </xdr:txBody>
      </xdr:sp>
      <xdr:sp macro="" textlink="">
        <xdr:nvSpPr>
          <xdr:cNvPr id="3926" name="lbl_city_BOGA"/>
          <xdr:cNvSpPr txBox="1"/>
        </xdr:nvSpPr>
        <xdr:spPr>
          <a:xfrm>
            <a:off x="18760625" y="5216669"/>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Bogotá</a:t>
            </a:r>
          </a:p>
        </xdr:txBody>
      </xdr:sp>
      <xdr:sp macro="" textlink="">
        <xdr:nvSpPr>
          <xdr:cNvPr id="3927" name="lbl_city_LIMA"/>
          <xdr:cNvSpPr txBox="1"/>
        </xdr:nvSpPr>
        <xdr:spPr>
          <a:xfrm>
            <a:off x="17514127" y="6461802"/>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Lima</a:t>
            </a:r>
          </a:p>
        </xdr:txBody>
      </xdr:sp>
      <xdr:sp macro="" textlink="">
        <xdr:nvSpPr>
          <xdr:cNvPr id="3928" name="lbl_city_MEXC"/>
          <xdr:cNvSpPr txBox="1"/>
        </xdr:nvSpPr>
        <xdr:spPr>
          <a:xfrm>
            <a:off x="16091505" y="4211790"/>
            <a:ext cx="689481" cy="370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Ciudad de Mexico</a:t>
            </a:r>
          </a:p>
        </xdr:txBody>
      </xdr:sp>
      <xdr:sp macro="" textlink="">
        <xdr:nvSpPr>
          <xdr:cNvPr id="3929" name="lbl_city_MONT"/>
          <xdr:cNvSpPr txBox="1"/>
        </xdr:nvSpPr>
        <xdr:spPr>
          <a:xfrm>
            <a:off x="19917058" y="7448951"/>
            <a:ext cx="919252" cy="2267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Montevideo	</a:t>
            </a:r>
          </a:p>
        </xdr:txBody>
      </xdr:sp>
      <xdr:sp macro="" textlink="">
        <xdr:nvSpPr>
          <xdr:cNvPr id="3930" name="lbl_city_QUIT"/>
          <xdr:cNvSpPr txBox="1"/>
        </xdr:nvSpPr>
        <xdr:spPr>
          <a:xfrm>
            <a:off x="17434448" y="5805100"/>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Quito</a:t>
            </a:r>
          </a:p>
        </xdr:txBody>
      </xdr:sp>
      <xdr:sp macro="" textlink="">
        <xdr:nvSpPr>
          <xdr:cNvPr id="3931" name="lbl_city_SANJ"/>
          <xdr:cNvSpPr txBox="1"/>
        </xdr:nvSpPr>
        <xdr:spPr>
          <a:xfrm>
            <a:off x="17159569" y="5223286"/>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San José</a:t>
            </a:r>
          </a:p>
        </xdr:txBody>
      </xdr:sp>
      <xdr:sp macro="" textlink="">
        <xdr:nvSpPr>
          <xdr:cNvPr id="3932" name="lbl_city_SACR"/>
          <xdr:cNvSpPr txBox="1"/>
        </xdr:nvSpPr>
        <xdr:spPr>
          <a:xfrm>
            <a:off x="19309775" y="6328184"/>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Santa Cruz</a:t>
            </a:r>
          </a:p>
        </xdr:txBody>
      </xdr:sp>
      <xdr:sp macro="" textlink="">
        <xdr:nvSpPr>
          <xdr:cNvPr id="3933" name="lbl_city_SADC"/>
          <xdr:cNvSpPr txBox="1"/>
        </xdr:nvSpPr>
        <xdr:spPr>
          <a:xfrm>
            <a:off x="17868609" y="7788949"/>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Santiago </a:t>
            </a:r>
          </a:p>
        </xdr:txBody>
      </xdr:sp>
      <xdr:sp macro="" textlink="">
        <xdr:nvSpPr>
          <xdr:cNvPr id="3934" name="lbl_city_SAPA"/>
          <xdr:cNvSpPr txBox="1"/>
        </xdr:nvSpPr>
        <xdr:spPr>
          <a:xfrm>
            <a:off x="20409880" y="6763958"/>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San Pablo</a:t>
            </a:r>
          </a:p>
        </xdr:txBody>
      </xdr:sp>
    </xdr:grpSp>
    <xdr:clientData/>
  </xdr:twoCellAnchor>
  <xdr:twoCellAnchor editAs="oneCell">
    <xdr:from>
      <xdr:col>3</xdr:col>
      <xdr:colOff>462643</xdr:colOff>
      <xdr:row>8</xdr:row>
      <xdr:rowOff>47624</xdr:rowOff>
    </xdr:from>
    <xdr:to>
      <xdr:col>10</xdr:col>
      <xdr:colOff>539750</xdr:colOff>
      <xdr:row>36</xdr:row>
      <xdr:rowOff>68034</xdr:rowOff>
    </xdr:to>
    <xdr:sp macro="" textlink="">
      <xdr:nvSpPr>
        <xdr:cNvPr id="396" name="border"/>
        <xdr:cNvSpPr>
          <a:spLocks noChangeAspect="1" noChangeArrowheads="1"/>
        </xdr:cNvSpPr>
      </xdr:nvSpPr>
      <xdr:spPr bwMode="auto">
        <a:xfrm>
          <a:off x="2732768" y="2603499"/>
          <a:ext cx="5585732" cy="5370285"/>
        </a:xfrm>
        <a:prstGeom prst="rect">
          <a:avLst/>
        </a:prstGeom>
        <a:noFill/>
        <a:ln w="9525">
          <a:noFill/>
          <a:miter lim="800000"/>
          <a:headEnd/>
          <a:tailEnd/>
        </a:ln>
      </xdr:spPr>
    </xdr:sp>
    <xdr:clientData/>
  </xdr:twoCellAnchor>
  <xdr:twoCellAnchor editAs="oneCell">
    <xdr:from>
      <xdr:col>1</xdr:col>
      <xdr:colOff>0</xdr:colOff>
      <xdr:row>14</xdr:row>
      <xdr:rowOff>0</xdr:rowOff>
    </xdr:from>
    <xdr:to>
      <xdr:col>4</xdr:col>
      <xdr:colOff>47186</xdr:colOff>
      <xdr:row>15</xdr:row>
      <xdr:rowOff>42715</xdr:rowOff>
    </xdr:to>
    <xdr:sp macro="" textlink="lang!C50">
      <xdr:nvSpPr>
        <xdr:cNvPr id="412" name="lbl_cnt_City_1"/>
        <xdr:cNvSpPr txBox="1"/>
      </xdr:nvSpPr>
      <xdr:spPr>
        <a:xfrm>
          <a:off x="254000" y="3714750"/>
          <a:ext cx="2555436" cy="233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2F628BE1-E9AE-43A8-AC68-038F63D6D850}" type="TxLink">
            <a:rPr lang="en-US" sz="1100" b="1" i="0" u="none" strike="noStrike">
              <a:solidFill>
                <a:srgbClr val="000000"/>
              </a:solidFill>
              <a:latin typeface="Calibri"/>
              <a:ea typeface="Karla" pitchFamily="2" charset="0"/>
              <a:cs typeface="Arial" pitchFamily="34" charset="0"/>
            </a:rPr>
            <a:pPr/>
            <a:t>MODO DE VISUALIZACION</a:t>
          </a:fld>
          <a:endParaRPr lang="en-GB" sz="800" b="1">
            <a:solidFill>
              <a:sysClr val="windowText" lastClr="000000"/>
            </a:solidFill>
            <a:latin typeface="+mn-lt"/>
            <a:ea typeface="Karla" pitchFamily="2" charset="0"/>
            <a:cs typeface="Arial" pitchFamily="34" charset="0"/>
          </a:endParaRPr>
        </a:p>
      </xdr:txBody>
    </xdr:sp>
    <xdr:clientData fPrintsWithSheet="0"/>
  </xdr:twoCellAnchor>
  <xdr:twoCellAnchor editAs="oneCell">
    <xdr:from>
      <xdr:col>12</xdr:col>
      <xdr:colOff>179916</xdr:colOff>
      <xdr:row>6</xdr:row>
      <xdr:rowOff>232833</xdr:rowOff>
    </xdr:from>
    <xdr:to>
      <xdr:col>22</xdr:col>
      <xdr:colOff>296334</xdr:colOff>
      <xdr:row>45</xdr:row>
      <xdr:rowOff>173302</xdr:rowOff>
    </xdr:to>
    <xdr:graphicFrame macro="">
      <xdr:nvGraphicFramePr>
        <xdr:cNvPr id="151" name="chtSeriesMa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10</xdr:col>
      <xdr:colOff>23811</xdr:colOff>
      <xdr:row>31</xdr:row>
      <xdr:rowOff>142873</xdr:rowOff>
    </xdr:from>
    <xdr:to>
      <xdr:col>11</xdr:col>
      <xdr:colOff>803011</xdr:colOff>
      <xdr:row>38</xdr:row>
      <xdr:rowOff>107154</xdr:rowOff>
    </xdr:to>
    <xdr:sp macro="" textlink="lang!C96">
      <xdr:nvSpPr>
        <xdr:cNvPr id="1326" name="Text Box 54"/>
        <xdr:cNvSpPr txBox="1">
          <a:spLocks noChangeArrowheads="1"/>
        </xdr:cNvSpPr>
      </xdr:nvSpPr>
      <xdr:spPr bwMode="auto">
        <a:xfrm>
          <a:off x="7802561" y="7096123"/>
          <a:ext cx="1985700" cy="1297781"/>
        </a:xfrm>
        <a:prstGeom prst="rect">
          <a:avLst/>
        </a:prstGeom>
        <a:solidFill>
          <a:srgbClr val="ECEDEE"/>
        </a:solidFill>
        <a:ln w="9525">
          <a:noFill/>
          <a:miter lim="800000"/>
          <a:headEnd/>
          <a:tailEnd/>
        </a:ln>
      </xdr:spPr>
      <xdr:txBody>
        <a:bodyPr vertOverflow="clip" wrap="square" lIns="36000" tIns="36000" rIns="36000" bIns="36000" anchor="t" upright="1"/>
        <a:lstStyle/>
        <a:p>
          <a:pPr marL="72000" algn="l" rtl="0">
            <a:spcBef>
              <a:spcPts val="600"/>
            </a:spcBef>
            <a:spcAft>
              <a:spcPts val="600"/>
            </a:spcAft>
            <a:defRPr sz="1000"/>
          </a:pPr>
          <a:fld id="{9F1A9B43-71F3-4ABE-BFCE-4A66C1CD7F88}" type="TxLink">
            <a:rPr lang="en-US" sz="1000" b="0" i="0" u="none" strike="noStrike">
              <a:solidFill>
                <a:srgbClr val="000000"/>
              </a:solidFill>
              <a:latin typeface="+mn-lt"/>
              <a:ea typeface="+mn-ea"/>
              <a:cs typeface="Arial" pitchFamily="34" charset="0"/>
            </a:rPr>
            <a:pPr marL="72000" algn="l" rtl="0">
              <a:spcBef>
                <a:spcPts val="600"/>
              </a:spcBef>
              <a:spcAft>
                <a:spcPts val="600"/>
              </a:spcAft>
              <a:defRPr sz="1000"/>
            </a:pPr>
            <a:t>En este modelo los puntajes de 0 a 100 representan los puntos más bajos y más altos, respectivamente, medidos por los criterios de cada indicador. Los puntajes son normalizados (0-100, donde 100 = más favorable).</a:t>
          </a:fld>
          <a:endParaRPr lang="en-US" sz="1000" b="0" i="1" u="none" strike="noStrike" baseline="0">
            <a:solidFill>
              <a:srgbClr val="000000"/>
            </a:solidFill>
            <a:latin typeface="+mn-lt"/>
            <a:cs typeface="Arial" pitchFamily="34" charset="0"/>
          </a:endParaRPr>
        </a:p>
      </xdr:txBody>
    </xdr:sp>
    <xdr:clientData/>
  </xdr:twoCellAnchor>
  <xdr:twoCellAnchor editAs="oneCell">
    <xdr:from>
      <xdr:col>5</xdr:col>
      <xdr:colOff>3424</xdr:colOff>
      <xdr:row>11</xdr:row>
      <xdr:rowOff>186761</xdr:rowOff>
    </xdr:from>
    <xdr:to>
      <xdr:col>8</xdr:col>
      <xdr:colOff>454012</xdr:colOff>
      <xdr:row>30</xdr:row>
      <xdr:rowOff>183482</xdr:rowOff>
    </xdr:to>
    <xdr:grpSp>
      <xdr:nvGrpSpPr>
        <xdr:cNvPr id="428" name="grpCityCircles2"/>
        <xdr:cNvGrpSpPr/>
      </xdr:nvGrpSpPr>
      <xdr:grpSpPr>
        <a:xfrm>
          <a:off x="3896768" y="3318105"/>
          <a:ext cx="2962807" cy="3616221"/>
          <a:chOff x="-729614" y="-3075099"/>
          <a:chExt cx="345427" cy="3744182"/>
        </a:xfrm>
      </xdr:grpSpPr>
      <xdr:sp macro="[0]!Country_Click" textlink="">
        <xdr:nvSpPr>
          <xdr:cNvPr id="434" name="circle_MONT"/>
          <xdr:cNvSpPr/>
        </xdr:nvSpPr>
        <xdr:spPr>
          <a:xfrm>
            <a:off x="-482015" y="179640"/>
            <a:ext cx="41981" cy="371921"/>
          </a:xfrm>
          <a:prstGeom prst="ellipse">
            <a:avLst/>
          </a:prstGeom>
          <a:solidFill>
            <a:srgbClr val="00FF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29" name="circle_SANJ"/>
          <xdr:cNvSpPr/>
        </xdr:nvSpPr>
        <xdr:spPr>
          <a:xfrm>
            <a:off x="-627585" y="-2298241"/>
            <a:ext cx="5937" cy="52598"/>
          </a:xfrm>
          <a:prstGeom prst="ellipse">
            <a:avLst/>
          </a:prstGeom>
          <a:solidFill>
            <a:srgbClr val="CCCC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5" name="circle_SACR"/>
          <xdr:cNvSpPr/>
        </xdr:nvSpPr>
        <xdr:spPr>
          <a:xfrm>
            <a:off x="-540616" y="-911255"/>
            <a:ext cx="59370" cy="525976"/>
          </a:xfrm>
          <a:prstGeom prst="ellipse">
            <a:avLst/>
          </a:prstGeom>
          <a:solidFill>
            <a:srgbClr val="00008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1" name="circle_MEXC"/>
          <xdr:cNvSpPr/>
        </xdr:nvSpPr>
        <xdr:spPr>
          <a:xfrm>
            <a:off x="-729614" y="-3075099"/>
            <a:ext cx="41981" cy="371921"/>
          </a:xfrm>
          <a:prstGeom prst="ellipse">
            <a:avLst/>
          </a:prstGeom>
          <a:solidFill>
            <a:srgbClr val="00FF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0" name="circle_SADC"/>
          <xdr:cNvSpPr/>
        </xdr:nvSpPr>
        <xdr:spPr>
          <a:xfrm>
            <a:off x="-549642" y="240409"/>
            <a:ext cx="5937" cy="52598"/>
          </a:xfrm>
          <a:prstGeom prst="ellipse">
            <a:avLst/>
          </a:prstGeom>
          <a:solidFill>
            <a:srgbClr val="CCCC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2" name="circle_SAPA"/>
          <xdr:cNvSpPr/>
        </xdr:nvSpPr>
        <xdr:spPr>
          <a:xfrm>
            <a:off x="-443557" y="-548551"/>
            <a:ext cx="59370" cy="525976"/>
          </a:xfrm>
          <a:prstGeom prst="ellipse">
            <a:avLst/>
          </a:prstGeom>
          <a:solidFill>
            <a:srgbClr val="00008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8" name="circle_LIMA"/>
          <xdr:cNvSpPr/>
        </xdr:nvSpPr>
        <xdr:spPr>
          <a:xfrm>
            <a:off x="-591084" y="-1098087"/>
            <a:ext cx="5937" cy="52598"/>
          </a:xfrm>
          <a:prstGeom prst="ellipse">
            <a:avLst/>
          </a:prstGeom>
          <a:solidFill>
            <a:srgbClr val="CCCC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6" name="circle_CDBE"/>
          <xdr:cNvSpPr/>
        </xdr:nvSpPr>
        <xdr:spPr>
          <a:xfrm>
            <a:off x="-641493" y="-2768206"/>
            <a:ext cx="5937" cy="52598"/>
          </a:xfrm>
          <a:prstGeom prst="ellipse">
            <a:avLst/>
          </a:prstGeom>
          <a:solidFill>
            <a:srgbClr val="CCCC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3" name="circle_BSAS"/>
          <xdr:cNvSpPr/>
        </xdr:nvSpPr>
        <xdr:spPr>
          <a:xfrm>
            <a:off x="-494875" y="297162"/>
            <a:ext cx="41981" cy="371921"/>
          </a:xfrm>
          <a:prstGeom prst="ellipse">
            <a:avLst/>
          </a:prstGeom>
          <a:solidFill>
            <a:srgbClr val="00FF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9" name="circle_BOGA"/>
          <xdr:cNvSpPr/>
        </xdr:nvSpPr>
        <xdr:spPr>
          <a:xfrm>
            <a:off x="-600834" y="-2284269"/>
            <a:ext cx="59370" cy="525976"/>
          </a:xfrm>
          <a:prstGeom prst="ellipse">
            <a:avLst/>
          </a:prstGeom>
          <a:solidFill>
            <a:srgbClr val="00008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40" name="circle_ASUN"/>
          <xdr:cNvSpPr/>
        </xdr:nvSpPr>
        <xdr:spPr>
          <a:xfrm>
            <a:off x="-497424" y="-417829"/>
            <a:ext cx="41981" cy="371921"/>
          </a:xfrm>
          <a:prstGeom prst="ellipse">
            <a:avLst/>
          </a:prstGeom>
          <a:solidFill>
            <a:srgbClr val="00FF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7" name="circle_QUIT"/>
          <xdr:cNvSpPr/>
        </xdr:nvSpPr>
        <xdr:spPr>
          <a:xfrm>
            <a:off x="-624044" y="-1924307"/>
            <a:ext cx="59370" cy="525976"/>
          </a:xfrm>
          <a:prstGeom prst="ellipse">
            <a:avLst/>
          </a:prstGeom>
          <a:solidFill>
            <a:srgbClr val="00008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183016</xdr:colOff>
      <xdr:row>14</xdr:row>
      <xdr:rowOff>87607</xdr:rowOff>
    </xdr:from>
    <xdr:to>
      <xdr:col>21</xdr:col>
      <xdr:colOff>9485</xdr:colOff>
      <xdr:row>40</xdr:row>
      <xdr:rowOff>30622</xdr:rowOff>
    </xdr:to>
    <xdr:sp macro="" textlink="">
      <xdr:nvSpPr>
        <xdr:cNvPr id="179" name="Rectangle 178"/>
        <xdr:cNvSpPr/>
      </xdr:nvSpPr>
      <xdr:spPr>
        <a:xfrm>
          <a:off x="8481672" y="4135732"/>
          <a:ext cx="5220001" cy="4896015"/>
        </a:xfrm>
        <a:prstGeom prst="rect">
          <a:avLst/>
        </a:prstGeom>
        <a:solidFill>
          <a:srgbClr val="EAEAEA"/>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solidFill>
              <a:sysClr val="windowText" lastClr="000000"/>
            </a:solidFill>
          </a:endParaRPr>
        </a:p>
      </xdr:txBody>
    </xdr:sp>
    <xdr:clientData/>
  </xdr:twoCellAnchor>
  <xdr:twoCellAnchor>
    <xdr:from>
      <xdr:col>9</xdr:col>
      <xdr:colOff>176894</xdr:colOff>
      <xdr:row>3</xdr:row>
      <xdr:rowOff>166529</xdr:rowOff>
    </xdr:from>
    <xdr:to>
      <xdr:col>21</xdr:col>
      <xdr:colOff>3363</xdr:colOff>
      <xdr:row>14</xdr:row>
      <xdr:rowOff>1707</xdr:rowOff>
    </xdr:to>
    <xdr:sp macro="" textlink="">
      <xdr:nvSpPr>
        <xdr:cNvPr id="177" name="Rectangle 176"/>
        <xdr:cNvSpPr/>
      </xdr:nvSpPr>
      <xdr:spPr>
        <a:xfrm>
          <a:off x="8475550" y="1690529"/>
          <a:ext cx="5220001" cy="2359303"/>
        </a:xfrm>
        <a:prstGeom prst="rect">
          <a:avLst/>
        </a:prstGeom>
        <a:solidFill>
          <a:srgbClr val="EAEAEA"/>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solidFill>
              <a:sysClr val="windowText" lastClr="000000"/>
            </a:solidFill>
          </a:endParaRPr>
        </a:p>
      </xdr:txBody>
    </xdr:sp>
    <xdr:clientData/>
  </xdr:twoCellAnchor>
  <xdr:twoCellAnchor>
    <xdr:from>
      <xdr:col>0</xdr:col>
      <xdr:colOff>107721</xdr:colOff>
      <xdr:row>3</xdr:row>
      <xdr:rowOff>170094</xdr:rowOff>
    </xdr:from>
    <xdr:to>
      <xdr:col>9</xdr:col>
      <xdr:colOff>81642</xdr:colOff>
      <xdr:row>40</xdr:row>
      <xdr:rowOff>40827</xdr:rowOff>
    </xdr:to>
    <xdr:sp macro="" textlink="">
      <xdr:nvSpPr>
        <xdr:cNvPr id="174" name="Rectangle 173"/>
        <xdr:cNvSpPr/>
      </xdr:nvSpPr>
      <xdr:spPr>
        <a:xfrm>
          <a:off x="107721" y="1694094"/>
          <a:ext cx="8260671" cy="7368269"/>
        </a:xfrm>
        <a:prstGeom prst="rect">
          <a:avLst/>
        </a:prstGeom>
        <a:solidFill>
          <a:srgbClr val="EAEAEA"/>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solidFill>
              <a:sysClr val="windowText" lastClr="000000"/>
            </a:solidFill>
          </a:endParaRPr>
        </a:p>
      </xdr:txBody>
    </xdr:sp>
    <xdr:clientData/>
  </xdr:twoCellAnchor>
  <xdr:twoCellAnchor>
    <xdr:from>
      <xdr:col>1</xdr:col>
      <xdr:colOff>57150</xdr:colOff>
      <xdr:row>31</xdr:row>
      <xdr:rowOff>0</xdr:rowOff>
    </xdr:from>
    <xdr:to>
      <xdr:col>6</xdr:col>
      <xdr:colOff>285750</xdr:colOff>
      <xdr:row>41</xdr:row>
      <xdr:rowOff>171450</xdr:rowOff>
    </xdr:to>
    <xdr:grpSp>
      <xdr:nvGrpSpPr>
        <xdr:cNvPr id="2" name="gLeg2" hidden="1"/>
        <xdr:cNvGrpSpPr/>
      </xdr:nvGrpSpPr>
      <xdr:grpSpPr>
        <a:xfrm>
          <a:off x="235744" y="7286625"/>
          <a:ext cx="5145881" cy="2076450"/>
          <a:chOff x="5895975" y="8134350"/>
          <a:chExt cx="3276600" cy="2076450"/>
        </a:xfrm>
      </xdr:grpSpPr>
      <xdr:sp macro="" textlink="">
        <xdr:nvSpPr>
          <xdr:cNvPr id="3" name="Rectangle 2" hidden="1"/>
          <xdr:cNvSpPr/>
        </xdr:nvSpPr>
        <xdr:spPr>
          <a:xfrm>
            <a:off x="5895975" y="8134350"/>
            <a:ext cx="3276600" cy="2076450"/>
          </a:xfrm>
          <a:prstGeom prst="rect">
            <a:avLst/>
          </a:prstGeom>
          <a:solidFill>
            <a:schemeClr val="bg1">
              <a:alpha val="73000"/>
            </a:schemeClr>
          </a:solidFill>
          <a:ln w="9525">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4" name="leg1_title" hidden="1"/>
          <xdr:cNvSpPr txBox="1"/>
        </xdr:nvSpPr>
        <xdr:spPr>
          <a:xfrm>
            <a:off x="6048375" y="8229601"/>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Colour of circle</a:t>
            </a:r>
            <a:r>
              <a:rPr lang="en-GB" sz="1100" baseline="0"/>
              <a:t> represents the quartile</a:t>
            </a:r>
            <a:endParaRPr lang="en-GB" sz="1100"/>
          </a:p>
        </xdr:txBody>
      </xdr:sp>
      <xdr:sp macro="" textlink="">
        <xdr:nvSpPr>
          <xdr:cNvPr id="5" name="leg2_txt_q1" hidden="1"/>
          <xdr:cNvSpPr txBox="1"/>
        </xdr:nvSpPr>
        <xdr:spPr>
          <a:xfrm>
            <a:off x="6502400" y="8572499"/>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52.5 to 56.7</a:t>
            </a:r>
          </a:p>
        </xdr:txBody>
      </xdr:sp>
      <xdr:sp macro="" textlink="">
        <xdr:nvSpPr>
          <xdr:cNvPr id="6" name="leg1_small_circle" hidden="1"/>
          <xdr:cNvSpPr>
            <a:spLocks noChangeAspect="1"/>
          </xdr:cNvSpPr>
        </xdr:nvSpPr>
        <xdr:spPr bwMode="auto">
          <a:xfrm>
            <a:off x="6121400" y="8597900"/>
            <a:ext cx="252000" cy="252000"/>
          </a:xfrm>
          <a:prstGeom prst="ellipse">
            <a:avLst/>
          </a:prstGeom>
          <a:solidFill>
            <a:srgbClr val="FFFF0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7" name="leg1_small_circle" hidden="1"/>
          <xdr:cNvSpPr>
            <a:spLocks noChangeAspect="1"/>
          </xdr:cNvSpPr>
        </xdr:nvSpPr>
        <xdr:spPr bwMode="auto">
          <a:xfrm>
            <a:off x="6121401" y="9741949"/>
            <a:ext cx="252000" cy="252000"/>
          </a:xfrm>
          <a:prstGeom prst="ellipse">
            <a:avLst/>
          </a:prstGeom>
          <a:solidFill>
            <a:srgbClr val="7E000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8" name="leg1_small_circle" hidden="1"/>
          <xdr:cNvSpPr>
            <a:spLocks noChangeAspect="1"/>
          </xdr:cNvSpPr>
        </xdr:nvSpPr>
        <xdr:spPr bwMode="auto">
          <a:xfrm>
            <a:off x="6121400" y="9359900"/>
            <a:ext cx="252000" cy="252000"/>
          </a:xfrm>
          <a:prstGeom prst="ellipse">
            <a:avLst/>
          </a:prstGeom>
          <a:solidFill>
            <a:schemeClr val="accent6">
              <a:lumMod val="75000"/>
            </a:schemeClr>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9" name="leg1_small_circle" hidden="1"/>
          <xdr:cNvSpPr>
            <a:spLocks noChangeAspect="1"/>
          </xdr:cNvSpPr>
        </xdr:nvSpPr>
        <xdr:spPr bwMode="auto">
          <a:xfrm>
            <a:off x="6121400" y="8985250"/>
            <a:ext cx="252000" cy="252000"/>
          </a:xfrm>
          <a:prstGeom prst="ellipse">
            <a:avLst/>
          </a:prstGeom>
          <a:solidFill>
            <a:srgbClr val="FFC00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10" name="leg2_txt_q2" hidden="1"/>
          <xdr:cNvSpPr txBox="1"/>
        </xdr:nvSpPr>
        <xdr:spPr>
          <a:xfrm>
            <a:off x="6502400" y="8953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45.6 to 52.5</a:t>
            </a:r>
          </a:p>
        </xdr:txBody>
      </xdr:sp>
      <xdr:sp macro="" textlink="">
        <xdr:nvSpPr>
          <xdr:cNvPr id="11" name="leg2_txt_q3" hidden="1"/>
          <xdr:cNvSpPr txBox="1"/>
        </xdr:nvSpPr>
        <xdr:spPr>
          <a:xfrm>
            <a:off x="6502400" y="9334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40.0 to 45.6</a:t>
            </a:r>
          </a:p>
        </xdr:txBody>
      </xdr:sp>
      <xdr:sp macro="" textlink="">
        <xdr:nvSpPr>
          <xdr:cNvPr id="12" name="leg2_txt_q4" hidden="1"/>
          <xdr:cNvSpPr txBox="1"/>
        </xdr:nvSpPr>
        <xdr:spPr>
          <a:xfrm>
            <a:off x="6502400" y="97536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31.2 to 40.0</a:t>
            </a:r>
          </a:p>
        </xdr:txBody>
      </xdr:sp>
    </xdr:grpSp>
    <xdr:clientData/>
  </xdr:twoCellAnchor>
  <xdr:twoCellAnchor>
    <xdr:from>
      <xdr:col>1</xdr:col>
      <xdr:colOff>57150</xdr:colOff>
      <xdr:row>31</xdr:row>
      <xdr:rowOff>0</xdr:rowOff>
    </xdr:from>
    <xdr:to>
      <xdr:col>6</xdr:col>
      <xdr:colOff>285750</xdr:colOff>
      <xdr:row>41</xdr:row>
      <xdr:rowOff>171450</xdr:rowOff>
    </xdr:to>
    <xdr:grpSp>
      <xdr:nvGrpSpPr>
        <xdr:cNvPr id="13" name="gLeg3" hidden="1"/>
        <xdr:cNvGrpSpPr/>
      </xdr:nvGrpSpPr>
      <xdr:grpSpPr>
        <a:xfrm>
          <a:off x="235744" y="7286625"/>
          <a:ext cx="5145881" cy="2076450"/>
          <a:chOff x="5895975" y="8134350"/>
          <a:chExt cx="3276600" cy="2076450"/>
        </a:xfrm>
      </xdr:grpSpPr>
      <xdr:sp macro="" textlink="">
        <xdr:nvSpPr>
          <xdr:cNvPr id="14" name="Rectangle 13" hidden="1"/>
          <xdr:cNvSpPr/>
        </xdr:nvSpPr>
        <xdr:spPr>
          <a:xfrm>
            <a:off x="5895975" y="8134350"/>
            <a:ext cx="3276600" cy="2076450"/>
          </a:xfrm>
          <a:prstGeom prst="rect">
            <a:avLst/>
          </a:prstGeom>
          <a:solidFill>
            <a:schemeClr val="bg1">
              <a:alpha val="77000"/>
            </a:schemeClr>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15" name="leg1_title" hidden="1"/>
          <xdr:cNvSpPr txBox="1"/>
        </xdr:nvSpPr>
        <xdr:spPr>
          <a:xfrm>
            <a:off x="6048375" y="8229601"/>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solidFill>
                  <a:schemeClr val="dk1"/>
                </a:solidFill>
                <a:latin typeface="+mn-lt"/>
                <a:ea typeface="+mn-ea"/>
                <a:cs typeface="+mn-cs"/>
              </a:rPr>
              <a:t>Area of circle</a:t>
            </a:r>
            <a:r>
              <a:rPr lang="en-GB" sz="1100" baseline="0">
                <a:solidFill>
                  <a:schemeClr val="dk1"/>
                </a:solidFill>
                <a:latin typeface="+mn-lt"/>
                <a:ea typeface="+mn-ea"/>
                <a:cs typeface="+mn-cs"/>
              </a:rPr>
              <a:t> is proportional to the data value</a:t>
            </a:r>
            <a:endParaRPr lang="en-GB" sz="1100">
              <a:solidFill>
                <a:schemeClr val="dk1"/>
              </a:solidFill>
              <a:latin typeface="+mn-lt"/>
              <a:ea typeface="+mn-ea"/>
              <a:cs typeface="+mn-cs"/>
            </a:endParaRPr>
          </a:p>
        </xdr:txBody>
      </xdr:sp>
      <xdr:sp macro="" textlink="">
        <xdr:nvSpPr>
          <xdr:cNvPr id="16" name="leg3_txt_q1" hidden="1"/>
          <xdr:cNvSpPr txBox="1"/>
        </xdr:nvSpPr>
        <xdr:spPr>
          <a:xfrm>
            <a:off x="6502400" y="8572499"/>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52.5 to 56.7</a:t>
            </a:r>
          </a:p>
        </xdr:txBody>
      </xdr:sp>
      <xdr:sp macro="" textlink="">
        <xdr:nvSpPr>
          <xdr:cNvPr id="17" name="leg1_small_circle" hidden="1"/>
          <xdr:cNvSpPr>
            <a:spLocks noChangeAspect="1"/>
          </xdr:cNvSpPr>
        </xdr:nvSpPr>
        <xdr:spPr bwMode="auto">
          <a:xfrm>
            <a:off x="6121400" y="8597900"/>
            <a:ext cx="252000" cy="252000"/>
          </a:xfrm>
          <a:prstGeom prst="ellipse">
            <a:avLst/>
          </a:prstGeom>
          <a:solidFill>
            <a:srgbClr val="FFFF0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18" name="leg1_small_circle" hidden="1"/>
          <xdr:cNvSpPr>
            <a:spLocks noChangeAspect="1"/>
          </xdr:cNvSpPr>
        </xdr:nvSpPr>
        <xdr:spPr bwMode="auto">
          <a:xfrm>
            <a:off x="6121400" y="9741958"/>
            <a:ext cx="252000" cy="252000"/>
          </a:xfrm>
          <a:prstGeom prst="ellipse">
            <a:avLst/>
          </a:prstGeom>
          <a:solidFill>
            <a:srgbClr val="7E000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19" name="leg1_small_circle" hidden="1"/>
          <xdr:cNvSpPr>
            <a:spLocks noChangeAspect="1"/>
          </xdr:cNvSpPr>
        </xdr:nvSpPr>
        <xdr:spPr bwMode="auto">
          <a:xfrm>
            <a:off x="6121400" y="9359900"/>
            <a:ext cx="252000" cy="252000"/>
          </a:xfrm>
          <a:prstGeom prst="ellipse">
            <a:avLst/>
          </a:prstGeom>
          <a:solidFill>
            <a:srgbClr val="E46C0A"/>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20" name="leg1_small_circle" hidden="1"/>
          <xdr:cNvSpPr>
            <a:spLocks noChangeAspect="1"/>
          </xdr:cNvSpPr>
        </xdr:nvSpPr>
        <xdr:spPr bwMode="auto">
          <a:xfrm>
            <a:off x="6121400" y="8983133"/>
            <a:ext cx="252000" cy="252000"/>
          </a:xfrm>
          <a:prstGeom prst="ellipse">
            <a:avLst/>
          </a:prstGeom>
          <a:solidFill>
            <a:srgbClr val="FFC00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21" name="leg3_txt_q2" hidden="1"/>
          <xdr:cNvSpPr txBox="1"/>
        </xdr:nvSpPr>
        <xdr:spPr>
          <a:xfrm>
            <a:off x="6502400" y="8953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45.6 to 52.5</a:t>
            </a:r>
          </a:p>
        </xdr:txBody>
      </xdr:sp>
      <xdr:sp macro="" textlink="">
        <xdr:nvSpPr>
          <xdr:cNvPr id="22" name="leg3_txt_q3" hidden="1"/>
          <xdr:cNvSpPr txBox="1"/>
        </xdr:nvSpPr>
        <xdr:spPr>
          <a:xfrm>
            <a:off x="6502400" y="9334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40.0 to 45.6</a:t>
            </a:r>
          </a:p>
        </xdr:txBody>
      </xdr:sp>
      <xdr:sp macro="" textlink="">
        <xdr:nvSpPr>
          <xdr:cNvPr id="23" name="leg3_txt_q4" hidden="1"/>
          <xdr:cNvSpPr txBox="1"/>
        </xdr:nvSpPr>
        <xdr:spPr>
          <a:xfrm>
            <a:off x="6502400" y="97536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31.2 to 40.0</a:t>
            </a:r>
          </a:p>
        </xdr:txBody>
      </xdr:sp>
    </xdr:grpSp>
    <xdr:clientData/>
  </xdr:twoCellAnchor>
  <xdr:twoCellAnchor>
    <xdr:from>
      <xdr:col>1</xdr:col>
      <xdr:colOff>57150</xdr:colOff>
      <xdr:row>31</xdr:row>
      <xdr:rowOff>0</xdr:rowOff>
    </xdr:from>
    <xdr:to>
      <xdr:col>6</xdr:col>
      <xdr:colOff>285750</xdr:colOff>
      <xdr:row>41</xdr:row>
      <xdr:rowOff>171450</xdr:rowOff>
    </xdr:to>
    <xdr:grpSp>
      <xdr:nvGrpSpPr>
        <xdr:cNvPr id="24" name="gLeg4" hidden="1"/>
        <xdr:cNvGrpSpPr/>
      </xdr:nvGrpSpPr>
      <xdr:grpSpPr>
        <a:xfrm>
          <a:off x="235744" y="7286625"/>
          <a:ext cx="5145881" cy="2076450"/>
          <a:chOff x="1600200" y="10868025"/>
          <a:chExt cx="3276600" cy="2076450"/>
        </a:xfrm>
      </xdr:grpSpPr>
      <xdr:sp macro="" textlink="">
        <xdr:nvSpPr>
          <xdr:cNvPr id="25" name="Rectangle 24" hidden="1"/>
          <xdr:cNvSpPr/>
        </xdr:nvSpPr>
        <xdr:spPr>
          <a:xfrm>
            <a:off x="1600200" y="10868025"/>
            <a:ext cx="3276600" cy="2076450"/>
          </a:xfrm>
          <a:prstGeom prst="rect">
            <a:avLst/>
          </a:prstGeom>
          <a:solidFill>
            <a:schemeClr val="bg1">
              <a:alpha val="84000"/>
            </a:schemeClr>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26" name="leg1_title" hidden="1"/>
          <xdr:cNvSpPr txBox="1"/>
        </xdr:nvSpPr>
        <xdr:spPr>
          <a:xfrm>
            <a:off x="1752600" y="10963276"/>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Bar</a:t>
            </a:r>
            <a:r>
              <a:rPr lang="en-GB" sz="1100" baseline="0"/>
              <a:t> height represents data value</a:t>
            </a:r>
            <a:endParaRPr lang="en-GB" sz="1100"/>
          </a:p>
        </xdr:txBody>
      </xdr:sp>
      <xdr:sp macro="" textlink="">
        <xdr:nvSpPr>
          <xdr:cNvPr id="27" name="leg4_txt_max" hidden="1"/>
          <xdr:cNvSpPr txBox="1"/>
        </xdr:nvSpPr>
        <xdr:spPr>
          <a:xfrm>
            <a:off x="3638551" y="11429999"/>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56.7</a:t>
            </a:r>
          </a:p>
        </xdr:txBody>
      </xdr:sp>
      <xdr:sp macro="" textlink="">
        <xdr:nvSpPr>
          <xdr:cNvPr id="28" name="leg4_txt_min" hidden="1"/>
          <xdr:cNvSpPr txBox="1"/>
        </xdr:nvSpPr>
        <xdr:spPr>
          <a:xfrm>
            <a:off x="1638300" y="12115800"/>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31.2</a:t>
            </a:r>
          </a:p>
        </xdr:txBody>
      </xdr:sp>
      <xdr:sp macro="" textlink="">
        <xdr:nvSpPr>
          <xdr:cNvPr id="29" name="bar_IST" hidden="1"/>
          <xdr:cNvSpPr/>
        </xdr:nvSpPr>
        <xdr:spPr bwMode="auto">
          <a:xfrm>
            <a:off x="4038600" y="11687175"/>
            <a:ext cx="85725" cy="762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30" name="bar_IST" hidden="1"/>
          <xdr:cNvSpPr/>
        </xdr:nvSpPr>
        <xdr:spPr bwMode="auto">
          <a:xfrm>
            <a:off x="2030583" y="12393246"/>
            <a:ext cx="87923" cy="54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grpSp>
    <xdr:clientData/>
  </xdr:twoCellAnchor>
  <xdr:twoCellAnchor>
    <xdr:from>
      <xdr:col>6</xdr:col>
      <xdr:colOff>604157</xdr:colOff>
      <xdr:row>25</xdr:row>
      <xdr:rowOff>20434</xdr:rowOff>
    </xdr:from>
    <xdr:to>
      <xdr:col>7</xdr:col>
      <xdr:colOff>77560</xdr:colOff>
      <xdr:row>25</xdr:row>
      <xdr:rowOff>126246</xdr:rowOff>
    </xdr:to>
    <xdr:sp macro="" textlink="">
      <xdr:nvSpPr>
        <xdr:cNvPr id="31" name="bar_ACC" hidden="1"/>
        <xdr:cNvSpPr/>
      </xdr:nvSpPr>
      <xdr:spPr bwMode="auto">
        <a:xfrm>
          <a:off x="5766707" y="4697209"/>
          <a:ext cx="83003" cy="10581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511629</xdr:colOff>
      <xdr:row>23</xdr:row>
      <xdr:rowOff>89884</xdr:rowOff>
    </xdr:from>
    <xdr:to>
      <xdr:col>11</xdr:col>
      <xdr:colOff>597354</xdr:colOff>
      <xdr:row>24</xdr:row>
      <xdr:rowOff>60932</xdr:rowOff>
    </xdr:to>
    <xdr:sp macro="" textlink="">
      <xdr:nvSpPr>
        <xdr:cNvPr id="32" name="bar_ADD" hidden="1"/>
        <xdr:cNvSpPr/>
      </xdr:nvSpPr>
      <xdr:spPr bwMode="auto">
        <a:xfrm>
          <a:off x="10589079" y="4385659"/>
          <a:ext cx="85725" cy="16154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288131</xdr:colOff>
      <xdr:row>10</xdr:row>
      <xdr:rowOff>171794</xdr:rowOff>
    </xdr:from>
    <xdr:to>
      <xdr:col>10</xdr:col>
      <xdr:colOff>373856</xdr:colOff>
      <xdr:row>12</xdr:row>
      <xdr:rowOff>50046</xdr:rowOff>
    </xdr:to>
    <xdr:sp macro="" textlink="">
      <xdr:nvSpPr>
        <xdr:cNvPr id="33" name="bar_ALE" hidden="1"/>
        <xdr:cNvSpPr/>
      </xdr:nvSpPr>
      <xdr:spPr bwMode="auto">
        <a:xfrm>
          <a:off x="8822531" y="2562569"/>
          <a:ext cx="85725" cy="2592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250031</xdr:colOff>
      <xdr:row>9</xdr:row>
      <xdr:rowOff>52582</xdr:rowOff>
    </xdr:from>
    <xdr:to>
      <xdr:col>7</xdr:col>
      <xdr:colOff>335756</xdr:colOff>
      <xdr:row>10</xdr:row>
      <xdr:rowOff>39161</xdr:rowOff>
    </xdr:to>
    <xdr:sp macro="" textlink="">
      <xdr:nvSpPr>
        <xdr:cNvPr id="34" name="bar_ALG" hidden="1"/>
        <xdr:cNvSpPr/>
      </xdr:nvSpPr>
      <xdr:spPr bwMode="auto">
        <a:xfrm>
          <a:off x="6022181" y="2252857"/>
          <a:ext cx="85725" cy="177079"/>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402432</xdr:colOff>
      <xdr:row>10</xdr:row>
      <xdr:rowOff>45249</xdr:rowOff>
    </xdr:from>
    <xdr:to>
      <xdr:col>10</xdr:col>
      <xdr:colOff>488157</xdr:colOff>
      <xdr:row>12</xdr:row>
      <xdr:rowOff>177953</xdr:rowOff>
    </xdr:to>
    <xdr:sp macro="" textlink="">
      <xdr:nvSpPr>
        <xdr:cNvPr id="35" name="bar_CAI" hidden="1"/>
        <xdr:cNvSpPr/>
      </xdr:nvSpPr>
      <xdr:spPr bwMode="auto">
        <a:xfrm>
          <a:off x="8936832" y="2436024"/>
          <a:ext cx="85725" cy="5137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9</xdr:col>
      <xdr:colOff>173832</xdr:colOff>
      <xdr:row>39</xdr:row>
      <xdr:rowOff>150110</xdr:rowOff>
    </xdr:from>
    <xdr:to>
      <xdr:col>9</xdr:col>
      <xdr:colOff>259557</xdr:colOff>
      <xdr:row>40</xdr:row>
      <xdr:rowOff>180677</xdr:rowOff>
    </xdr:to>
    <xdr:sp macro="" textlink="">
      <xdr:nvSpPr>
        <xdr:cNvPr id="36" name="bar_CAP" hidden="1"/>
        <xdr:cNvSpPr/>
      </xdr:nvSpPr>
      <xdr:spPr bwMode="auto">
        <a:xfrm>
          <a:off x="8098632" y="7493885"/>
          <a:ext cx="85725" cy="22106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5</xdr:col>
      <xdr:colOff>7482</xdr:colOff>
      <xdr:row>21</xdr:row>
      <xdr:rowOff>49467</xdr:rowOff>
    </xdr:from>
    <xdr:to>
      <xdr:col>5</xdr:col>
      <xdr:colOff>93207</xdr:colOff>
      <xdr:row>21</xdr:row>
      <xdr:rowOff>131689</xdr:rowOff>
    </xdr:to>
    <xdr:sp macro="" textlink="">
      <xdr:nvSpPr>
        <xdr:cNvPr id="37" name="bar_DAK" hidden="1"/>
        <xdr:cNvSpPr/>
      </xdr:nvSpPr>
      <xdr:spPr bwMode="auto">
        <a:xfrm>
          <a:off x="4560432" y="3964242"/>
          <a:ext cx="85725" cy="8222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445634</xdr:colOff>
      <xdr:row>28</xdr:row>
      <xdr:rowOff>179544</xdr:rowOff>
    </xdr:from>
    <xdr:to>
      <xdr:col>11</xdr:col>
      <xdr:colOff>531359</xdr:colOff>
      <xdr:row>30</xdr:row>
      <xdr:rowOff>66376</xdr:rowOff>
    </xdr:to>
    <xdr:sp macro="" textlink="">
      <xdr:nvSpPr>
        <xdr:cNvPr id="38" name="bar_DAR" hidden="1"/>
        <xdr:cNvSpPr/>
      </xdr:nvSpPr>
      <xdr:spPr bwMode="auto">
        <a:xfrm>
          <a:off x="10523084" y="5427819"/>
          <a:ext cx="85725" cy="26783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108176</xdr:colOff>
      <xdr:row>25</xdr:row>
      <xdr:rowOff>84911</xdr:rowOff>
    </xdr:from>
    <xdr:to>
      <xdr:col>8</xdr:col>
      <xdr:colOff>197304</xdr:colOff>
      <xdr:row>26</xdr:row>
      <xdr:rowOff>41883</xdr:rowOff>
    </xdr:to>
    <xdr:sp macro="" textlink="">
      <xdr:nvSpPr>
        <xdr:cNvPr id="39" name="bar_DOU" hidden="1"/>
        <xdr:cNvSpPr/>
      </xdr:nvSpPr>
      <xdr:spPr bwMode="auto">
        <a:xfrm>
          <a:off x="7423376" y="4761686"/>
          <a:ext cx="89128" cy="14747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345622</xdr:colOff>
      <xdr:row>38</xdr:row>
      <xdr:rowOff>135602</xdr:rowOff>
    </xdr:from>
    <xdr:to>
      <xdr:col>10</xdr:col>
      <xdr:colOff>431347</xdr:colOff>
      <xdr:row>39</xdr:row>
      <xdr:rowOff>139854</xdr:rowOff>
    </xdr:to>
    <xdr:sp macro="" textlink="">
      <xdr:nvSpPr>
        <xdr:cNvPr id="40" name="bar_DUR" hidden="1"/>
        <xdr:cNvSpPr/>
      </xdr:nvSpPr>
      <xdr:spPr bwMode="auto">
        <a:xfrm>
          <a:off x="8880022" y="7288877"/>
          <a:ext cx="85725" cy="1947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429986</xdr:colOff>
      <xdr:row>40</xdr:row>
      <xdr:rowOff>105594</xdr:rowOff>
    </xdr:from>
    <xdr:to>
      <xdr:col>10</xdr:col>
      <xdr:colOff>515711</xdr:colOff>
      <xdr:row>41</xdr:row>
      <xdr:rowOff>33718</xdr:rowOff>
    </xdr:to>
    <xdr:sp macro="" textlink="">
      <xdr:nvSpPr>
        <xdr:cNvPr id="41" name="bar_HRE" hidden="1"/>
        <xdr:cNvSpPr/>
      </xdr:nvSpPr>
      <xdr:spPr bwMode="auto">
        <a:xfrm>
          <a:off x="8964386" y="6496869"/>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405493</xdr:colOff>
      <xdr:row>23</xdr:row>
      <xdr:rowOff>124793</xdr:rowOff>
    </xdr:from>
    <xdr:to>
      <xdr:col>7</xdr:col>
      <xdr:colOff>491218</xdr:colOff>
      <xdr:row>24</xdr:row>
      <xdr:rowOff>118081</xdr:rowOff>
    </xdr:to>
    <xdr:sp macro="" textlink="">
      <xdr:nvSpPr>
        <xdr:cNvPr id="42" name="bar_IBN" hidden="1"/>
        <xdr:cNvSpPr/>
      </xdr:nvSpPr>
      <xdr:spPr bwMode="auto">
        <a:xfrm>
          <a:off x="6177643" y="4420568"/>
          <a:ext cx="85725" cy="18378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190501</xdr:colOff>
      <xdr:row>35</xdr:row>
      <xdr:rowOff>140520</xdr:rowOff>
    </xdr:from>
    <xdr:to>
      <xdr:col>10</xdr:col>
      <xdr:colOff>276226</xdr:colOff>
      <xdr:row>38</xdr:row>
      <xdr:rowOff>66374</xdr:rowOff>
    </xdr:to>
    <xdr:sp macro="" textlink="">
      <xdr:nvSpPr>
        <xdr:cNvPr id="43" name="bar_JOH" hidden="1"/>
        <xdr:cNvSpPr/>
      </xdr:nvSpPr>
      <xdr:spPr bwMode="auto">
        <a:xfrm>
          <a:off x="8724901" y="6722295"/>
          <a:ext cx="85725" cy="49735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2723</xdr:colOff>
      <xdr:row>26</xdr:row>
      <xdr:rowOff>189823</xdr:rowOff>
    </xdr:from>
    <xdr:to>
      <xdr:col>11</xdr:col>
      <xdr:colOff>88448</xdr:colOff>
      <xdr:row>27</xdr:row>
      <xdr:rowOff>82703</xdr:rowOff>
    </xdr:to>
    <xdr:sp macro="" textlink="">
      <xdr:nvSpPr>
        <xdr:cNvPr id="44" name="bar_KAM" hidden="1"/>
        <xdr:cNvSpPr/>
      </xdr:nvSpPr>
      <xdr:spPr bwMode="auto">
        <a:xfrm>
          <a:off x="10080173" y="5057098"/>
          <a:ext cx="85725" cy="8338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522514</xdr:colOff>
      <xdr:row>21</xdr:row>
      <xdr:rowOff>6225</xdr:rowOff>
    </xdr:from>
    <xdr:to>
      <xdr:col>10</xdr:col>
      <xdr:colOff>608239</xdr:colOff>
      <xdr:row>21</xdr:row>
      <xdr:rowOff>44605</xdr:rowOff>
    </xdr:to>
    <xdr:sp macro="" textlink="">
      <xdr:nvSpPr>
        <xdr:cNvPr id="45" name="bar_KHA" hidden="1"/>
        <xdr:cNvSpPr/>
      </xdr:nvSpPr>
      <xdr:spPr bwMode="auto">
        <a:xfrm>
          <a:off x="9056914" y="3921000"/>
          <a:ext cx="85725" cy="3838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470808</xdr:colOff>
      <xdr:row>25</xdr:row>
      <xdr:rowOff>183396</xdr:rowOff>
    </xdr:from>
    <xdr:to>
      <xdr:col>8</xdr:col>
      <xdr:colOff>556533</xdr:colOff>
      <xdr:row>29</xdr:row>
      <xdr:rowOff>183396</xdr:rowOff>
    </xdr:to>
    <xdr:sp macro="" textlink="">
      <xdr:nvSpPr>
        <xdr:cNvPr id="46" name="bar_KSH" hidden="1"/>
        <xdr:cNvSpPr/>
      </xdr:nvSpPr>
      <xdr:spPr bwMode="auto">
        <a:xfrm>
          <a:off x="7786008" y="4860171"/>
          <a:ext cx="85725" cy="762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6</xdr:col>
      <xdr:colOff>527958</xdr:colOff>
      <xdr:row>24</xdr:row>
      <xdr:rowOff>48807</xdr:rowOff>
    </xdr:from>
    <xdr:to>
      <xdr:col>7</xdr:col>
      <xdr:colOff>1361</xdr:colOff>
      <xdr:row>24</xdr:row>
      <xdr:rowOff>172511</xdr:rowOff>
    </xdr:to>
    <xdr:sp macro="" textlink="">
      <xdr:nvSpPr>
        <xdr:cNvPr id="47" name="bar_KUM" hidden="1"/>
        <xdr:cNvSpPr/>
      </xdr:nvSpPr>
      <xdr:spPr bwMode="auto">
        <a:xfrm>
          <a:off x="5690508" y="4535082"/>
          <a:ext cx="83003" cy="1237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410937</xdr:colOff>
      <xdr:row>30</xdr:row>
      <xdr:rowOff>95551</xdr:rowOff>
    </xdr:from>
    <xdr:to>
      <xdr:col>8</xdr:col>
      <xdr:colOff>496662</xdr:colOff>
      <xdr:row>31</xdr:row>
      <xdr:rowOff>109917</xdr:rowOff>
    </xdr:to>
    <xdr:sp macro="" textlink="">
      <xdr:nvSpPr>
        <xdr:cNvPr id="48" name="bar_LUA" hidden="1"/>
        <xdr:cNvSpPr/>
      </xdr:nvSpPr>
      <xdr:spPr bwMode="auto">
        <a:xfrm>
          <a:off x="7726137" y="5724826"/>
          <a:ext cx="85725" cy="204866"/>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209551</xdr:colOff>
      <xdr:row>38</xdr:row>
      <xdr:rowOff>55564</xdr:rowOff>
    </xdr:from>
    <xdr:to>
      <xdr:col>10</xdr:col>
      <xdr:colOff>295276</xdr:colOff>
      <xdr:row>38</xdr:row>
      <xdr:rowOff>167068</xdr:rowOff>
    </xdr:to>
    <xdr:sp macro="" textlink="">
      <xdr:nvSpPr>
        <xdr:cNvPr id="49" name="bar_LUS" hidden="1"/>
        <xdr:cNvSpPr/>
      </xdr:nvSpPr>
      <xdr:spPr bwMode="auto">
        <a:xfrm>
          <a:off x="8743951" y="6256339"/>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593272</xdr:colOff>
      <xdr:row>37</xdr:row>
      <xdr:rowOff>12960</xdr:rowOff>
    </xdr:from>
    <xdr:to>
      <xdr:col>11</xdr:col>
      <xdr:colOff>66676</xdr:colOff>
      <xdr:row>37</xdr:row>
      <xdr:rowOff>74541</xdr:rowOff>
    </xdr:to>
    <xdr:sp macro="" textlink="">
      <xdr:nvSpPr>
        <xdr:cNvPr id="50" name="bar_MAP" hidden="1"/>
        <xdr:cNvSpPr/>
      </xdr:nvSpPr>
      <xdr:spPr bwMode="auto">
        <a:xfrm>
          <a:off x="9127672" y="6975735"/>
          <a:ext cx="1016454" cy="6158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555172</xdr:colOff>
      <xdr:row>28</xdr:row>
      <xdr:rowOff>152860</xdr:rowOff>
    </xdr:from>
    <xdr:to>
      <xdr:col>12</xdr:col>
      <xdr:colOff>28575</xdr:colOff>
      <xdr:row>29</xdr:row>
      <xdr:rowOff>22833</xdr:rowOff>
    </xdr:to>
    <xdr:sp macro="" textlink="">
      <xdr:nvSpPr>
        <xdr:cNvPr id="51" name="bar_MOM" hidden="1"/>
        <xdr:cNvSpPr/>
      </xdr:nvSpPr>
      <xdr:spPr bwMode="auto">
        <a:xfrm>
          <a:off x="10632622" y="5401135"/>
          <a:ext cx="83003" cy="60473"/>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340179</xdr:colOff>
      <xdr:row>26</xdr:row>
      <xdr:rowOff>136943</xdr:rowOff>
    </xdr:from>
    <xdr:to>
      <xdr:col>11</xdr:col>
      <xdr:colOff>425904</xdr:colOff>
      <xdr:row>27</xdr:row>
      <xdr:rowOff>148018</xdr:rowOff>
    </xdr:to>
    <xdr:sp macro="" textlink="">
      <xdr:nvSpPr>
        <xdr:cNvPr id="52" name="bar_NAI" hidden="1"/>
        <xdr:cNvSpPr/>
      </xdr:nvSpPr>
      <xdr:spPr bwMode="auto">
        <a:xfrm>
          <a:off x="10417629" y="5004218"/>
          <a:ext cx="85725" cy="201575"/>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506185</xdr:colOff>
      <xdr:row>25</xdr:row>
      <xdr:rowOff>27357</xdr:rowOff>
    </xdr:from>
    <xdr:to>
      <xdr:col>7</xdr:col>
      <xdr:colOff>591910</xdr:colOff>
      <xdr:row>25</xdr:row>
      <xdr:rowOff>109918</xdr:rowOff>
    </xdr:to>
    <xdr:sp macro="" textlink="">
      <xdr:nvSpPr>
        <xdr:cNvPr id="53" name="bar_PHT" hidden="1"/>
        <xdr:cNvSpPr/>
      </xdr:nvSpPr>
      <xdr:spPr bwMode="auto">
        <a:xfrm>
          <a:off x="6278335" y="4704132"/>
          <a:ext cx="85725" cy="8256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413658</xdr:colOff>
      <xdr:row>11</xdr:row>
      <xdr:rowOff>64803</xdr:rowOff>
    </xdr:from>
    <xdr:to>
      <xdr:col>8</xdr:col>
      <xdr:colOff>499383</xdr:colOff>
      <xdr:row>11</xdr:row>
      <xdr:rowOff>126246</xdr:rowOff>
    </xdr:to>
    <xdr:sp macro="" textlink="">
      <xdr:nvSpPr>
        <xdr:cNvPr id="54" name="bar_TRI" hidden="1"/>
        <xdr:cNvSpPr/>
      </xdr:nvSpPr>
      <xdr:spPr bwMode="auto">
        <a:xfrm>
          <a:off x="7728858" y="2646078"/>
          <a:ext cx="85725" cy="61443"/>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144237</xdr:colOff>
      <xdr:row>9</xdr:row>
      <xdr:rowOff>85448</xdr:rowOff>
    </xdr:from>
    <xdr:to>
      <xdr:col>8</xdr:col>
      <xdr:colOff>229962</xdr:colOff>
      <xdr:row>9</xdr:row>
      <xdr:rowOff>142575</xdr:rowOff>
    </xdr:to>
    <xdr:sp macro="" textlink="">
      <xdr:nvSpPr>
        <xdr:cNvPr id="55" name="bar_TUN" hidden="1"/>
        <xdr:cNvSpPr/>
      </xdr:nvSpPr>
      <xdr:spPr bwMode="auto">
        <a:xfrm>
          <a:off x="7459437" y="2285723"/>
          <a:ext cx="85725" cy="5712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70758</xdr:colOff>
      <xdr:row>24</xdr:row>
      <xdr:rowOff>63013</xdr:rowOff>
    </xdr:from>
    <xdr:to>
      <xdr:col>8</xdr:col>
      <xdr:colOff>156483</xdr:colOff>
      <xdr:row>24</xdr:row>
      <xdr:rowOff>150740</xdr:rowOff>
    </xdr:to>
    <xdr:sp macro="" textlink="">
      <xdr:nvSpPr>
        <xdr:cNvPr id="56" name="bar_ABU" hidden="1"/>
        <xdr:cNvSpPr/>
      </xdr:nvSpPr>
      <xdr:spPr bwMode="auto">
        <a:xfrm>
          <a:off x="7385958" y="4549288"/>
          <a:ext cx="85725" cy="8772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6</xdr:col>
      <xdr:colOff>236764</xdr:colOff>
      <xdr:row>24</xdr:row>
      <xdr:rowOff>42640</xdr:rowOff>
    </xdr:from>
    <xdr:to>
      <xdr:col>6</xdr:col>
      <xdr:colOff>322489</xdr:colOff>
      <xdr:row>25</xdr:row>
      <xdr:rowOff>107197</xdr:rowOff>
    </xdr:to>
    <xdr:sp macro="" textlink="">
      <xdr:nvSpPr>
        <xdr:cNvPr id="57" name="bar_ABI" hidden="1"/>
        <xdr:cNvSpPr/>
      </xdr:nvSpPr>
      <xdr:spPr bwMode="auto">
        <a:xfrm>
          <a:off x="5399314" y="4528915"/>
          <a:ext cx="85725" cy="25505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0</xdr:col>
      <xdr:colOff>228600</xdr:colOff>
      <xdr:row>6</xdr:row>
      <xdr:rowOff>38100</xdr:rowOff>
    </xdr:from>
    <xdr:to>
      <xdr:col>20</xdr:col>
      <xdr:colOff>38099</xdr:colOff>
      <xdr:row>43</xdr:row>
      <xdr:rowOff>38100</xdr:rowOff>
    </xdr:to>
    <xdr:sp macro="" textlink="">
      <xdr:nvSpPr>
        <xdr:cNvPr id="58" name="txt_CatSelected" hidden="1"/>
        <xdr:cNvSpPr txBox="1"/>
      </xdr:nvSpPr>
      <xdr:spPr>
        <a:xfrm>
          <a:off x="228600" y="1571625"/>
          <a:ext cx="12896849" cy="6572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endParaRPr lang="en-GB" sz="1800"/>
        </a:p>
        <a:p>
          <a:pPr algn="ctr"/>
          <a:r>
            <a:rPr lang="en-GB" sz="1800">
              <a:solidFill>
                <a:schemeClr val="bg1">
                  <a:lumMod val="50000"/>
                </a:schemeClr>
              </a:solidFill>
            </a:rPr>
            <a:t>CATEGORY</a:t>
          </a:r>
          <a:r>
            <a:rPr lang="en-GB" sz="1800" baseline="0">
              <a:solidFill>
                <a:schemeClr val="bg1">
                  <a:lumMod val="50000"/>
                </a:schemeClr>
              </a:solidFill>
            </a:rPr>
            <a:t> HEADING SELECTED</a:t>
          </a:r>
        </a:p>
        <a:p>
          <a:pPr algn="ctr"/>
          <a:endParaRPr lang="en-GB" sz="1800" baseline="0"/>
        </a:p>
        <a:p>
          <a:pPr algn="ctr"/>
          <a:r>
            <a:rPr lang="en-GB" sz="1800" baseline="0">
              <a:solidFill>
                <a:schemeClr val="bg1">
                  <a:lumMod val="50000"/>
                </a:schemeClr>
              </a:solidFill>
            </a:rPr>
            <a:t>Select an indicator from the dropdown above to view data</a:t>
          </a:r>
        </a:p>
        <a:p>
          <a:pPr algn="ctr"/>
          <a:endParaRPr lang="en-GB" sz="1100"/>
        </a:p>
      </xdr:txBody>
    </xdr:sp>
    <xdr:clientData/>
  </xdr:twoCellAnchor>
  <xdr:twoCellAnchor>
    <xdr:from>
      <xdr:col>4</xdr:col>
      <xdr:colOff>194732</xdr:colOff>
      <xdr:row>15</xdr:row>
      <xdr:rowOff>53975</xdr:rowOff>
    </xdr:from>
    <xdr:to>
      <xdr:col>19</xdr:col>
      <xdr:colOff>334511</xdr:colOff>
      <xdr:row>38</xdr:row>
      <xdr:rowOff>30691</xdr:rowOff>
    </xdr:to>
    <xdr:grpSp>
      <xdr:nvGrpSpPr>
        <xdr:cNvPr id="59" name="grpCityLabels2" hidden="1"/>
        <xdr:cNvGrpSpPr/>
      </xdr:nvGrpSpPr>
      <xdr:grpSpPr>
        <a:xfrm>
          <a:off x="3135576" y="4292600"/>
          <a:ext cx="9855279" cy="4358216"/>
          <a:chOff x="16500616" y="3187700"/>
          <a:chExt cx="9179920" cy="3786716"/>
        </a:xfrm>
      </xdr:grpSpPr>
      <xdr:sp macro="" textlink="">
        <xdr:nvSpPr>
          <xdr:cNvPr id="60" name="lbl_city_BEJ" hidden="1"/>
          <xdr:cNvSpPr txBox="1"/>
        </xdr:nvSpPr>
        <xdr:spPr>
          <a:xfrm>
            <a:off x="23298430" y="378777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Beijing</a:t>
            </a:r>
          </a:p>
        </xdr:txBody>
      </xdr:sp>
      <xdr:sp macro="" textlink="">
        <xdr:nvSpPr>
          <xdr:cNvPr id="61" name="lbl_city_BOG" hidden="1"/>
          <xdr:cNvSpPr txBox="1"/>
        </xdr:nvSpPr>
        <xdr:spPr>
          <a:xfrm>
            <a:off x="18555053" y="5162550"/>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Bogota</a:t>
            </a:r>
          </a:p>
        </xdr:txBody>
      </xdr:sp>
      <xdr:sp macro="" textlink="">
        <xdr:nvSpPr>
          <xdr:cNvPr id="62" name="lbl_city_BAS" hidden="1"/>
          <xdr:cNvSpPr txBox="1"/>
        </xdr:nvSpPr>
        <xdr:spPr>
          <a:xfrm>
            <a:off x="18889343" y="6815666"/>
            <a:ext cx="933450" cy="158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Buenos Aires</a:t>
            </a:r>
          </a:p>
        </xdr:txBody>
      </xdr:sp>
      <xdr:sp macro="" textlink="">
        <xdr:nvSpPr>
          <xdr:cNvPr id="63" name="lbl_city_CAS" hidden="1"/>
          <xdr:cNvSpPr txBox="1"/>
        </xdr:nvSpPr>
        <xdr:spPr>
          <a:xfrm>
            <a:off x="19521519" y="4339167"/>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Casablanca</a:t>
            </a:r>
          </a:p>
        </xdr:txBody>
      </xdr:sp>
      <xdr:sp macro="" textlink="">
        <xdr:nvSpPr>
          <xdr:cNvPr id="64" name="lbl_city_CHI" hidden="1"/>
          <xdr:cNvSpPr txBox="1"/>
        </xdr:nvSpPr>
        <xdr:spPr>
          <a:xfrm>
            <a:off x="17375221" y="380047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Chicago</a:t>
            </a:r>
          </a:p>
        </xdr:txBody>
      </xdr:sp>
      <xdr:sp macro="" textlink="">
        <xdr:nvSpPr>
          <xdr:cNvPr id="65" name="lbl_city_DEH" hidden="1"/>
          <xdr:cNvSpPr txBox="1"/>
        </xdr:nvSpPr>
        <xdr:spPr>
          <a:xfrm>
            <a:off x="22473707" y="4212166"/>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Delhi</a:t>
            </a:r>
          </a:p>
        </xdr:txBody>
      </xdr:sp>
      <xdr:sp macro="" textlink="">
        <xdr:nvSpPr>
          <xdr:cNvPr id="66" name="lbl_city_DUB" hidden="1"/>
          <xdr:cNvSpPr txBox="1"/>
        </xdr:nvSpPr>
        <xdr:spPr>
          <a:xfrm>
            <a:off x="21641080" y="4596342"/>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Dubai</a:t>
            </a:r>
          </a:p>
        </xdr:txBody>
      </xdr:sp>
      <xdr:sp macro="" textlink="">
        <xdr:nvSpPr>
          <xdr:cNvPr id="67" name="lbl_city_HKG" hidden="1"/>
          <xdr:cNvSpPr txBox="1"/>
        </xdr:nvSpPr>
        <xdr:spPr>
          <a:xfrm>
            <a:off x="23259697" y="4323293"/>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Hong Kong</a:t>
            </a:r>
          </a:p>
        </xdr:txBody>
      </xdr:sp>
      <xdr:sp macro="" textlink="">
        <xdr:nvSpPr>
          <xdr:cNvPr id="68" name="lbl_city_ITL" hidden="1"/>
          <xdr:cNvSpPr txBox="1"/>
        </xdr:nvSpPr>
        <xdr:spPr>
          <a:xfrm>
            <a:off x="21501243" y="3729567"/>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Istanbul</a:t>
            </a:r>
          </a:p>
        </xdr:txBody>
      </xdr:sp>
      <xdr:sp macro="" textlink="">
        <xdr:nvSpPr>
          <xdr:cNvPr id="69" name="lbl_city_JAK" hidden="1"/>
          <xdr:cNvSpPr txBox="1"/>
        </xdr:nvSpPr>
        <xdr:spPr>
          <a:xfrm>
            <a:off x="23587291" y="5821891"/>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Jakarta</a:t>
            </a:r>
          </a:p>
        </xdr:txBody>
      </xdr:sp>
      <xdr:sp macro="" textlink="">
        <xdr:nvSpPr>
          <xdr:cNvPr id="70" name="lbl_city_JBG" hidden="1"/>
          <xdr:cNvSpPr txBox="1"/>
        </xdr:nvSpPr>
        <xdr:spPr>
          <a:xfrm>
            <a:off x="21567710" y="6131984"/>
            <a:ext cx="819150" cy="158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Johannesburg</a:t>
            </a:r>
          </a:p>
        </xdr:txBody>
      </xdr:sp>
      <xdr:sp macro="" textlink="">
        <xdr:nvSpPr>
          <xdr:cNvPr id="71" name="lbl_city_KLP" hidden="1"/>
          <xdr:cNvSpPr txBox="1"/>
        </xdr:nvSpPr>
        <xdr:spPr>
          <a:xfrm>
            <a:off x="22774275" y="5276850"/>
            <a:ext cx="83820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Kuala Lumpur</a:t>
            </a:r>
          </a:p>
        </xdr:txBody>
      </xdr:sp>
      <xdr:sp macro="" textlink="">
        <xdr:nvSpPr>
          <xdr:cNvPr id="72" name="lbl_city_LAG" hidden="1"/>
          <xdr:cNvSpPr txBox="1"/>
        </xdr:nvSpPr>
        <xdr:spPr>
          <a:xfrm>
            <a:off x="20114189" y="5144559"/>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Lagos</a:t>
            </a:r>
          </a:p>
        </xdr:txBody>
      </xdr:sp>
      <xdr:sp macro="" textlink="">
        <xdr:nvSpPr>
          <xdr:cNvPr id="73" name="lbl_city_LIM" hidden="1"/>
          <xdr:cNvSpPr txBox="1"/>
        </xdr:nvSpPr>
        <xdr:spPr>
          <a:xfrm>
            <a:off x="17740770" y="5736167"/>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Lima</a:t>
            </a:r>
          </a:p>
        </xdr:txBody>
      </xdr:sp>
      <xdr:sp macro="" textlink="">
        <xdr:nvSpPr>
          <xdr:cNvPr id="74" name="lbl_city_LON" hidden="1"/>
          <xdr:cNvSpPr txBox="1"/>
        </xdr:nvSpPr>
        <xdr:spPr>
          <a:xfrm>
            <a:off x="19916421" y="333057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London</a:t>
            </a:r>
          </a:p>
        </xdr:txBody>
      </xdr:sp>
      <xdr:sp macro="" textlink="">
        <xdr:nvSpPr>
          <xdr:cNvPr id="75" name="lbl_city_LAX" hidden="1"/>
          <xdr:cNvSpPr txBox="1"/>
        </xdr:nvSpPr>
        <xdr:spPr>
          <a:xfrm>
            <a:off x="16500616" y="4256617"/>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Los Angeles</a:t>
            </a:r>
          </a:p>
        </xdr:txBody>
      </xdr:sp>
      <xdr:sp macro="" textlink="">
        <xdr:nvSpPr>
          <xdr:cNvPr id="76" name="lbl_city_MAD" hidden="1"/>
          <xdr:cNvSpPr txBox="1"/>
        </xdr:nvSpPr>
        <xdr:spPr>
          <a:xfrm>
            <a:off x="19802475" y="3886200"/>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Madrid</a:t>
            </a:r>
          </a:p>
        </xdr:txBody>
      </xdr:sp>
      <xdr:sp macro="" textlink="">
        <xdr:nvSpPr>
          <xdr:cNvPr id="77" name="lbl_city_MAN" hidden="1"/>
          <xdr:cNvSpPr txBox="1"/>
        </xdr:nvSpPr>
        <xdr:spPr>
          <a:xfrm>
            <a:off x="24295310" y="4954061"/>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Manila</a:t>
            </a:r>
          </a:p>
        </xdr:txBody>
      </xdr:sp>
      <xdr:sp macro="" textlink="">
        <xdr:nvSpPr>
          <xdr:cNvPr id="78" name="lbl_city_MEX" hidden="1"/>
          <xdr:cNvSpPr txBox="1"/>
        </xdr:nvSpPr>
        <xdr:spPr>
          <a:xfrm>
            <a:off x="16878300" y="4827058"/>
            <a:ext cx="686936"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Mexico City</a:t>
            </a:r>
          </a:p>
        </xdr:txBody>
      </xdr:sp>
      <xdr:sp macro="" textlink="">
        <xdr:nvSpPr>
          <xdr:cNvPr id="79" name="lbl_city_MIA" hidden="1"/>
          <xdr:cNvSpPr txBox="1"/>
        </xdr:nvSpPr>
        <xdr:spPr>
          <a:xfrm>
            <a:off x="18168760" y="4611158"/>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Miami</a:t>
            </a:r>
          </a:p>
        </xdr:txBody>
      </xdr:sp>
      <xdr:sp macro="" textlink="">
        <xdr:nvSpPr>
          <xdr:cNvPr id="80" name="lbl_city_MOS" hidden="1"/>
          <xdr:cNvSpPr txBox="1"/>
        </xdr:nvSpPr>
        <xdr:spPr>
          <a:xfrm>
            <a:off x="21742965" y="3187700"/>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Moscow</a:t>
            </a:r>
          </a:p>
        </xdr:txBody>
      </xdr:sp>
      <xdr:sp macro="" textlink="">
        <xdr:nvSpPr>
          <xdr:cNvPr id="81" name="lbl_city_MUM" hidden="1"/>
          <xdr:cNvSpPr txBox="1"/>
        </xdr:nvSpPr>
        <xdr:spPr>
          <a:xfrm>
            <a:off x="22212300" y="500062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Mumbai</a:t>
            </a:r>
          </a:p>
        </xdr:txBody>
      </xdr:sp>
      <xdr:sp macro="" textlink="">
        <xdr:nvSpPr>
          <xdr:cNvPr id="82" name="lbl_city_NYC" hidden="1"/>
          <xdr:cNvSpPr txBox="1"/>
        </xdr:nvSpPr>
        <xdr:spPr>
          <a:xfrm>
            <a:off x="18705479" y="3804708"/>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New York</a:t>
            </a:r>
          </a:p>
        </xdr:txBody>
      </xdr:sp>
      <xdr:sp macro="" textlink="">
        <xdr:nvSpPr>
          <xdr:cNvPr id="83" name="lbl_city_PAC" hidden="1"/>
          <xdr:cNvSpPr txBox="1"/>
        </xdr:nvSpPr>
        <xdr:spPr>
          <a:xfrm>
            <a:off x="17413528" y="5161492"/>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Panama City</a:t>
            </a:r>
          </a:p>
        </xdr:txBody>
      </xdr:sp>
      <xdr:sp macro="" textlink="">
        <xdr:nvSpPr>
          <xdr:cNvPr id="84" name="lbl_city_SPO" hidden="1"/>
          <xdr:cNvSpPr txBox="1"/>
        </xdr:nvSpPr>
        <xdr:spPr>
          <a:xfrm>
            <a:off x="19370960" y="6085416"/>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Sao</a:t>
            </a:r>
            <a:r>
              <a:rPr lang="en-GB" sz="1000" b="1" baseline="0">
                <a:solidFill>
                  <a:srgbClr val="3B6E8F"/>
                </a:solidFill>
              </a:rPr>
              <a:t> Paulo</a:t>
            </a:r>
            <a:endParaRPr lang="en-GB" sz="1000" b="1">
              <a:solidFill>
                <a:srgbClr val="3B6E8F"/>
              </a:solidFill>
            </a:endParaRPr>
          </a:p>
        </xdr:txBody>
      </xdr:sp>
      <xdr:sp macro="" textlink="">
        <xdr:nvSpPr>
          <xdr:cNvPr id="85" name="lbl_city_SEO" hidden="1"/>
          <xdr:cNvSpPr txBox="1"/>
        </xdr:nvSpPr>
        <xdr:spPr>
          <a:xfrm>
            <a:off x="24312739" y="3951816"/>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Seoul</a:t>
            </a:r>
          </a:p>
        </xdr:txBody>
      </xdr:sp>
      <xdr:sp macro="" textlink="">
        <xdr:nvSpPr>
          <xdr:cNvPr id="86" name="lbl_city_SHI" hidden="1"/>
          <xdr:cNvSpPr txBox="1"/>
        </xdr:nvSpPr>
        <xdr:spPr>
          <a:xfrm>
            <a:off x="24256930" y="4340226"/>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Shanghai</a:t>
            </a:r>
          </a:p>
        </xdr:txBody>
      </xdr:sp>
      <xdr:sp macro="" textlink="">
        <xdr:nvSpPr>
          <xdr:cNvPr id="87" name="lbl_city_SIG" hidden="1"/>
          <xdr:cNvSpPr txBox="1"/>
        </xdr:nvSpPr>
        <xdr:spPr>
          <a:xfrm>
            <a:off x="23934704" y="5290608"/>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Singapore</a:t>
            </a:r>
          </a:p>
        </xdr:txBody>
      </xdr:sp>
      <xdr:sp macro="" textlink="">
        <xdr:nvSpPr>
          <xdr:cNvPr id="88" name="lbl_city_SYD" hidden="1"/>
          <xdr:cNvSpPr txBox="1"/>
        </xdr:nvSpPr>
        <xdr:spPr>
          <a:xfrm>
            <a:off x="24993600" y="679132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Sydney</a:t>
            </a:r>
          </a:p>
        </xdr:txBody>
      </xdr:sp>
      <xdr:sp macro="" textlink="">
        <xdr:nvSpPr>
          <xdr:cNvPr id="89" name="lbl_city_TPI" hidden="1"/>
          <xdr:cNvSpPr txBox="1"/>
        </xdr:nvSpPr>
        <xdr:spPr>
          <a:xfrm>
            <a:off x="24221087" y="4659842"/>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Taipei</a:t>
            </a:r>
          </a:p>
        </xdr:txBody>
      </xdr:sp>
      <xdr:sp macro="" textlink="">
        <xdr:nvSpPr>
          <xdr:cNvPr id="90" name="lbl_city_TEL" hidden="1"/>
          <xdr:cNvSpPr txBox="1"/>
        </xdr:nvSpPr>
        <xdr:spPr>
          <a:xfrm>
            <a:off x="21038750" y="4525433"/>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Tel Aviv</a:t>
            </a:r>
          </a:p>
        </xdr:txBody>
      </xdr:sp>
      <xdr:sp macro="" textlink="">
        <xdr:nvSpPr>
          <xdr:cNvPr id="91" name="lbl_city_TRO" hidden="1"/>
          <xdr:cNvSpPr txBox="1"/>
        </xdr:nvSpPr>
        <xdr:spPr>
          <a:xfrm>
            <a:off x="18193737" y="3509433"/>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Toronto</a:t>
            </a:r>
          </a:p>
        </xdr:txBody>
      </xdr:sp>
      <xdr:sp macro="" textlink="">
        <xdr:nvSpPr>
          <xdr:cNvPr id="92" name="lbl_city_WSW" hidden="1"/>
          <xdr:cNvSpPr txBox="1"/>
        </xdr:nvSpPr>
        <xdr:spPr>
          <a:xfrm>
            <a:off x="20698105" y="3695700"/>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Warsaw</a:t>
            </a:r>
          </a:p>
        </xdr:txBody>
      </xdr:sp>
      <xdr:sp macro="" textlink="">
        <xdr:nvSpPr>
          <xdr:cNvPr id="93" name="lbl_city_WDC" hidden="1"/>
          <xdr:cNvSpPr txBox="1"/>
        </xdr:nvSpPr>
        <xdr:spPr>
          <a:xfrm>
            <a:off x="18489999" y="4186767"/>
            <a:ext cx="885825"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Washington DC</a:t>
            </a:r>
          </a:p>
        </xdr:txBody>
      </xdr:sp>
      <xdr:sp macro="" textlink="">
        <xdr:nvSpPr>
          <xdr:cNvPr id="94" name="lbl_city_BNK" hidden="1"/>
          <xdr:cNvSpPr txBox="1"/>
        </xdr:nvSpPr>
        <xdr:spPr>
          <a:xfrm>
            <a:off x="22939443" y="505777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Bangkok</a:t>
            </a:r>
          </a:p>
        </xdr:txBody>
      </xdr:sp>
    </xdr:grpSp>
    <xdr:clientData/>
  </xdr:twoCellAnchor>
  <xdr:twoCellAnchor>
    <xdr:from>
      <xdr:col>3</xdr:col>
      <xdr:colOff>590276</xdr:colOff>
      <xdr:row>14</xdr:row>
      <xdr:rowOff>26795</xdr:rowOff>
    </xdr:from>
    <xdr:to>
      <xdr:col>19</xdr:col>
      <xdr:colOff>52918</xdr:colOff>
      <xdr:row>39</xdr:row>
      <xdr:rowOff>83689</xdr:rowOff>
    </xdr:to>
    <xdr:grpSp>
      <xdr:nvGrpSpPr>
        <xdr:cNvPr id="95" name="grpCountryLabels2" hidden="1"/>
        <xdr:cNvGrpSpPr/>
      </xdr:nvGrpSpPr>
      <xdr:grpSpPr>
        <a:xfrm>
          <a:off x="2923901" y="4074920"/>
          <a:ext cx="9785361" cy="4819394"/>
          <a:chOff x="2061359" y="2873712"/>
          <a:chExt cx="9178142" cy="4247894"/>
        </a:xfrm>
      </xdr:grpSpPr>
      <xdr:sp macro="" textlink="">
        <xdr:nvSpPr>
          <xdr:cNvPr id="96" name="lbl_country_TRK" hidden="1"/>
          <xdr:cNvSpPr txBox="1"/>
        </xdr:nvSpPr>
        <xdr:spPr>
          <a:xfrm>
            <a:off x="6318251" y="3143250"/>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POLAND</a:t>
            </a:r>
          </a:p>
        </xdr:txBody>
      </xdr:sp>
      <xdr:sp macro="" textlink="">
        <xdr:nvSpPr>
          <xdr:cNvPr id="97" name="lbl_country_COL" hidden="1"/>
          <xdr:cNvSpPr txBox="1"/>
        </xdr:nvSpPr>
        <xdr:spPr>
          <a:xfrm>
            <a:off x="4115035" y="522075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COLOMBIA</a:t>
            </a:r>
          </a:p>
        </xdr:txBody>
      </xdr:sp>
      <xdr:sp macro="" textlink="">
        <xdr:nvSpPr>
          <xdr:cNvPr id="98" name="lbl_country_ZAR" hidden="1"/>
          <xdr:cNvSpPr txBox="1"/>
        </xdr:nvSpPr>
        <xdr:spPr>
          <a:xfrm>
            <a:off x="6404809" y="6426792"/>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SOUTH AFRICA</a:t>
            </a:r>
          </a:p>
        </xdr:txBody>
      </xdr:sp>
      <xdr:sp macro="" textlink="">
        <xdr:nvSpPr>
          <xdr:cNvPr id="99" name="lbl_country_ESP" hidden="1"/>
          <xdr:cNvSpPr txBox="1"/>
        </xdr:nvSpPr>
        <xdr:spPr>
          <a:xfrm>
            <a:off x="5989751" y="3848031"/>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SPAIN</a:t>
            </a:r>
          </a:p>
        </xdr:txBody>
      </xdr:sp>
      <xdr:sp macro="" textlink="">
        <xdr:nvSpPr>
          <xdr:cNvPr id="100" name="lbl_country_CIV" hidden="1"/>
          <xdr:cNvSpPr txBox="1"/>
        </xdr:nvSpPr>
        <xdr:spPr>
          <a:xfrm>
            <a:off x="2061359" y="4502421"/>
            <a:ext cx="205431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MEXICO</a:t>
            </a:r>
          </a:p>
        </xdr:txBody>
      </xdr:sp>
      <xdr:sp macro="" textlink="">
        <xdr:nvSpPr>
          <xdr:cNvPr id="101" name="lbl_country_EGY" hidden="1"/>
          <xdr:cNvSpPr txBox="1"/>
        </xdr:nvSpPr>
        <xdr:spPr>
          <a:xfrm>
            <a:off x="4164192" y="557577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BRAZIL</a:t>
            </a:r>
          </a:p>
        </xdr:txBody>
      </xdr:sp>
      <xdr:sp macro="" textlink="">
        <xdr:nvSpPr>
          <xdr:cNvPr id="102" name="lbl_country_PER" hidden="1"/>
          <xdr:cNvSpPr txBox="1"/>
        </xdr:nvSpPr>
        <xdr:spPr>
          <a:xfrm>
            <a:off x="3539803" y="5820835"/>
            <a:ext cx="1370608" cy="179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PERU</a:t>
            </a:r>
          </a:p>
        </xdr:txBody>
      </xdr:sp>
      <xdr:sp macro="" textlink="">
        <xdr:nvSpPr>
          <xdr:cNvPr id="103" name="lbl_country_TRK" hidden="1"/>
          <xdr:cNvSpPr txBox="1"/>
        </xdr:nvSpPr>
        <xdr:spPr>
          <a:xfrm>
            <a:off x="6996778" y="378875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TURKEY</a:t>
            </a:r>
          </a:p>
        </xdr:txBody>
      </xdr:sp>
      <xdr:sp macro="" textlink="">
        <xdr:nvSpPr>
          <xdr:cNvPr id="104" name="lbl_country_CHI" hidden="1"/>
          <xdr:cNvSpPr txBox="1"/>
        </xdr:nvSpPr>
        <xdr:spPr>
          <a:xfrm>
            <a:off x="8611235" y="392269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CHINA</a:t>
            </a:r>
          </a:p>
        </xdr:txBody>
      </xdr:sp>
      <xdr:sp macro="" textlink="">
        <xdr:nvSpPr>
          <xdr:cNvPr id="105" name="lbl_country_ARG" hidden="1"/>
          <xdr:cNvSpPr txBox="1"/>
        </xdr:nvSpPr>
        <xdr:spPr>
          <a:xfrm>
            <a:off x="3815875" y="690878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ARGENTINA</a:t>
            </a:r>
          </a:p>
        </xdr:txBody>
      </xdr:sp>
      <xdr:sp macro="" textlink="">
        <xdr:nvSpPr>
          <xdr:cNvPr id="106" name="lbl_country_USA" hidden="1"/>
          <xdr:cNvSpPr txBox="1"/>
        </xdr:nvSpPr>
        <xdr:spPr>
          <a:xfrm>
            <a:off x="2735865" y="397187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USA</a:t>
            </a:r>
          </a:p>
        </xdr:txBody>
      </xdr:sp>
      <xdr:sp macro="" textlink="">
        <xdr:nvSpPr>
          <xdr:cNvPr id="107" name="lbl_country_SEN" hidden="1"/>
          <xdr:cNvSpPr txBox="1"/>
        </xdr:nvSpPr>
        <xdr:spPr>
          <a:xfrm>
            <a:off x="2531065" y="3184223"/>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CANADA</a:t>
            </a:r>
          </a:p>
        </xdr:txBody>
      </xdr:sp>
      <xdr:sp macro="" textlink="">
        <xdr:nvSpPr>
          <xdr:cNvPr id="108" name="lbl_country_RUS" hidden="1"/>
          <xdr:cNvSpPr txBox="1"/>
        </xdr:nvSpPr>
        <xdr:spPr>
          <a:xfrm>
            <a:off x="8043030" y="2873712"/>
            <a:ext cx="1902382" cy="216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RUSSIA</a:t>
            </a:r>
          </a:p>
        </xdr:txBody>
      </xdr:sp>
      <xdr:sp macro="" textlink="">
        <xdr:nvSpPr>
          <xdr:cNvPr id="109" name="lbl_country_GBR" hidden="1"/>
          <xdr:cNvSpPr txBox="1"/>
        </xdr:nvSpPr>
        <xdr:spPr>
          <a:xfrm>
            <a:off x="5836835" y="309719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UK</a:t>
            </a:r>
          </a:p>
        </xdr:txBody>
      </xdr:sp>
      <xdr:sp macro="" textlink="">
        <xdr:nvSpPr>
          <xdr:cNvPr id="110" name="lbl_country_KEN" hidden="1"/>
          <xdr:cNvSpPr txBox="1"/>
        </xdr:nvSpPr>
        <xdr:spPr>
          <a:xfrm>
            <a:off x="9968077" y="3498827"/>
            <a:ext cx="1271424" cy="417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SOUTH</a:t>
            </a:r>
          </a:p>
          <a:p>
            <a:pPr algn="ctr"/>
            <a:r>
              <a:rPr lang="en-GB" sz="1000" b="1">
                <a:solidFill>
                  <a:sysClr val="windowText" lastClr="000000"/>
                </a:solidFill>
              </a:rPr>
              <a:t>KOREA</a:t>
            </a:r>
          </a:p>
        </xdr:txBody>
      </xdr:sp>
      <xdr:sp macro="" textlink="">
        <xdr:nvSpPr>
          <xdr:cNvPr id="111" name="lbl_country_IND" hidden="1"/>
          <xdr:cNvSpPr txBox="1"/>
        </xdr:nvSpPr>
        <xdr:spPr>
          <a:xfrm>
            <a:off x="8090482" y="4815909"/>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INDIA</a:t>
            </a:r>
          </a:p>
        </xdr:txBody>
      </xdr:sp>
      <xdr:sp macro="" textlink="">
        <xdr:nvSpPr>
          <xdr:cNvPr id="112" name="lbl_country_NIG" hidden="1"/>
          <xdr:cNvSpPr txBox="1"/>
        </xdr:nvSpPr>
        <xdr:spPr>
          <a:xfrm>
            <a:off x="5996725" y="526993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NIGERIA</a:t>
            </a:r>
          </a:p>
        </xdr:txBody>
      </xdr:sp>
      <xdr:sp macro="" textlink="">
        <xdr:nvSpPr>
          <xdr:cNvPr id="113" name="lbl_country_AUS" hidden="1"/>
          <xdr:cNvSpPr txBox="1"/>
        </xdr:nvSpPr>
        <xdr:spPr>
          <a:xfrm>
            <a:off x="10014057" y="6138333"/>
            <a:ext cx="1161943" cy="224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l"/>
            <a:r>
              <a:rPr lang="en-GB" sz="1000" b="1">
                <a:solidFill>
                  <a:sysClr val="windowText" lastClr="000000"/>
                </a:solidFill>
              </a:rPr>
              <a:t>AUSTRALIA</a:t>
            </a:r>
          </a:p>
        </xdr:txBody>
      </xdr:sp>
      <xdr:sp macro="" textlink="">
        <xdr:nvSpPr>
          <xdr:cNvPr id="114" name="lbl_country_INA" hidden="1"/>
          <xdr:cNvSpPr txBox="1"/>
        </xdr:nvSpPr>
        <xdr:spPr>
          <a:xfrm>
            <a:off x="8379130" y="5618182"/>
            <a:ext cx="1766250" cy="216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INDONESIA</a:t>
            </a:r>
          </a:p>
        </xdr:txBody>
      </xdr:sp>
      <xdr:sp macro="" textlink="">
        <xdr:nvSpPr>
          <xdr:cNvPr id="115" name="lbl_country_MRC" hidden="1"/>
          <xdr:cNvSpPr txBox="1"/>
        </xdr:nvSpPr>
        <xdr:spPr>
          <a:xfrm>
            <a:off x="5568022" y="4414672"/>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MOROCCO</a:t>
            </a:r>
          </a:p>
        </xdr:txBody>
      </xdr:sp>
      <xdr:sp macro="" textlink="">
        <xdr:nvSpPr>
          <xdr:cNvPr id="116" name="lbl_country_GHA" hidden="1"/>
          <xdr:cNvSpPr txBox="1"/>
        </xdr:nvSpPr>
        <xdr:spPr>
          <a:xfrm>
            <a:off x="2927850" y="492243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PANAMA</a:t>
            </a:r>
          </a:p>
        </xdr:txBody>
      </xdr:sp>
      <xdr:sp macro="" textlink="">
        <xdr:nvSpPr>
          <xdr:cNvPr id="117" name="lbl_country_THD" hidden="1"/>
          <xdr:cNvSpPr txBox="1"/>
        </xdr:nvSpPr>
        <xdr:spPr>
          <a:xfrm>
            <a:off x="8688916" y="45614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THAILAND</a:t>
            </a:r>
          </a:p>
        </xdr:txBody>
      </xdr:sp>
      <xdr:sp macro="" textlink="">
        <xdr:nvSpPr>
          <xdr:cNvPr id="118" name="lbl_country_MLY" hidden="1"/>
          <xdr:cNvSpPr txBox="1"/>
        </xdr:nvSpPr>
        <xdr:spPr>
          <a:xfrm>
            <a:off x="8238066" y="53488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MALAYSIA</a:t>
            </a:r>
          </a:p>
        </xdr:txBody>
      </xdr:sp>
      <xdr:sp macro="" textlink="">
        <xdr:nvSpPr>
          <xdr:cNvPr id="119" name="lbl_country_PHL" hidden="1"/>
          <xdr:cNvSpPr txBox="1"/>
        </xdr:nvSpPr>
        <xdr:spPr>
          <a:xfrm>
            <a:off x="9840387" y="498263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PHILIPPINES</a:t>
            </a:r>
          </a:p>
        </xdr:txBody>
      </xdr:sp>
      <xdr:sp macro="" textlink="">
        <xdr:nvSpPr>
          <xdr:cNvPr id="120" name="lbl_country_SNG" hidden="1"/>
          <xdr:cNvSpPr txBox="1"/>
        </xdr:nvSpPr>
        <xdr:spPr>
          <a:xfrm>
            <a:off x="9577917" y="53234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SINGAPORE</a:t>
            </a:r>
          </a:p>
        </xdr:txBody>
      </xdr:sp>
      <xdr:sp macro="" textlink="">
        <xdr:nvSpPr>
          <xdr:cNvPr id="121" name="lbl_country_HNK" hidden="1"/>
          <xdr:cNvSpPr txBox="1"/>
        </xdr:nvSpPr>
        <xdr:spPr>
          <a:xfrm>
            <a:off x="8693152" y="4370917"/>
            <a:ext cx="1128181" cy="185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HONG KONG</a:t>
            </a:r>
          </a:p>
        </xdr:txBody>
      </xdr:sp>
      <xdr:sp macro="" textlink="">
        <xdr:nvSpPr>
          <xdr:cNvPr id="122" name="lbl_country_TWN" hidden="1"/>
          <xdr:cNvSpPr txBox="1"/>
        </xdr:nvSpPr>
        <xdr:spPr>
          <a:xfrm>
            <a:off x="9863666" y="4423834"/>
            <a:ext cx="1243609" cy="20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TAIWAN</a:t>
            </a:r>
          </a:p>
        </xdr:txBody>
      </xdr:sp>
      <xdr:sp macro="" textlink="">
        <xdr:nvSpPr>
          <xdr:cNvPr id="123" name="lbl_country_UAE" hidden="1"/>
          <xdr:cNvSpPr txBox="1"/>
        </xdr:nvSpPr>
        <xdr:spPr>
          <a:xfrm>
            <a:off x="7651749" y="4656665"/>
            <a:ext cx="623425" cy="217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UAE</a:t>
            </a:r>
          </a:p>
        </xdr:txBody>
      </xdr:sp>
      <xdr:sp macro="" textlink="">
        <xdr:nvSpPr>
          <xdr:cNvPr id="124" name="lbl_country_ISR" hidden="1"/>
          <xdr:cNvSpPr txBox="1"/>
        </xdr:nvSpPr>
        <xdr:spPr>
          <a:xfrm>
            <a:off x="6496050" y="42947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ISRAEL</a:t>
            </a:r>
          </a:p>
        </xdr:txBody>
      </xdr:sp>
    </xdr:grpSp>
    <xdr:clientData/>
  </xdr:twoCellAnchor>
  <xdr:twoCellAnchor editAs="absolute">
    <xdr:from>
      <xdr:col>9</xdr:col>
      <xdr:colOff>349140</xdr:colOff>
      <xdr:row>4</xdr:row>
      <xdr:rowOff>201072</xdr:rowOff>
    </xdr:from>
    <xdr:to>
      <xdr:col>12</xdr:col>
      <xdr:colOff>480835</xdr:colOff>
      <xdr:row>5</xdr:row>
      <xdr:rowOff>89247</xdr:rowOff>
    </xdr:to>
    <xdr:sp macro="" textlink="lang!E121">
      <xdr:nvSpPr>
        <xdr:cNvPr id="128" name="lbl_cnt_City_1"/>
        <xdr:cNvSpPr txBox="1"/>
      </xdr:nvSpPr>
      <xdr:spPr>
        <a:xfrm>
          <a:off x="8635890" y="2065251"/>
          <a:ext cx="2553766"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7FB342-7036-405A-B19D-5C54A17A6DD8}" type="TxLink">
            <a:rPr lang="en-US" sz="1100" b="1" i="0" u="none" strike="noStrike">
              <a:solidFill>
                <a:srgbClr val="000000"/>
              </a:solidFill>
              <a:latin typeface="Calibri"/>
              <a:ea typeface="Karla" pitchFamily="2" charset="0"/>
              <a:cs typeface="Arial" pitchFamily="34" charset="0"/>
            </a:rPr>
            <a:pPr/>
            <a:t>X - SERIES</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20</xdr:col>
      <xdr:colOff>114338</xdr:colOff>
      <xdr:row>5</xdr:row>
      <xdr:rowOff>70485</xdr:rowOff>
    </xdr:from>
    <xdr:to>
      <xdr:col>20</xdr:col>
      <xdr:colOff>419260</xdr:colOff>
      <xdr:row>5</xdr:row>
      <xdr:rowOff>201555</xdr:rowOff>
    </xdr:to>
    <xdr:pic macro="[0]!CntUpPlot1">
      <xdr:nvPicPr>
        <xdr:cNvPr id="137" name="cnt_series_up2" descr="scroll_up_small.png"/>
        <xdr:cNvPicPr>
          <a:picLocks noChangeAspect="1"/>
        </xdr:cNvPicPr>
      </xdr:nvPicPr>
      <xdr:blipFill>
        <a:blip xmlns:r="http://schemas.openxmlformats.org/officeDocument/2006/relationships" r:embed="rId1" cstate="print"/>
        <a:stretch>
          <a:fillRect/>
        </a:stretch>
      </xdr:blipFill>
      <xdr:spPr>
        <a:xfrm>
          <a:off x="13258838" y="2274842"/>
          <a:ext cx="304922" cy="131070"/>
        </a:xfrm>
        <a:prstGeom prst="rect">
          <a:avLst/>
        </a:prstGeom>
      </xdr:spPr>
    </xdr:pic>
    <xdr:clientData fPrintsWithSheet="0"/>
  </xdr:twoCellAnchor>
  <xdr:twoCellAnchor editAs="absolute">
    <xdr:from>
      <xdr:col>20</xdr:col>
      <xdr:colOff>114338</xdr:colOff>
      <xdr:row>5</xdr:row>
      <xdr:rowOff>199613</xdr:rowOff>
    </xdr:from>
    <xdr:to>
      <xdr:col>20</xdr:col>
      <xdr:colOff>419179</xdr:colOff>
      <xdr:row>5</xdr:row>
      <xdr:rowOff>291674</xdr:rowOff>
    </xdr:to>
    <xdr:pic macro="[0]!CntDownPlot1">
      <xdr:nvPicPr>
        <xdr:cNvPr id="138" name="cnt_series_down2" descr="scroll_down_small.png"/>
        <xdr:cNvPicPr>
          <a:picLocks noChangeAspect="1"/>
        </xdr:cNvPicPr>
      </xdr:nvPicPr>
      <xdr:blipFill>
        <a:blip xmlns:r="http://schemas.openxmlformats.org/officeDocument/2006/relationships" r:embed="rId2" cstate="print"/>
        <a:stretch>
          <a:fillRect/>
        </a:stretch>
      </xdr:blipFill>
      <xdr:spPr>
        <a:xfrm>
          <a:off x="13258838" y="2403970"/>
          <a:ext cx="304841" cy="92061"/>
        </a:xfrm>
        <a:prstGeom prst="rect">
          <a:avLst/>
        </a:prstGeom>
      </xdr:spPr>
    </xdr:pic>
    <xdr:clientData fPrintsWithSheet="0"/>
  </xdr:twoCellAnchor>
  <xdr:twoCellAnchor editAs="absolute">
    <xdr:from>
      <xdr:col>1</xdr:col>
      <xdr:colOff>152701</xdr:colOff>
      <xdr:row>3</xdr:row>
      <xdr:rowOff>311451</xdr:rowOff>
    </xdr:from>
    <xdr:to>
      <xdr:col>8</xdr:col>
      <xdr:colOff>966107</xdr:colOff>
      <xdr:row>39</xdr:row>
      <xdr:rowOff>3778</xdr:rowOff>
    </xdr:to>
    <xdr:graphicFrame macro="">
      <xdr:nvGraphicFramePr>
        <xdr:cNvPr id="143"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9</xdr:col>
      <xdr:colOff>353378</xdr:colOff>
      <xdr:row>6</xdr:row>
      <xdr:rowOff>96434</xdr:rowOff>
    </xdr:from>
    <xdr:to>
      <xdr:col>12</xdr:col>
      <xdr:colOff>485073</xdr:colOff>
      <xdr:row>7</xdr:row>
      <xdr:rowOff>123704</xdr:rowOff>
    </xdr:to>
    <xdr:sp macro="" textlink="lang!E122">
      <xdr:nvSpPr>
        <xdr:cNvPr id="144" name="lbl_cnt_City_1"/>
        <xdr:cNvSpPr txBox="1"/>
      </xdr:nvSpPr>
      <xdr:spPr>
        <a:xfrm>
          <a:off x="8640128" y="2640970"/>
          <a:ext cx="2553766" cy="217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8F9D8272-CEDB-43AD-A90B-087E7E65CE84}" type="TxLink">
            <a:rPr lang="en-US" sz="1100" b="1" i="0" u="none" strike="noStrike">
              <a:solidFill>
                <a:srgbClr val="000000"/>
              </a:solidFill>
              <a:latin typeface="Calibri"/>
              <a:ea typeface="Karla" pitchFamily="2" charset="0"/>
              <a:cs typeface="Arial" pitchFamily="34" charset="0"/>
            </a:rPr>
            <a:pPr/>
            <a:t>Y - SERIES</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9</xdr:col>
      <xdr:colOff>347033</xdr:colOff>
      <xdr:row>9</xdr:row>
      <xdr:rowOff>111237</xdr:rowOff>
    </xdr:from>
    <xdr:to>
      <xdr:col>12</xdr:col>
      <xdr:colOff>478728</xdr:colOff>
      <xdr:row>10</xdr:row>
      <xdr:rowOff>138507</xdr:rowOff>
    </xdr:to>
    <xdr:sp macro="" textlink="lang!E123">
      <xdr:nvSpPr>
        <xdr:cNvPr id="145" name="lbl_cnt_City_1"/>
        <xdr:cNvSpPr txBox="1"/>
      </xdr:nvSpPr>
      <xdr:spPr>
        <a:xfrm>
          <a:off x="8633783" y="3227273"/>
          <a:ext cx="2553766" cy="217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4FCB00C8-4D4C-4C0D-8C0E-88F45E7241D7}" type="TxLink">
            <a:rPr lang="en-US" sz="1100" b="1" i="0" u="none" strike="noStrike">
              <a:solidFill>
                <a:srgbClr val="000000"/>
              </a:solidFill>
              <a:latin typeface="Calibri"/>
              <a:ea typeface="Karla" pitchFamily="2" charset="0"/>
              <a:cs typeface="Arial" pitchFamily="34" charset="0"/>
            </a:rPr>
            <a:pPr/>
            <a:t>Z - SERIES</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20</xdr:col>
      <xdr:colOff>110420</xdr:colOff>
      <xdr:row>7</xdr:row>
      <xdr:rowOff>134542</xdr:rowOff>
    </xdr:from>
    <xdr:to>
      <xdr:col>20</xdr:col>
      <xdr:colOff>415342</xdr:colOff>
      <xdr:row>8</xdr:row>
      <xdr:rowOff>65588</xdr:rowOff>
    </xdr:to>
    <xdr:pic macro="[0]!CntUpPlot2">
      <xdr:nvPicPr>
        <xdr:cNvPr id="146" name="cnt_series_up2" descr="scroll_up_small.png"/>
        <xdr:cNvPicPr>
          <a:picLocks noChangeAspect="1"/>
        </xdr:cNvPicPr>
      </xdr:nvPicPr>
      <xdr:blipFill>
        <a:blip xmlns:r="http://schemas.openxmlformats.org/officeDocument/2006/relationships" r:embed="rId1" cstate="print"/>
        <a:stretch>
          <a:fillRect/>
        </a:stretch>
      </xdr:blipFill>
      <xdr:spPr>
        <a:xfrm>
          <a:off x="13254920" y="2869578"/>
          <a:ext cx="304922" cy="121546"/>
        </a:xfrm>
        <a:prstGeom prst="rect">
          <a:avLst/>
        </a:prstGeom>
      </xdr:spPr>
    </xdr:pic>
    <xdr:clientData fPrintsWithSheet="0"/>
  </xdr:twoCellAnchor>
  <xdr:twoCellAnchor editAs="absolute">
    <xdr:from>
      <xdr:col>20</xdr:col>
      <xdr:colOff>110420</xdr:colOff>
      <xdr:row>8</xdr:row>
      <xdr:rowOff>63646</xdr:rowOff>
    </xdr:from>
    <xdr:to>
      <xdr:col>20</xdr:col>
      <xdr:colOff>415261</xdr:colOff>
      <xdr:row>8</xdr:row>
      <xdr:rowOff>155707</xdr:rowOff>
    </xdr:to>
    <xdr:pic macro="[0]!CntDownPlot2">
      <xdr:nvPicPr>
        <xdr:cNvPr id="147" name="cnt_series_down2" descr="scroll_down_small.png"/>
        <xdr:cNvPicPr>
          <a:picLocks noChangeAspect="1"/>
        </xdr:cNvPicPr>
      </xdr:nvPicPr>
      <xdr:blipFill>
        <a:blip xmlns:r="http://schemas.openxmlformats.org/officeDocument/2006/relationships" r:embed="rId2" cstate="print"/>
        <a:stretch>
          <a:fillRect/>
        </a:stretch>
      </xdr:blipFill>
      <xdr:spPr>
        <a:xfrm>
          <a:off x="13254920" y="2989182"/>
          <a:ext cx="304841" cy="92061"/>
        </a:xfrm>
        <a:prstGeom prst="rect">
          <a:avLst/>
        </a:prstGeom>
      </xdr:spPr>
    </xdr:pic>
    <xdr:clientData fPrintsWithSheet="0"/>
  </xdr:twoCellAnchor>
  <xdr:twoCellAnchor editAs="absolute">
    <xdr:from>
      <xdr:col>20</xdr:col>
      <xdr:colOff>110420</xdr:colOff>
      <xdr:row>10</xdr:row>
      <xdr:rowOff>155708</xdr:rowOff>
    </xdr:from>
    <xdr:to>
      <xdr:col>20</xdr:col>
      <xdr:colOff>415342</xdr:colOff>
      <xdr:row>11</xdr:row>
      <xdr:rowOff>86754</xdr:rowOff>
    </xdr:to>
    <xdr:pic macro="[0]!CntUpPlot3">
      <xdr:nvPicPr>
        <xdr:cNvPr id="148" name="cnt_series_up2" descr="scroll_up_small.png"/>
        <xdr:cNvPicPr>
          <a:picLocks noChangeAspect="1"/>
        </xdr:cNvPicPr>
      </xdr:nvPicPr>
      <xdr:blipFill>
        <a:blip xmlns:r="http://schemas.openxmlformats.org/officeDocument/2006/relationships" r:embed="rId1" cstate="print"/>
        <a:stretch>
          <a:fillRect/>
        </a:stretch>
      </xdr:blipFill>
      <xdr:spPr>
        <a:xfrm>
          <a:off x="13254920" y="3462244"/>
          <a:ext cx="304922" cy="121546"/>
        </a:xfrm>
        <a:prstGeom prst="rect">
          <a:avLst/>
        </a:prstGeom>
      </xdr:spPr>
    </xdr:pic>
    <xdr:clientData fPrintsWithSheet="0"/>
  </xdr:twoCellAnchor>
  <xdr:twoCellAnchor editAs="absolute">
    <xdr:from>
      <xdr:col>20</xdr:col>
      <xdr:colOff>110420</xdr:colOff>
      <xdr:row>11</xdr:row>
      <xdr:rowOff>84812</xdr:rowOff>
    </xdr:from>
    <xdr:to>
      <xdr:col>20</xdr:col>
      <xdr:colOff>415261</xdr:colOff>
      <xdr:row>11</xdr:row>
      <xdr:rowOff>176873</xdr:rowOff>
    </xdr:to>
    <xdr:pic macro="[0]!CntDownPlot3">
      <xdr:nvPicPr>
        <xdr:cNvPr id="149" name="cnt_series_down2" descr="scroll_down_small.png"/>
        <xdr:cNvPicPr>
          <a:picLocks noChangeAspect="1"/>
        </xdr:cNvPicPr>
      </xdr:nvPicPr>
      <xdr:blipFill>
        <a:blip xmlns:r="http://schemas.openxmlformats.org/officeDocument/2006/relationships" r:embed="rId2" cstate="print"/>
        <a:stretch>
          <a:fillRect/>
        </a:stretch>
      </xdr:blipFill>
      <xdr:spPr>
        <a:xfrm>
          <a:off x="13254920" y="3581848"/>
          <a:ext cx="304841" cy="92061"/>
        </a:xfrm>
        <a:prstGeom prst="rect">
          <a:avLst/>
        </a:prstGeom>
      </xdr:spPr>
    </xdr:pic>
    <xdr:clientData fPrintsWithSheet="0"/>
  </xdr:twoCellAnchor>
  <xdr:twoCellAnchor editAs="absolute">
    <xdr:from>
      <xdr:col>9</xdr:col>
      <xdr:colOff>355282</xdr:colOff>
      <xdr:row>3</xdr:row>
      <xdr:rowOff>221800</xdr:rowOff>
    </xdr:from>
    <xdr:to>
      <xdr:col>19</xdr:col>
      <xdr:colOff>196546</xdr:colOff>
      <xdr:row>4</xdr:row>
      <xdr:rowOff>221796</xdr:rowOff>
    </xdr:to>
    <xdr:sp macro="" textlink="lang!C124">
      <xdr:nvSpPr>
        <xdr:cNvPr id="178" name="lbl_cnt_City_1"/>
        <xdr:cNvSpPr txBox="1"/>
      </xdr:nvSpPr>
      <xdr:spPr>
        <a:xfrm>
          <a:off x="8642032" y="1745800"/>
          <a:ext cx="4263585" cy="340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B1277810-9CCF-4968-B885-ABAD55EEE45B}" type="TxLink">
            <a:rPr lang="en-US" sz="1400" b="1" i="0" u="none" strike="noStrike">
              <a:solidFill>
                <a:srgbClr val="000000"/>
              </a:solidFill>
              <a:latin typeface="Calibri"/>
              <a:ea typeface="Karla" pitchFamily="2" charset="0"/>
              <a:cs typeface="Arial" pitchFamily="34" charset="0"/>
            </a:rPr>
            <a:pPr/>
            <a:t>Seleccione los indicadores para mostrar en el gráfico 3D</a:t>
          </a:fld>
          <a:endParaRPr lang="en-GB" sz="1000" b="1">
            <a:solidFill>
              <a:sysClr val="windowText" lastClr="000000"/>
            </a:solidFill>
            <a:latin typeface="+mn-lt"/>
            <a:ea typeface="Karla" pitchFamily="2" charset="0"/>
            <a:cs typeface="Arial" pitchFamily="34" charset="0"/>
          </a:endParaRPr>
        </a:p>
      </xdr:txBody>
    </xdr:sp>
    <xdr:clientData/>
  </xdr:twoCellAnchor>
  <xdr:twoCellAnchor editAs="absolute">
    <xdr:from>
      <xdr:col>9</xdr:col>
      <xdr:colOff>457800</xdr:colOff>
      <xdr:row>14</xdr:row>
      <xdr:rowOff>122161</xdr:rowOff>
    </xdr:from>
    <xdr:to>
      <xdr:col>12</xdr:col>
      <xdr:colOff>589495</xdr:colOff>
      <xdr:row>15</xdr:row>
      <xdr:rowOff>160014</xdr:rowOff>
    </xdr:to>
    <xdr:sp macro="" textlink="lang!C125">
      <xdr:nvSpPr>
        <xdr:cNvPr id="183" name="lbl_cnt_City_1"/>
        <xdr:cNvSpPr txBox="1"/>
      </xdr:nvSpPr>
      <xdr:spPr>
        <a:xfrm>
          <a:off x="8776300" y="4186161"/>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56534FC9-B2FF-47C9-8022-75181E3DEB0D}" type="TxLink">
            <a:rPr lang="en-US" sz="1400" b="1" i="0" u="none" strike="noStrike">
              <a:solidFill>
                <a:srgbClr val="000000"/>
              </a:solidFill>
              <a:latin typeface="Calibri"/>
              <a:ea typeface="Karla" pitchFamily="2" charset="0"/>
              <a:cs typeface="Arial" pitchFamily="34" charset="0"/>
            </a:rPr>
            <a:pPr/>
            <a:t>Ajuste la visualización del gráfico 3D</a:t>
          </a:fld>
          <a:endParaRPr lang="en-GB" sz="12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835475</xdr:colOff>
      <xdr:row>18</xdr:row>
      <xdr:rowOff>59872</xdr:rowOff>
    </xdr:from>
    <xdr:to>
      <xdr:col>11</xdr:col>
      <xdr:colOff>193074</xdr:colOff>
      <xdr:row>19</xdr:row>
      <xdr:rowOff>97725</xdr:rowOff>
    </xdr:to>
    <xdr:sp macro="" textlink="lang!C126">
      <xdr:nvSpPr>
        <xdr:cNvPr id="185" name="lbl_cnt_City_1"/>
        <xdr:cNvSpPr txBox="1"/>
      </xdr:nvSpPr>
      <xdr:spPr>
        <a:xfrm>
          <a:off x="8074475" y="4890408"/>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578100F5-7001-427A-89DE-6AAE938207C4}" type="TxLink">
            <a:rPr lang="en-US" sz="1100" b="0" i="0" u="none" strike="noStrike">
              <a:solidFill>
                <a:srgbClr val="000000"/>
              </a:solidFill>
              <a:latin typeface="Calibri"/>
              <a:ea typeface="Karla" pitchFamily="2" charset="0"/>
              <a:cs typeface="Arial" pitchFamily="34" charset="0"/>
            </a:rPr>
            <a:pPr algn="r"/>
            <a:t>Rotar alrededor del eje X</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824591</xdr:colOff>
      <xdr:row>20</xdr:row>
      <xdr:rowOff>35377</xdr:rowOff>
    </xdr:from>
    <xdr:to>
      <xdr:col>11</xdr:col>
      <xdr:colOff>189749</xdr:colOff>
      <xdr:row>21</xdr:row>
      <xdr:rowOff>73230</xdr:rowOff>
    </xdr:to>
    <xdr:sp macro="" textlink="lang!C127">
      <xdr:nvSpPr>
        <xdr:cNvPr id="198" name="lbl_cnt_City_1"/>
        <xdr:cNvSpPr txBox="1"/>
      </xdr:nvSpPr>
      <xdr:spPr>
        <a:xfrm>
          <a:off x="8063591" y="5246913"/>
          <a:ext cx="2562837"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0C534109-A548-4F9E-9A3F-C8A82017D380}" type="TxLink">
            <a:rPr lang="en-US" sz="1100" b="0" i="0" u="none" strike="noStrike">
              <a:solidFill>
                <a:srgbClr val="000000"/>
              </a:solidFill>
              <a:latin typeface="Calibri"/>
              <a:ea typeface="Karla" pitchFamily="2" charset="0"/>
              <a:cs typeface="Arial" pitchFamily="34" charset="0"/>
            </a:rPr>
            <a:pPr algn="r"/>
            <a:t>Rotar alrededor del eje Y</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827314</xdr:colOff>
      <xdr:row>22</xdr:row>
      <xdr:rowOff>10882</xdr:rowOff>
    </xdr:from>
    <xdr:to>
      <xdr:col>11</xdr:col>
      <xdr:colOff>192472</xdr:colOff>
      <xdr:row>23</xdr:row>
      <xdr:rowOff>48735</xdr:rowOff>
    </xdr:to>
    <xdr:sp macro="" textlink="lang!C128">
      <xdr:nvSpPr>
        <xdr:cNvPr id="200" name="lbl_cnt_City_1"/>
        <xdr:cNvSpPr txBox="1"/>
      </xdr:nvSpPr>
      <xdr:spPr>
        <a:xfrm>
          <a:off x="8066314" y="5603418"/>
          <a:ext cx="2562837"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F799F89D-BA6E-46FD-ACB9-053714BE1E0C}" type="TxLink">
            <a:rPr lang="en-US" sz="1100" b="0" i="0" u="none" strike="noStrike">
              <a:solidFill>
                <a:srgbClr val="000000"/>
              </a:solidFill>
              <a:latin typeface="Calibri"/>
              <a:ea typeface="Karla" pitchFamily="2" charset="0"/>
              <a:cs typeface="Arial" pitchFamily="34" charset="0"/>
            </a:rPr>
            <a:pPr algn="r"/>
            <a:t>Rotar alrededor del eje Z</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830037</xdr:colOff>
      <xdr:row>25</xdr:row>
      <xdr:rowOff>54420</xdr:rowOff>
    </xdr:from>
    <xdr:to>
      <xdr:col>11</xdr:col>
      <xdr:colOff>195195</xdr:colOff>
      <xdr:row>26</xdr:row>
      <xdr:rowOff>92273</xdr:rowOff>
    </xdr:to>
    <xdr:sp macro="" textlink="lang!C129">
      <xdr:nvSpPr>
        <xdr:cNvPr id="201" name="lbl_cnt_City_1"/>
        <xdr:cNvSpPr txBox="1"/>
      </xdr:nvSpPr>
      <xdr:spPr>
        <a:xfrm>
          <a:off x="8069037" y="6218456"/>
          <a:ext cx="2562837"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742CF122-1552-4B85-81AF-CE38166197D9}" type="TxLink">
            <a:rPr lang="en-US" sz="1100" b="0" i="0" u="none" strike="noStrike">
              <a:solidFill>
                <a:srgbClr val="00B050"/>
              </a:solidFill>
              <a:latin typeface="Calibri"/>
              <a:ea typeface="Verdana"/>
              <a:cs typeface="Verdana"/>
            </a:rPr>
            <a:pPr algn="r"/>
            <a:t>Plano de corte YZ</a:t>
          </a:fld>
          <a:endParaRPr lang="en-GB" sz="800" b="1">
            <a:solidFill>
              <a:srgbClr val="00B050"/>
            </a:solidFill>
            <a:latin typeface="+mn-lt"/>
            <a:ea typeface="Karla" pitchFamily="2" charset="0"/>
            <a:cs typeface="Arial" pitchFamily="34" charset="0"/>
          </a:endParaRPr>
        </a:p>
      </xdr:txBody>
    </xdr:sp>
    <xdr:clientData/>
  </xdr:twoCellAnchor>
  <xdr:twoCellAnchor editAs="absolute">
    <xdr:from>
      <xdr:col>8</xdr:col>
      <xdr:colOff>832760</xdr:colOff>
      <xdr:row>27</xdr:row>
      <xdr:rowOff>43532</xdr:rowOff>
    </xdr:from>
    <xdr:to>
      <xdr:col>11</xdr:col>
      <xdr:colOff>197918</xdr:colOff>
      <xdr:row>28</xdr:row>
      <xdr:rowOff>81385</xdr:rowOff>
    </xdr:to>
    <xdr:sp macro="" textlink="lang!C130">
      <xdr:nvSpPr>
        <xdr:cNvPr id="202" name="lbl_cnt_City_1"/>
        <xdr:cNvSpPr txBox="1"/>
      </xdr:nvSpPr>
      <xdr:spPr>
        <a:xfrm>
          <a:off x="8071760" y="6588568"/>
          <a:ext cx="2562837"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EB17708B-E9BE-422C-B39E-2A2CCE7A0F30}" type="TxLink">
            <a:rPr lang="en-US" sz="1100" b="0" i="0" u="none" strike="noStrike">
              <a:solidFill>
                <a:srgbClr val="FF0000"/>
              </a:solidFill>
              <a:latin typeface="Calibri"/>
              <a:ea typeface="Verdana"/>
              <a:cs typeface="Verdana"/>
            </a:rPr>
            <a:pPr algn="r"/>
            <a:t>Plano de corte XZ</a:t>
          </a:fld>
          <a:endParaRPr lang="en-GB" sz="800" b="1">
            <a:solidFill>
              <a:srgbClr val="FF0000"/>
            </a:solidFill>
            <a:latin typeface="+mn-lt"/>
            <a:ea typeface="Karla" pitchFamily="2" charset="0"/>
            <a:cs typeface="Arial" pitchFamily="34" charset="0"/>
          </a:endParaRPr>
        </a:p>
      </xdr:txBody>
    </xdr:sp>
    <xdr:clientData/>
  </xdr:twoCellAnchor>
  <xdr:twoCellAnchor editAs="absolute">
    <xdr:from>
      <xdr:col>8</xdr:col>
      <xdr:colOff>835483</xdr:colOff>
      <xdr:row>29</xdr:row>
      <xdr:rowOff>19037</xdr:rowOff>
    </xdr:from>
    <xdr:to>
      <xdr:col>11</xdr:col>
      <xdr:colOff>193082</xdr:colOff>
      <xdr:row>30</xdr:row>
      <xdr:rowOff>56890</xdr:rowOff>
    </xdr:to>
    <xdr:sp macro="" textlink="lang!C131">
      <xdr:nvSpPr>
        <xdr:cNvPr id="203" name="lbl_cnt_City_1"/>
        <xdr:cNvSpPr txBox="1"/>
      </xdr:nvSpPr>
      <xdr:spPr>
        <a:xfrm>
          <a:off x="8074483" y="6945073"/>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F8F3DAA3-AC8F-42BA-9B63-9C4207267BB0}" type="TxLink">
            <a:rPr lang="en-US" sz="1100" b="0" i="0" u="none" strike="noStrike">
              <a:solidFill>
                <a:srgbClr val="004770"/>
              </a:solidFill>
              <a:latin typeface="Calibri"/>
              <a:ea typeface="Verdana"/>
              <a:cs typeface="Verdana"/>
            </a:rPr>
            <a:pPr algn="r"/>
            <a:t>Plano de corte XY</a:t>
          </a:fld>
          <a:endParaRPr lang="en-GB" sz="800" b="1">
            <a:solidFill>
              <a:srgbClr val="004770"/>
            </a:solidFill>
            <a:latin typeface="+mn-lt"/>
            <a:ea typeface="Karla" pitchFamily="2" charset="0"/>
            <a:cs typeface="Arial" pitchFamily="34" charset="0"/>
          </a:endParaRPr>
        </a:p>
      </xdr:txBody>
    </xdr:sp>
    <xdr:clientData/>
  </xdr:twoCellAnchor>
  <xdr:twoCellAnchor editAs="absolute">
    <xdr:from>
      <xdr:col>8</xdr:col>
      <xdr:colOff>838206</xdr:colOff>
      <xdr:row>32</xdr:row>
      <xdr:rowOff>48968</xdr:rowOff>
    </xdr:from>
    <xdr:to>
      <xdr:col>11</xdr:col>
      <xdr:colOff>195805</xdr:colOff>
      <xdr:row>33</xdr:row>
      <xdr:rowOff>86821</xdr:rowOff>
    </xdr:to>
    <xdr:sp macro="" textlink="lang!C132">
      <xdr:nvSpPr>
        <xdr:cNvPr id="204" name="lbl_cnt_City_1"/>
        <xdr:cNvSpPr txBox="1"/>
      </xdr:nvSpPr>
      <xdr:spPr>
        <a:xfrm>
          <a:off x="8077206" y="7546504"/>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C34A9912-DF9B-486D-9110-D3B3A207E953}" type="TxLink">
            <a:rPr lang="en-US" sz="1100" b="0" i="0" u="none" strike="noStrike">
              <a:solidFill>
                <a:srgbClr val="000000"/>
              </a:solidFill>
              <a:latin typeface="Calibri"/>
              <a:ea typeface="Verdana"/>
              <a:cs typeface="Verdana"/>
            </a:rPr>
            <a:pPr algn="r"/>
            <a:t>Zoom</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840929</xdr:colOff>
      <xdr:row>34</xdr:row>
      <xdr:rowOff>51687</xdr:rowOff>
    </xdr:from>
    <xdr:to>
      <xdr:col>11</xdr:col>
      <xdr:colOff>198528</xdr:colOff>
      <xdr:row>35</xdr:row>
      <xdr:rowOff>89540</xdr:rowOff>
    </xdr:to>
    <xdr:sp macro="" textlink="lang!C133">
      <xdr:nvSpPr>
        <xdr:cNvPr id="205" name="lbl_cnt_City_1"/>
        <xdr:cNvSpPr txBox="1"/>
      </xdr:nvSpPr>
      <xdr:spPr>
        <a:xfrm>
          <a:off x="8079929" y="7930223"/>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8BD1E7F9-7E2B-4665-9462-E76DAC7467C7}" type="TxLink">
            <a:rPr lang="en-US" sz="1200" b="0" i="0" u="none" strike="noStrike">
              <a:solidFill>
                <a:srgbClr val="222222"/>
              </a:solidFill>
              <a:latin typeface="Calibri"/>
              <a:ea typeface="Verdana"/>
              <a:cs typeface="Verdana"/>
            </a:rPr>
            <a:pPr algn="r"/>
            <a:t>Desplazar en el eje X</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843652</xdr:colOff>
      <xdr:row>36</xdr:row>
      <xdr:rowOff>68013</xdr:rowOff>
    </xdr:from>
    <xdr:to>
      <xdr:col>11</xdr:col>
      <xdr:colOff>201251</xdr:colOff>
      <xdr:row>37</xdr:row>
      <xdr:rowOff>105866</xdr:rowOff>
    </xdr:to>
    <xdr:sp macro="" textlink="lang!C134">
      <xdr:nvSpPr>
        <xdr:cNvPr id="206" name="lbl_cnt_City_1"/>
        <xdr:cNvSpPr txBox="1"/>
      </xdr:nvSpPr>
      <xdr:spPr>
        <a:xfrm>
          <a:off x="8082652" y="8327549"/>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712B6DA6-5C29-43EC-95FC-21934EA0D9DC}" type="TxLink">
            <a:rPr lang="en-US" sz="1200" b="0" i="0" u="none" strike="noStrike">
              <a:solidFill>
                <a:srgbClr val="222222"/>
              </a:solidFill>
              <a:latin typeface="Calibri"/>
              <a:ea typeface="Verdana"/>
              <a:cs typeface="Verdana"/>
            </a:rPr>
            <a:pPr algn="r"/>
            <a:t>Desplazar en el eje Y</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0</xdr:col>
      <xdr:colOff>0</xdr:colOff>
      <xdr:row>0</xdr:row>
      <xdr:rowOff>0</xdr:rowOff>
    </xdr:from>
    <xdr:to>
      <xdr:col>21</xdr:col>
      <xdr:colOff>19628</xdr:colOff>
      <xdr:row>3</xdr:row>
      <xdr:rowOff>7336</xdr:rowOff>
    </xdr:to>
    <xdr:grpSp>
      <xdr:nvGrpSpPr>
        <xdr:cNvPr id="175" name="MENU"/>
        <xdr:cNvGrpSpPr/>
      </xdr:nvGrpSpPr>
      <xdr:grpSpPr>
        <a:xfrm>
          <a:off x="0" y="0"/>
          <a:ext cx="13711816" cy="1531336"/>
          <a:chOff x="0" y="0"/>
          <a:chExt cx="13777961" cy="1531336"/>
        </a:xfrm>
      </xdr:grpSpPr>
      <xdr:sp macro="" textlink="">
        <xdr:nvSpPr>
          <xdr:cNvPr id="165" name="nav_controls"/>
          <xdr:cNvSpPr/>
        </xdr:nvSpPr>
        <xdr:spPr>
          <a:xfrm>
            <a:off x="13679" y="0"/>
            <a:ext cx="13764282"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166" name="Summary"/>
          <xdr:cNvSpPr/>
        </xdr:nvSpPr>
        <xdr:spPr>
          <a:xfrm>
            <a:off x="870731" y="319280"/>
            <a:ext cx="3225402"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167" name="Home1"/>
          <xdr:cNvSpPr/>
        </xdr:nvSpPr>
        <xdr:spPr>
          <a:xfrm>
            <a:off x="0" y="319280"/>
            <a:ext cx="864867" cy="367756"/>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168" name="Home" descr="Home.png"/>
          <xdr:cNvPicPr>
            <a:picLocks noChangeAspect="1"/>
          </xdr:cNvPicPr>
        </xdr:nvPicPr>
        <xdr:blipFill>
          <a:blip xmlns:r="http://schemas.openxmlformats.org/officeDocument/2006/relationships" r:embed="rId4" cstate="print"/>
          <a:stretch>
            <a:fillRect/>
          </a:stretch>
        </xdr:blipFill>
        <xdr:spPr>
          <a:xfrm>
            <a:off x="77794" y="326109"/>
            <a:ext cx="354328" cy="345662"/>
          </a:xfrm>
          <a:prstGeom prst="rect">
            <a:avLst/>
          </a:prstGeom>
        </xdr:spPr>
      </xdr:pic>
      <xdr:pic macro="[0]!Navigate_GoBack">
        <xdr:nvPicPr>
          <xdr:cNvPr id="169" name="Picture 168" descr="Silver-Back-Button.png"/>
          <xdr:cNvPicPr>
            <a:picLocks noChangeAspect="1"/>
          </xdr:cNvPicPr>
        </xdr:nvPicPr>
        <xdr:blipFill>
          <a:blip xmlns:r="http://schemas.openxmlformats.org/officeDocument/2006/relationships" r:embed="rId5" cstate="print"/>
          <a:stretch>
            <a:fillRect/>
          </a:stretch>
        </xdr:blipFill>
        <xdr:spPr>
          <a:xfrm>
            <a:off x="485484" y="326108"/>
            <a:ext cx="342945" cy="344887"/>
          </a:xfrm>
          <a:prstGeom prst="rect">
            <a:avLst/>
          </a:prstGeom>
        </xdr:spPr>
      </xdr:pic>
      <xdr:sp macro="[0]!LBChanger" textlink="lang!C6">
        <xdr:nvSpPr>
          <xdr:cNvPr id="170" name="Definiciones"/>
          <xdr:cNvSpPr/>
        </xdr:nvSpPr>
        <xdr:spPr>
          <a:xfrm>
            <a:off x="4089157" y="319280"/>
            <a:ext cx="3229230"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171" name="1. Map1"/>
          <xdr:cNvSpPr/>
        </xdr:nvSpPr>
        <xdr:spPr>
          <a:xfrm>
            <a:off x="7309750" y="319280"/>
            <a:ext cx="3227862" cy="367756"/>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chemeClr val="bg1"/>
                </a:solidFill>
                <a:latin typeface="Arial" pitchFamily="34" charset="0"/>
                <a:ea typeface="Karla" pitchFamily="2" charset="0"/>
                <a:cs typeface="Arial" pitchFamily="34" charset="0"/>
              </a:rPr>
              <a:pPr algn="ctr"/>
              <a:t>VISUALIZACIÓN</a:t>
            </a:fld>
            <a:endParaRPr lang="en-GB" sz="1800" b="1">
              <a:solidFill>
                <a:schemeClr val="bg1"/>
              </a:solidFill>
              <a:latin typeface="Arial" pitchFamily="34" charset="0"/>
              <a:ea typeface="Karla" pitchFamily="2" charset="0"/>
              <a:cs typeface="Arial" pitchFamily="34" charset="0"/>
            </a:endParaRPr>
          </a:p>
        </xdr:txBody>
      </xdr:sp>
      <xdr:sp macro="[0]!LBChanger" textlink="lang!C8">
        <xdr:nvSpPr>
          <xdr:cNvPr id="172" name="DataDisplay"/>
          <xdr:cNvSpPr/>
        </xdr:nvSpPr>
        <xdr:spPr>
          <a:xfrm>
            <a:off x="10533774" y="319280"/>
            <a:ext cx="3227863"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173" name="header"/>
          <xdr:cNvSpPr/>
        </xdr:nvSpPr>
        <xdr:spPr>
          <a:xfrm>
            <a:off x="3403" y="6088"/>
            <a:ext cx="13764983"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11">
        <xdr:nvSpPr>
          <xdr:cNvPr id="163" name="1. Map"/>
          <xdr:cNvSpPr/>
        </xdr:nvSpPr>
        <xdr:spPr>
          <a:xfrm>
            <a:off x="6705103" y="693475"/>
            <a:ext cx="2170404" cy="270257"/>
          </a:xfrm>
          <a:prstGeom prst="rect">
            <a:avLst/>
          </a:prstGeom>
          <a:solidFill>
            <a:sysClr val="window" lastClr="FFFFFF"/>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EF358F-DED7-4FEC-88EC-24018384C608}" type="TxLink">
              <a:rPr lang="en-US" sz="1200" b="1" i="0" u="none" strike="noStrike">
                <a:solidFill>
                  <a:srgbClr val="004770"/>
                </a:solidFill>
                <a:latin typeface="Calibri"/>
                <a:cs typeface="DilleniaUPC" pitchFamily="18" charset="-34"/>
              </a:rPr>
              <a:pPr algn="ctr"/>
              <a:t>MAPA</a:t>
            </a:fld>
            <a:endParaRPr lang="en-GB" sz="1200" b="1">
              <a:solidFill>
                <a:srgbClr val="004770"/>
              </a:solidFill>
              <a:latin typeface="+mn-lt"/>
              <a:cs typeface="DilleniaUPC" pitchFamily="18" charset="-34"/>
            </a:endParaRPr>
          </a:p>
        </xdr:txBody>
      </xdr:sp>
      <xdr:sp macro="[0]!LBChanger" textlink="lang!C12">
        <xdr:nvSpPr>
          <xdr:cNvPr id="164" name="3DPlot"/>
          <xdr:cNvSpPr/>
        </xdr:nvSpPr>
        <xdr:spPr>
          <a:xfrm>
            <a:off x="8880821" y="695596"/>
            <a:ext cx="2171467"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EB77AE1-0F80-4815-91D0-1B8789161D23}" type="TxLink">
              <a:rPr lang="en-US" sz="1200" b="1" i="0" u="none" strike="noStrike">
                <a:solidFill>
                  <a:schemeClr val="bg1"/>
                </a:solidFill>
                <a:latin typeface="Calibri"/>
                <a:cs typeface="DilleniaUPC" pitchFamily="18" charset="-34"/>
              </a:rPr>
              <a:pPr algn="ctr"/>
              <a:t>GRÁFICO 3D</a:t>
            </a:fld>
            <a:endParaRPr lang="en-GB" sz="1400" b="1">
              <a:solidFill>
                <a:schemeClr val="bg1"/>
              </a:solidFill>
              <a:latin typeface="+mn-lt"/>
              <a:cs typeface="DilleniaUPC" pitchFamily="18" charset="-34"/>
            </a:endParaRPr>
          </a:p>
        </xdr:txBody>
      </xdr:sp>
      <xdr:pic macro="[0]!Generate_PDF">
        <xdr:nvPicPr>
          <xdr:cNvPr id="207" name="exp_pdf" descr="Export current view as PDF"/>
          <xdr:cNvPicPr>
            <a:picLocks noChangeAspect="1"/>
          </xdr:cNvPicPr>
        </xdr:nvPicPr>
        <xdr:blipFill>
          <a:blip xmlns:r="http://schemas.openxmlformats.org/officeDocument/2006/relationships" r:embed="rId6" cstate="print"/>
          <a:srcRect/>
          <a:stretch>
            <a:fillRect/>
          </a:stretch>
        </xdr:blipFill>
        <xdr:spPr bwMode="auto">
          <a:xfrm>
            <a:off x="13324018" y="1129345"/>
            <a:ext cx="340708" cy="331761"/>
          </a:xfrm>
          <a:prstGeom prst="rect">
            <a:avLst/>
          </a:prstGeom>
          <a:noFill/>
          <a:ln w="9525">
            <a:noFill/>
            <a:miter lim="800000"/>
            <a:headEnd/>
            <a:tailEnd/>
          </a:ln>
        </xdr:spPr>
      </xdr:pic>
      <xdr:pic macro="[0]!Generate_XL">
        <xdr:nvPicPr>
          <xdr:cNvPr id="208" name="exp_xl" descr="excel-wbg.jpg"/>
          <xdr:cNvPicPr>
            <a:picLocks noChangeAspect="1"/>
          </xdr:cNvPicPr>
        </xdr:nvPicPr>
        <xdr:blipFill>
          <a:blip xmlns:r="http://schemas.openxmlformats.org/officeDocument/2006/relationships" r:embed="rId7" cstate="print">
            <a:extLst>
              <a:ext uri="{BEBA8EAE-BF5A-486C-A8C5-ECC9F3942E4B}">
                <a14:imgProps xmlns:a14="http://schemas.microsoft.com/office/drawing/2010/main" xmlns="">
                  <a14:imgLayer r:embed="rId8">
                    <a14:imgEffect>
                      <a14:backgroundRemoval t="10000" b="90000" l="10000" r="90000"/>
                    </a14:imgEffect>
                  </a14:imgLayer>
                </a14:imgProps>
              </a:ext>
            </a:extLst>
          </a:blip>
          <a:stretch>
            <a:fillRect/>
          </a:stretch>
        </xdr:blipFill>
        <xdr:spPr>
          <a:xfrm>
            <a:off x="12964614" y="1047739"/>
            <a:ext cx="342900" cy="436897"/>
          </a:xfrm>
          <a:prstGeom prst="rect">
            <a:avLst/>
          </a:prstGeom>
        </xdr:spPr>
      </xdr:pic>
      <xdr:sp macro="" textlink="lang!C42">
        <xdr:nvSpPr>
          <xdr:cNvPr id="129" name="lbl_cnt_City_1"/>
          <xdr:cNvSpPr txBox="1"/>
        </xdr:nvSpPr>
        <xdr:spPr>
          <a:xfrm>
            <a:off x="10785910" y="1050655"/>
            <a:ext cx="1134000" cy="20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5B68CBA6-B648-4FED-9090-615BCCC0B2E0}" type="TxLink">
              <a:rPr lang="en-US" sz="1100" b="1" i="0" u="none" strike="noStrike">
                <a:solidFill>
                  <a:srgbClr val="000000"/>
                </a:solidFill>
                <a:latin typeface="Calibri"/>
                <a:ea typeface="Karla" pitchFamily="2" charset="0"/>
                <a:cs typeface="Calibri"/>
              </a:rPr>
              <a:pPr algn="l"/>
              <a:t>PONDERACIÓN</a:t>
            </a:fld>
            <a:endParaRPr lang="en-GB" sz="1000" b="1">
              <a:solidFill>
                <a:sysClr val="windowText" lastClr="000000"/>
              </a:solidFill>
              <a:latin typeface="+mn-lt"/>
              <a:ea typeface="Karla" pitchFamily="2" charset="0"/>
            </a:endParaRPr>
          </a:p>
        </xdr:txBody>
      </xdr:sp>
      <xdr:sp macro="" textlink="lang!C39">
        <xdr:nvSpPr>
          <xdr:cNvPr id="130" name="lbl_cnt_indicator"/>
          <xdr:cNvSpPr txBox="1"/>
        </xdr:nvSpPr>
        <xdr:spPr>
          <a:xfrm>
            <a:off x="170724" y="1018566"/>
            <a:ext cx="2200192" cy="217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9B25E57B-BAFA-4D1E-84C7-7FFBE61F8A07}" type="TxLink">
              <a:rPr lang="en-US" sz="1100" b="1" i="0" u="none" strike="noStrike">
                <a:solidFill>
                  <a:srgbClr val="000000"/>
                </a:solidFill>
                <a:latin typeface="Calibri"/>
                <a:ea typeface="Karla" pitchFamily="2" charset="0"/>
                <a:cs typeface="Calibri"/>
              </a:rPr>
              <a:pPr algn="l"/>
              <a:t>DESTACADO DE LAS CIUDADES</a:t>
            </a:fld>
            <a:endParaRPr lang="en-GB" sz="1000" b="1">
              <a:solidFill>
                <a:schemeClr val="tx1">
                  <a:lumMod val="95000"/>
                  <a:lumOff val="5000"/>
                </a:schemeClr>
              </a:solidFill>
              <a:latin typeface="+mn-lt"/>
              <a:ea typeface="Karla" pitchFamily="2" charset="0"/>
            </a:endParaRPr>
          </a:p>
        </xdr:txBody>
      </xdr:sp>
      <xdr:pic macro="[0]!CntCHLUp">
        <xdr:nvPicPr>
          <xdr:cNvPr id="135" name="cnt_series_up2" descr="scroll_up_small.png"/>
          <xdr:cNvPicPr>
            <a:picLocks noChangeAspect="1"/>
          </xdr:cNvPicPr>
        </xdr:nvPicPr>
        <xdr:blipFill>
          <a:blip xmlns:r="http://schemas.openxmlformats.org/officeDocument/2006/relationships" r:embed="rId1" cstate="print"/>
          <a:stretch>
            <a:fillRect/>
          </a:stretch>
        </xdr:blipFill>
        <xdr:spPr>
          <a:xfrm>
            <a:off x="1572311" y="1258840"/>
            <a:ext cx="312449" cy="121546"/>
          </a:xfrm>
          <a:prstGeom prst="rect">
            <a:avLst/>
          </a:prstGeom>
        </xdr:spPr>
      </xdr:pic>
      <xdr:pic macro="[0]!CntCHLDown">
        <xdr:nvPicPr>
          <xdr:cNvPr id="136" name="cnt_series_down2" descr="scroll_down_small.png"/>
          <xdr:cNvPicPr>
            <a:picLocks noChangeAspect="1"/>
          </xdr:cNvPicPr>
        </xdr:nvPicPr>
        <xdr:blipFill>
          <a:blip xmlns:r="http://schemas.openxmlformats.org/officeDocument/2006/relationships" r:embed="rId2" cstate="print"/>
          <a:stretch>
            <a:fillRect/>
          </a:stretch>
        </xdr:blipFill>
        <xdr:spPr>
          <a:xfrm>
            <a:off x="1572311" y="1378444"/>
            <a:ext cx="312368" cy="89946"/>
          </a:xfrm>
          <a:prstGeom prst="rect">
            <a:avLst/>
          </a:prstGeom>
        </xdr:spPr>
      </xdr:pic>
      <xdr:sp macro="" textlink="_WeightProfile">
        <xdr:nvSpPr>
          <xdr:cNvPr id="142" name="Text Box 6"/>
          <xdr:cNvSpPr txBox="1">
            <a:spLocks noChangeArrowheads="1"/>
          </xdr:cNvSpPr>
        </xdr:nvSpPr>
        <xdr:spPr bwMode="auto">
          <a:xfrm>
            <a:off x="7433971" y="1239779"/>
            <a:ext cx="3324665" cy="254006"/>
          </a:xfrm>
          <a:prstGeom prst="rect">
            <a:avLst/>
          </a:prstGeom>
          <a:noFill/>
          <a:ln w="9525">
            <a:noFill/>
            <a:miter lim="800000"/>
            <a:headEnd/>
            <a:tailEnd/>
          </a:ln>
        </xdr:spPr>
        <xdr:txBody>
          <a:bodyPr vertOverflow="clip" wrap="square" lIns="108000" tIns="27432" rIns="0" bIns="0" anchor="ctr" upright="1"/>
          <a:lstStyle/>
          <a:p>
            <a:pPr algn="l" rtl="0">
              <a:defRPr sz="1000"/>
            </a:pPr>
            <a:fld id="{6B3CEEA7-E132-459A-8C8C-F76B64C58034}" type="TxLink">
              <a:rPr lang="en-US" sz="1000" b="0" i="1" u="none" strike="noStrike" baseline="0">
                <a:solidFill>
                  <a:schemeClr val="tx1">
                    <a:lumMod val="65000"/>
                    <a:lumOff val="35000"/>
                  </a:schemeClr>
                </a:solidFill>
                <a:latin typeface="+mn-lt"/>
                <a:cs typeface="Calibri"/>
              </a:rPr>
              <a:pPr algn="l" rtl="0">
                <a:defRPr sz="1000"/>
              </a:pPr>
              <a:t> </a:t>
            </a:fld>
            <a:endParaRPr lang="en-GB" sz="1000" b="0" i="1" u="none" strike="noStrike" baseline="0">
              <a:solidFill>
                <a:schemeClr val="tx1">
                  <a:lumMod val="65000"/>
                  <a:lumOff val="35000"/>
                </a:schemeClr>
              </a:solidFill>
              <a:latin typeface="+mn-lt"/>
            </a:endParaRPr>
          </a:p>
        </xdr:txBody>
      </xdr:sp>
    </xdr:grpSp>
    <xdr:clientData fPrintsWithSheet="0"/>
  </xdr:twoCellAnchor>
</xdr:wsDr>
</file>

<file path=xl/drawings/drawing7.xml><?xml version="1.0" encoding="utf-8"?>
<c:userShapes xmlns:c="http://schemas.openxmlformats.org/drawingml/2006/chart">
  <cdr:relSizeAnchor xmlns:cdr="http://schemas.openxmlformats.org/drawingml/2006/chartDrawing">
    <cdr:from>
      <cdr:x>0.00483</cdr:x>
      <cdr:y>0.00463</cdr:y>
    </cdr:from>
    <cdr:to>
      <cdr:x>0.0338</cdr:x>
      <cdr:y>0.99537</cdr:y>
    </cdr:to>
    <cdr:sp macro="" textlink="">
      <cdr:nvSpPr>
        <cdr:cNvPr id="2049" name="Rectangle 1"/>
        <cdr:cNvSpPr>
          <a:spLocks xmlns:a="http://schemas.openxmlformats.org/drawingml/2006/main" noChangeArrowheads="1"/>
        </cdr:cNvSpPr>
      </cdr:nvSpPr>
      <cdr:spPr bwMode="auto">
        <a:xfrm xmlns:a="http://schemas.openxmlformats.org/drawingml/2006/main">
          <a:off x="50800" y="50800"/>
          <a:ext cx="304610" cy="10871200"/>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0.9662</cdr:x>
      <cdr:y>0.00463</cdr:y>
    </cdr:from>
    <cdr:to>
      <cdr:x>0.99517</cdr:x>
      <cdr:y>0.99537</cdr:y>
    </cdr:to>
    <cdr:sp macro="" textlink="">
      <cdr:nvSpPr>
        <cdr:cNvPr id="2050" name="Rectangle 2"/>
        <cdr:cNvSpPr>
          <a:spLocks xmlns:a="http://schemas.openxmlformats.org/drawingml/2006/main" noChangeArrowheads="1"/>
        </cdr:cNvSpPr>
      </cdr:nvSpPr>
      <cdr:spPr bwMode="auto">
        <a:xfrm xmlns:a="http://schemas.openxmlformats.org/drawingml/2006/main">
          <a:off x="10160191" y="50800"/>
          <a:ext cx="304609" cy="10871200"/>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0.01845</cdr:x>
      <cdr:y>0.00463</cdr:y>
    </cdr:from>
    <cdr:to>
      <cdr:x>0.99517</cdr:x>
      <cdr:y>0.03831</cdr:y>
    </cdr:to>
    <cdr:sp macro="" textlink="">
      <cdr:nvSpPr>
        <cdr:cNvPr id="2052" name="Rectangle 4"/>
        <cdr:cNvSpPr>
          <a:spLocks xmlns:a="http://schemas.openxmlformats.org/drawingml/2006/main" noChangeArrowheads="1"/>
        </cdr:cNvSpPr>
      </cdr:nvSpPr>
      <cdr:spPr bwMode="auto">
        <a:xfrm xmlns:a="http://schemas.openxmlformats.org/drawingml/2006/main" rot="-5400000">
          <a:off x="5144586" y="-4899793"/>
          <a:ext cx="369621" cy="10270807"/>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0.01449</cdr:x>
      <cdr:y>0.96193</cdr:y>
    </cdr:from>
    <cdr:to>
      <cdr:x>0.99393</cdr:x>
      <cdr:y>0.99537</cdr:y>
    </cdr:to>
    <cdr:sp macro="" textlink="">
      <cdr:nvSpPr>
        <cdr:cNvPr id="2053" name="Rectangle 5"/>
        <cdr:cNvSpPr>
          <a:spLocks xmlns:a="http://schemas.openxmlformats.org/drawingml/2006/main" noChangeArrowheads="1"/>
        </cdr:cNvSpPr>
      </cdr:nvSpPr>
      <cdr:spPr bwMode="auto">
        <a:xfrm xmlns:a="http://schemas.openxmlformats.org/drawingml/2006/main" rot="-5400000">
          <a:off x="5118608" y="5588826"/>
          <a:ext cx="366903" cy="10299446"/>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0</xdr:colOff>
      <xdr:row>2</xdr:row>
      <xdr:rowOff>813091</xdr:rowOff>
    </xdr:to>
    <xdr:grpSp>
      <xdr:nvGrpSpPr>
        <xdr:cNvPr id="23" name="MENU"/>
        <xdr:cNvGrpSpPr/>
      </xdr:nvGrpSpPr>
      <xdr:grpSpPr>
        <a:xfrm>
          <a:off x="0" y="0"/>
          <a:ext cx="13763625" cy="1515560"/>
          <a:chOff x="0" y="6059"/>
          <a:chExt cx="13785850" cy="1528525"/>
        </a:xfrm>
      </xdr:grpSpPr>
      <xdr:sp macro="" textlink="">
        <xdr:nvSpPr>
          <xdr:cNvPr id="2" name="nav_controls"/>
          <xdr:cNvSpPr/>
        </xdr:nvSpPr>
        <xdr:spPr>
          <a:xfrm>
            <a:off x="0" y="10584"/>
            <a:ext cx="13785850" cy="1524000"/>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
        <xdr:nvSpPr>
          <xdr:cNvPr id="3" name="Home1"/>
          <xdr:cNvSpPr/>
        </xdr:nvSpPr>
        <xdr:spPr>
          <a:xfrm>
            <a:off x="3618" y="320992"/>
            <a:ext cx="869005" cy="361761"/>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4" name="Home" descr="Home.png"/>
          <xdr:cNvPicPr>
            <a:picLocks noChangeAspect="1"/>
          </xdr:cNvPicPr>
        </xdr:nvPicPr>
        <xdr:blipFill>
          <a:blip xmlns:r="http://schemas.openxmlformats.org/officeDocument/2006/relationships" r:embed="rId1" cstate="print"/>
          <a:stretch>
            <a:fillRect/>
          </a:stretch>
        </xdr:blipFill>
        <xdr:spPr>
          <a:xfrm>
            <a:off x="81403" y="324547"/>
            <a:ext cx="358522" cy="339773"/>
          </a:xfrm>
          <a:prstGeom prst="rect">
            <a:avLst/>
          </a:prstGeom>
        </xdr:spPr>
      </xdr:pic>
      <xdr:pic macro="[0]!Navigate_GoBack">
        <xdr:nvPicPr>
          <xdr:cNvPr id="5" name="Picture 4" descr="Silver-Back-Button.png"/>
          <xdr:cNvPicPr>
            <a:picLocks noChangeAspect="1"/>
          </xdr:cNvPicPr>
        </xdr:nvPicPr>
        <xdr:blipFill>
          <a:blip xmlns:r="http://schemas.openxmlformats.org/officeDocument/2006/relationships" r:embed="rId2" cstate="print"/>
          <a:stretch>
            <a:fillRect/>
          </a:stretch>
        </xdr:blipFill>
        <xdr:spPr>
          <a:xfrm>
            <a:off x="493282" y="324546"/>
            <a:ext cx="342908" cy="339002"/>
          </a:xfrm>
          <a:prstGeom prst="rect">
            <a:avLst/>
          </a:prstGeom>
        </xdr:spPr>
      </xdr:pic>
      <xdr:sp macro="[0]!LBChanger" textlink="lang!C8">
        <xdr:nvSpPr>
          <xdr:cNvPr id="6" name="DataDisplay"/>
          <xdr:cNvSpPr/>
        </xdr:nvSpPr>
        <xdr:spPr>
          <a:xfrm>
            <a:off x="10540463" y="318325"/>
            <a:ext cx="3227507" cy="361761"/>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pic macro="[0]!Generate_PDF">
        <xdr:nvPicPr>
          <xdr:cNvPr id="7"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30400" y="1119702"/>
            <a:ext cx="340671" cy="330172"/>
          </a:xfrm>
          <a:prstGeom prst="rect">
            <a:avLst/>
          </a:prstGeom>
          <a:noFill/>
          <a:ln w="9525">
            <a:noFill/>
            <a:miter lim="800000"/>
            <a:headEnd/>
            <a:tailEnd/>
          </a:ln>
        </xdr:spPr>
      </xdr:pic>
      <xdr:pic macro="[0]!Generate_XL">
        <xdr:nvPicPr>
          <xdr:cNvPr id="8"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71043" y="1038487"/>
            <a:ext cx="342862" cy="434804"/>
          </a:xfrm>
          <a:prstGeom prst="rect">
            <a:avLst/>
          </a:prstGeom>
        </xdr:spPr>
      </xdr:pic>
      <xdr:pic macro="[0]!CityUp">
        <xdr:nvPicPr>
          <xdr:cNvPr id="9" name="cnt_series_up2" descr="scroll_up_small.png"/>
          <xdr:cNvPicPr>
            <a:picLocks noChangeAspect="1"/>
          </xdr:cNvPicPr>
        </xdr:nvPicPr>
        <xdr:blipFill>
          <a:blip xmlns:r="http://schemas.openxmlformats.org/officeDocument/2006/relationships" r:embed="rId6" cstate="print"/>
          <a:stretch>
            <a:fillRect/>
          </a:stretch>
        </xdr:blipFill>
        <xdr:spPr>
          <a:xfrm>
            <a:off x="1636755" y="1270318"/>
            <a:ext cx="305254" cy="121768"/>
          </a:xfrm>
          <a:prstGeom prst="rect">
            <a:avLst/>
          </a:prstGeom>
        </xdr:spPr>
      </xdr:pic>
      <xdr:pic macro="[0]!CityDown">
        <xdr:nvPicPr>
          <xdr:cNvPr id="10" name="cnt_series_down2" descr="scroll_down_small.png"/>
          <xdr:cNvPicPr>
            <a:picLocks noChangeAspect="1"/>
          </xdr:cNvPicPr>
        </xdr:nvPicPr>
        <xdr:blipFill>
          <a:blip xmlns:r="http://schemas.openxmlformats.org/officeDocument/2006/relationships" r:embed="rId7" cstate="print"/>
          <a:stretch>
            <a:fillRect/>
          </a:stretch>
        </xdr:blipFill>
        <xdr:spPr>
          <a:xfrm>
            <a:off x="1636755" y="1390141"/>
            <a:ext cx="305173" cy="95437"/>
          </a:xfrm>
          <a:prstGeom prst="rect">
            <a:avLst/>
          </a:prstGeom>
        </xdr:spPr>
      </xdr:pic>
      <xdr:sp macro="[0]!LBChanger" textlink="lang!C27">
        <xdr:nvSpPr>
          <xdr:cNvPr id="14" name="CDescription"/>
          <xdr:cNvSpPr/>
        </xdr:nvSpPr>
        <xdr:spPr>
          <a:xfrm>
            <a:off x="5713797" y="673865"/>
            <a:ext cx="2175456" cy="271883"/>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2645ED-A594-4389-A709-400818A6D16B}" type="TxLink">
              <a:rPr lang="en-US" sz="1100" b="1" i="0" u="none" strike="noStrike">
                <a:solidFill>
                  <a:srgbClr val="004770"/>
                </a:solidFill>
                <a:latin typeface="Calibri"/>
                <a:cs typeface="DilleniaUPC" pitchFamily="18" charset="-34"/>
              </a:rPr>
              <a:pPr algn="ctr"/>
              <a:t>INDICADORES CUALITATIVOS</a:t>
            </a:fld>
            <a:endParaRPr lang="en-GB" sz="1200" b="1">
              <a:solidFill>
                <a:srgbClr val="004770"/>
              </a:solidFill>
              <a:latin typeface="+mn-lt"/>
              <a:cs typeface="DilleniaUPC" pitchFamily="18" charset="-34"/>
            </a:endParaRPr>
          </a:p>
        </xdr:txBody>
      </xdr:sp>
      <xdr:sp macro="[0]!LBChanger" textlink="lang!C28">
        <xdr:nvSpPr>
          <xdr:cNvPr id="15" name="C_Additional_Desc"/>
          <xdr:cNvSpPr/>
        </xdr:nvSpPr>
        <xdr:spPr>
          <a:xfrm>
            <a:off x="7889273" y="673612"/>
            <a:ext cx="2165936" cy="271883"/>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1EA6C1-B417-4ABB-B020-EDE7C8F6ABCD}" type="TxLink">
              <a:rPr lang="en-US" sz="1100" b="1" i="0" u="none" strike="noStrike">
                <a:solidFill>
                  <a:srgbClr val="004770"/>
                </a:solidFill>
                <a:latin typeface="Calibri"/>
                <a:cs typeface="DilleniaUPC" pitchFamily="18" charset="-34"/>
              </a:rPr>
              <a:pPr algn="ctr"/>
              <a:t>INDICADORES CUANTITATIVOS</a:t>
            </a:fld>
            <a:endParaRPr lang="en-GB" sz="1400" b="1">
              <a:solidFill>
                <a:srgbClr val="004770"/>
              </a:solidFill>
              <a:latin typeface="+mn-lt"/>
              <a:cs typeface="DilleniaUPC" pitchFamily="18" charset="-34"/>
            </a:endParaRPr>
          </a:p>
        </xdr:txBody>
      </xdr:sp>
      <xdr:sp macro="" textlink="lang!C49">
        <xdr:nvSpPr>
          <xdr:cNvPr id="16" name="lbl_cnt_City_1"/>
          <xdr:cNvSpPr txBox="1"/>
        </xdr:nvSpPr>
        <xdr:spPr>
          <a:xfrm>
            <a:off x="184150" y="1038928"/>
            <a:ext cx="1413505" cy="210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37CA8B-0DA2-41C2-BDDB-0DE9FA02687C}" type="TxLink">
              <a:rPr lang="en-US" sz="1100" b="1" i="0" u="none" strike="noStrike">
                <a:solidFill>
                  <a:srgbClr val="000000"/>
                </a:solidFill>
                <a:latin typeface="Calibri"/>
                <a:ea typeface="Karla" pitchFamily="2" charset="0"/>
                <a:cs typeface="Calibri"/>
              </a:rPr>
              <a:pPr/>
              <a:t>SELECCIONE CIUDAD</a:t>
            </a:fld>
            <a:endParaRPr lang="en-GB" sz="1000" b="1">
              <a:solidFill>
                <a:sysClr val="windowText" lastClr="000000"/>
              </a:solidFill>
              <a:latin typeface="+mn-lt"/>
              <a:ea typeface="Karla" pitchFamily="2" charset="0"/>
            </a:endParaRPr>
          </a:p>
        </xdr:txBody>
      </xdr:sp>
      <xdr:sp macro="[0]!LBChanger" textlink="lang!C26">
        <xdr:nvSpPr>
          <xdr:cNvPr id="17" name="Resumen_Ciudad"/>
          <xdr:cNvSpPr/>
        </xdr:nvSpPr>
        <xdr:spPr>
          <a:xfrm>
            <a:off x="3548131" y="673771"/>
            <a:ext cx="2171228" cy="271883"/>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65ED4C-58FD-4876-97E1-DE191061D794}" type="TxLink">
              <a:rPr lang="en-US" sz="1100" b="1" i="0" u="none" strike="noStrike">
                <a:solidFill>
                  <a:srgbClr val="004770"/>
                </a:solidFill>
                <a:latin typeface="Calibri"/>
                <a:cs typeface="DilleniaUPC" pitchFamily="18" charset="-34"/>
              </a:rPr>
              <a:pPr algn="ctr"/>
              <a:t>RESUMEN CIUDAD</a:t>
            </a:fld>
            <a:endParaRPr lang="en-GB" sz="1400" b="1">
              <a:solidFill>
                <a:srgbClr val="004770"/>
              </a:solidFill>
              <a:latin typeface="+mn-lt"/>
              <a:cs typeface="DilleniaUPC" pitchFamily="18" charset="-34"/>
            </a:endParaRPr>
          </a:p>
        </xdr:txBody>
      </xdr:sp>
      <xdr:sp macro="[0]!LBChanger" textlink="lang!C25">
        <xdr:nvSpPr>
          <xdr:cNvPr id="18" name="Definiciones"/>
          <xdr:cNvSpPr/>
        </xdr:nvSpPr>
        <xdr:spPr>
          <a:xfrm>
            <a:off x="1377343" y="672703"/>
            <a:ext cx="2171228" cy="271883"/>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0F49BC-2EF5-482A-B7E1-CBA43F8EF33D}" type="TxLink">
              <a:rPr lang="en-US" sz="1100" b="1" i="0" u="none" strike="noStrike">
                <a:solidFill>
                  <a:schemeClr val="bg1"/>
                </a:solidFill>
                <a:latin typeface="Calibri"/>
                <a:cs typeface="DilleniaUPC" pitchFamily="18" charset="-34"/>
              </a:rPr>
              <a:pPr algn="ctr"/>
              <a:t>DEFINICIONES</a:t>
            </a:fld>
            <a:endParaRPr lang="en-GB" sz="1400" b="1">
              <a:solidFill>
                <a:schemeClr val="bg1"/>
              </a:solidFill>
              <a:latin typeface="+mn-lt"/>
              <a:cs typeface="DilleniaUPC" pitchFamily="18" charset="-34"/>
            </a:endParaRPr>
          </a:p>
        </xdr:txBody>
      </xdr:sp>
      <xdr:sp macro="[0]!LBChanger" textlink="lang!C5">
        <xdr:nvSpPr>
          <xdr:cNvPr id="19" name="Summary"/>
          <xdr:cNvSpPr/>
        </xdr:nvSpPr>
        <xdr:spPr>
          <a:xfrm>
            <a:off x="869839" y="320992"/>
            <a:ext cx="3225046" cy="361761"/>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0]!LBChanger" textlink="lang!C6">
        <xdr:nvSpPr>
          <xdr:cNvPr id="20" name="CDescription1"/>
          <xdr:cNvSpPr/>
        </xdr:nvSpPr>
        <xdr:spPr>
          <a:xfrm>
            <a:off x="4096557" y="318325"/>
            <a:ext cx="3228874" cy="361761"/>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chemeClr val="bg1"/>
                </a:solidFill>
                <a:latin typeface="Arial" pitchFamily="34" charset="0"/>
                <a:ea typeface="Karla" pitchFamily="2" charset="0"/>
                <a:cs typeface="Arial" pitchFamily="34" charset="0"/>
              </a:rPr>
              <a:pPr algn="ctr"/>
              <a:t>EXPLORAR CIUDADES</a:t>
            </a:fld>
            <a:endParaRPr lang="en-GB" sz="1800" b="1">
              <a:solidFill>
                <a:schemeClr val="bg1"/>
              </a:solidFill>
              <a:latin typeface="Arial" pitchFamily="34" charset="0"/>
              <a:ea typeface="Karla" pitchFamily="2" charset="0"/>
              <a:cs typeface="Arial" pitchFamily="34" charset="0"/>
            </a:endParaRPr>
          </a:p>
        </xdr:txBody>
      </xdr:sp>
      <xdr:sp macro="[0]!LBChanger" textlink="lang!C7">
        <xdr:nvSpPr>
          <xdr:cNvPr id="21" name="1. Map"/>
          <xdr:cNvSpPr/>
        </xdr:nvSpPr>
        <xdr:spPr>
          <a:xfrm>
            <a:off x="7316795" y="318325"/>
            <a:ext cx="3227506" cy="361761"/>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22" name="header"/>
          <xdr:cNvSpPr/>
        </xdr:nvSpPr>
        <xdr:spPr>
          <a:xfrm>
            <a:off x="7021" y="6059"/>
            <a:ext cx="13767698" cy="318800"/>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grp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12</xdr:col>
      <xdr:colOff>84668</xdr:colOff>
      <xdr:row>5</xdr:row>
      <xdr:rowOff>95234</xdr:rowOff>
    </xdr:from>
    <xdr:to>
      <xdr:col>23</xdr:col>
      <xdr:colOff>494243</xdr:colOff>
      <xdr:row>24</xdr:row>
      <xdr:rowOff>190484</xdr:rowOff>
    </xdr:to>
    <xdr:graphicFrame macro="">
      <xdr:nvGraphicFramePr>
        <xdr:cNvPr id="32" name="Chart 3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21696</xdr:colOff>
      <xdr:row>60</xdr:row>
      <xdr:rowOff>13302</xdr:rowOff>
    </xdr:from>
    <xdr:to>
      <xdr:col>4</xdr:col>
      <xdr:colOff>837148</xdr:colOff>
      <xdr:row>61</xdr:row>
      <xdr:rowOff>11334</xdr:rowOff>
    </xdr:to>
    <xdr:sp macro="[0]!returntop" textlink="lang!C112">
      <xdr:nvSpPr>
        <xdr:cNvPr id="33" name="go_top"/>
        <xdr:cNvSpPr txBox="1"/>
      </xdr:nvSpPr>
      <xdr:spPr>
        <a:xfrm>
          <a:off x="202671" y="16939227"/>
          <a:ext cx="815452" cy="188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DCCCF2AB-423F-4E8A-8EFD-D257F73E234E}" type="TxLink">
            <a:rPr lang="en-US" sz="1100" b="0" i="0" u="none" strike="noStrike" baseline="0">
              <a:solidFill>
                <a:schemeClr val="accent1">
                  <a:lumMod val="75000"/>
                </a:schemeClr>
              </a:solidFill>
              <a:latin typeface="Calibri"/>
              <a:ea typeface="Karla" pitchFamily="2" charset="0"/>
              <a:cs typeface="Calibri"/>
            </a:rPr>
            <a:pPr algn="l" rtl="0">
              <a:defRPr sz="1000"/>
            </a:pPr>
            <a:t>Volver arriba</a:t>
          </a:fld>
          <a:endParaRPr lang="en-GB" sz="1100" b="1" i="0" u="sng" strike="noStrike" baseline="0">
            <a:solidFill>
              <a:schemeClr val="accent1">
                <a:lumMod val="75000"/>
              </a:schemeClr>
            </a:solidFill>
            <a:latin typeface="+mn-lt"/>
            <a:ea typeface="Karla" pitchFamily="2" charset="0"/>
          </a:endParaRPr>
        </a:p>
      </xdr:txBody>
    </xdr:sp>
    <xdr:clientData fPrintsWithSheet="0"/>
  </xdr:twoCellAnchor>
  <xdr:twoCellAnchor editAs="absolute">
    <xdr:from>
      <xdr:col>22</xdr:col>
      <xdr:colOff>413808</xdr:colOff>
      <xdr:row>17</xdr:row>
      <xdr:rowOff>174421</xdr:rowOff>
    </xdr:from>
    <xdr:to>
      <xdr:col>23</xdr:col>
      <xdr:colOff>467260</xdr:colOff>
      <xdr:row>17</xdr:row>
      <xdr:rowOff>181045</xdr:rowOff>
    </xdr:to>
    <xdr:sp macro="[0]!returntop" textlink="lang!C112">
      <xdr:nvSpPr>
        <xdr:cNvPr id="34" name="go_top"/>
        <xdr:cNvSpPr txBox="1"/>
      </xdr:nvSpPr>
      <xdr:spPr>
        <a:xfrm>
          <a:off x="12891558" y="8444503"/>
          <a:ext cx="815452" cy="35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DCCCF2AB-423F-4E8A-8EFD-D257F73E234E}" type="TxLink">
            <a:rPr lang="en-US" sz="1100" b="0" i="0" u="none" strike="noStrike" baseline="0">
              <a:solidFill>
                <a:schemeClr val="accent1">
                  <a:lumMod val="75000"/>
                </a:schemeClr>
              </a:solidFill>
              <a:latin typeface="Calibri"/>
              <a:ea typeface="Karla" pitchFamily="2" charset="0"/>
              <a:cs typeface="Calibri"/>
            </a:rPr>
            <a:pPr algn="l" rtl="0">
              <a:defRPr sz="1000"/>
            </a:pPr>
            <a:t>Volver arriba</a:t>
          </a:fld>
          <a:endParaRPr lang="en-GB" sz="1100" b="1" i="0" u="sng" strike="noStrike" baseline="0">
            <a:solidFill>
              <a:schemeClr val="accent1">
                <a:lumMod val="75000"/>
              </a:schemeClr>
            </a:solidFill>
            <a:latin typeface="+mn-lt"/>
            <a:ea typeface="Karla" pitchFamily="2" charset="0"/>
          </a:endParaRPr>
        </a:p>
      </xdr:txBody>
    </xdr:sp>
    <xdr:clientData fPrintsWithSheet="0"/>
  </xdr:twoCellAnchor>
  <xdr:twoCellAnchor editAs="absolute">
    <xdr:from>
      <xdr:col>0</xdr:col>
      <xdr:colOff>0</xdr:colOff>
      <xdr:row>0</xdr:row>
      <xdr:rowOff>0</xdr:rowOff>
    </xdr:from>
    <xdr:to>
      <xdr:col>23</xdr:col>
      <xdr:colOff>537104</xdr:colOff>
      <xdr:row>2</xdr:row>
      <xdr:rowOff>814350</xdr:rowOff>
    </xdr:to>
    <xdr:grpSp>
      <xdr:nvGrpSpPr>
        <xdr:cNvPr id="26" name="MENU"/>
        <xdr:cNvGrpSpPr/>
      </xdr:nvGrpSpPr>
      <xdr:grpSpPr>
        <a:xfrm>
          <a:off x="0" y="0"/>
          <a:ext cx="13776854" cy="1516819"/>
          <a:chOff x="0" y="0"/>
          <a:chExt cx="13776854" cy="1567592"/>
        </a:xfrm>
      </xdr:grpSpPr>
      <xdr:sp macro="" textlink="">
        <xdr:nvSpPr>
          <xdr:cNvPr id="36" name="nav_controls"/>
          <xdr:cNvSpPr/>
        </xdr:nvSpPr>
        <xdr:spPr>
          <a:xfrm>
            <a:off x="0" y="4623"/>
            <a:ext cx="13776854" cy="1562969"/>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
        <xdr:nvSpPr>
          <xdr:cNvPr id="37" name="Home1"/>
          <xdr:cNvSpPr/>
        </xdr:nvSpPr>
        <xdr:spPr>
          <a:xfrm>
            <a:off x="3614" y="311975"/>
            <a:ext cx="864771" cy="375479"/>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38" name="Home" descr="Home.png"/>
          <xdr:cNvPicPr>
            <a:picLocks noChangeAspect="1"/>
          </xdr:cNvPicPr>
        </xdr:nvPicPr>
        <xdr:blipFill>
          <a:blip xmlns:r="http://schemas.openxmlformats.org/officeDocument/2006/relationships" r:embed="rId2" cstate="print"/>
          <a:stretch>
            <a:fillRect/>
          </a:stretch>
        </xdr:blipFill>
        <xdr:spPr>
          <a:xfrm>
            <a:off x="81311" y="325408"/>
            <a:ext cx="354863" cy="353014"/>
          </a:xfrm>
          <a:prstGeom prst="rect">
            <a:avLst/>
          </a:prstGeom>
        </xdr:spPr>
      </xdr:pic>
      <xdr:pic macro="[0]!Navigate_GoBack">
        <xdr:nvPicPr>
          <xdr:cNvPr id="39" name="Picture 38" descr="Silver-Back-Button.png"/>
          <xdr:cNvPicPr>
            <a:picLocks noChangeAspect="1"/>
          </xdr:cNvPicPr>
        </xdr:nvPicPr>
        <xdr:blipFill>
          <a:blip xmlns:r="http://schemas.openxmlformats.org/officeDocument/2006/relationships" r:embed="rId3" cstate="print"/>
          <a:stretch>
            <a:fillRect/>
          </a:stretch>
        </xdr:blipFill>
        <xdr:spPr>
          <a:xfrm>
            <a:off x="489471" y="325407"/>
            <a:ext cx="342522" cy="352226"/>
          </a:xfrm>
          <a:prstGeom prst="rect">
            <a:avLst/>
          </a:prstGeom>
        </xdr:spPr>
      </xdr:pic>
      <xdr:sp macro="[0]!LBChanger" textlink="lang!C8">
        <xdr:nvSpPr>
          <xdr:cNvPr id="40" name="DataDisplay"/>
          <xdr:cNvSpPr/>
        </xdr:nvSpPr>
        <xdr:spPr>
          <a:xfrm>
            <a:off x="10543259" y="309251"/>
            <a:ext cx="3215735" cy="375479"/>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pic macro="[0]!Generate_PDF">
        <xdr:nvPicPr>
          <xdr:cNvPr id="41" name="exp_pdf" descr="Export current view as PDF"/>
          <xdr:cNvPicPr>
            <a:picLocks noChangeAspect="1"/>
          </xdr:cNvPicPr>
        </xdr:nvPicPr>
        <xdr:blipFill>
          <a:blip xmlns:r="http://schemas.openxmlformats.org/officeDocument/2006/relationships" r:embed="rId4" cstate="print"/>
          <a:srcRect/>
          <a:stretch>
            <a:fillRect/>
          </a:stretch>
        </xdr:blipFill>
        <xdr:spPr bwMode="auto">
          <a:xfrm>
            <a:off x="13318659" y="1143696"/>
            <a:ext cx="340288" cy="337345"/>
          </a:xfrm>
          <a:prstGeom prst="rect">
            <a:avLst/>
          </a:prstGeom>
          <a:noFill/>
          <a:ln w="9525">
            <a:noFill/>
            <a:miter lim="800000"/>
            <a:headEnd/>
            <a:tailEnd/>
          </a:ln>
        </xdr:spPr>
      </xdr:pic>
      <xdr:pic macro="[0]!Generate_XL">
        <xdr:nvPicPr>
          <xdr:cNvPr id="42" name="exp_xl" descr="excel-wbg.jpg"/>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xmlns="">
                  <a14:imgLayer r:embed="rId6">
                    <a14:imgEffect>
                      <a14:backgroundRemoval t="10000" b="90000" l="10000" r="90000"/>
                    </a14:imgEffect>
                  </a14:imgLayer>
                </a14:imgProps>
              </a:ext>
            </a:extLst>
          </a:blip>
          <a:stretch>
            <a:fillRect/>
          </a:stretch>
        </xdr:blipFill>
        <xdr:spPr>
          <a:xfrm>
            <a:off x="12959707" y="1060717"/>
            <a:ext cx="342476" cy="444250"/>
          </a:xfrm>
          <a:prstGeom prst="rect">
            <a:avLst/>
          </a:prstGeom>
        </xdr:spPr>
      </xdr:pic>
      <xdr:pic macro="[0]!CityUp">
        <xdr:nvPicPr>
          <xdr:cNvPr id="43" name="cnt_series_up2" descr="scroll_up_small.png"/>
          <xdr:cNvPicPr>
            <a:picLocks noChangeAspect="1"/>
          </xdr:cNvPicPr>
        </xdr:nvPicPr>
        <xdr:blipFill>
          <a:blip xmlns:r="http://schemas.openxmlformats.org/officeDocument/2006/relationships" r:embed="rId7" cstate="print"/>
          <a:stretch>
            <a:fillRect/>
          </a:stretch>
        </xdr:blipFill>
        <xdr:spPr>
          <a:xfrm>
            <a:off x="1631658" y="1289272"/>
            <a:ext cx="304911" cy="124414"/>
          </a:xfrm>
          <a:prstGeom prst="rect">
            <a:avLst/>
          </a:prstGeom>
        </xdr:spPr>
      </xdr:pic>
      <xdr:pic macro="[0]!CityDown">
        <xdr:nvPicPr>
          <xdr:cNvPr id="44" name="cnt_series_down2" descr="scroll_down_small.png"/>
          <xdr:cNvPicPr>
            <a:picLocks noChangeAspect="1"/>
          </xdr:cNvPicPr>
        </xdr:nvPicPr>
        <xdr:blipFill>
          <a:blip xmlns:r="http://schemas.openxmlformats.org/officeDocument/2006/relationships" r:embed="rId8" cstate="print"/>
          <a:stretch>
            <a:fillRect/>
          </a:stretch>
        </xdr:blipFill>
        <xdr:spPr>
          <a:xfrm>
            <a:off x="1631658" y="1411700"/>
            <a:ext cx="304830" cy="97510"/>
          </a:xfrm>
          <a:prstGeom prst="rect">
            <a:avLst/>
          </a:prstGeom>
        </xdr:spPr>
      </xdr:pic>
      <xdr:sp macro="[0]!LBChanger" textlink="lang!C27">
        <xdr:nvSpPr>
          <xdr:cNvPr id="45" name="CDescription"/>
          <xdr:cNvSpPr/>
        </xdr:nvSpPr>
        <xdr:spPr>
          <a:xfrm>
            <a:off x="5706555" y="683437"/>
            <a:ext cx="2182778" cy="277789"/>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2645ED-A594-4389-A709-400818A6D16B}" type="TxLink">
              <a:rPr lang="en-US" sz="1100" b="1" i="0" u="none" strike="noStrike">
                <a:solidFill>
                  <a:srgbClr val="004770"/>
                </a:solidFill>
                <a:latin typeface="Calibri"/>
                <a:cs typeface="DilleniaUPC" pitchFamily="18" charset="-34"/>
              </a:rPr>
              <a:pPr algn="ctr"/>
              <a:t>INDICADORES CUALITATIVOS</a:t>
            </a:fld>
            <a:endParaRPr lang="en-GB" sz="1200" b="1">
              <a:solidFill>
                <a:srgbClr val="004770"/>
              </a:solidFill>
              <a:latin typeface="+mn-lt"/>
              <a:cs typeface="DilleniaUPC" pitchFamily="18" charset="-34"/>
            </a:endParaRPr>
          </a:p>
        </xdr:txBody>
      </xdr:sp>
      <xdr:sp macro="[0]!LBChanger" textlink="lang!C28">
        <xdr:nvSpPr>
          <xdr:cNvPr id="46" name="C_Additional_Desc"/>
          <xdr:cNvSpPr/>
        </xdr:nvSpPr>
        <xdr:spPr>
          <a:xfrm>
            <a:off x="7889353" y="680347"/>
            <a:ext cx="2169198" cy="277789"/>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1EA6C1-B417-4ABB-B020-EDE7C8F6ABCD}" type="TxLink">
              <a:rPr lang="en-US" sz="1100" b="1" i="0" u="none" strike="noStrike">
                <a:solidFill>
                  <a:srgbClr val="004770"/>
                </a:solidFill>
                <a:latin typeface="Calibri"/>
                <a:cs typeface="DilleniaUPC" pitchFamily="18" charset="-34"/>
              </a:rPr>
              <a:pPr algn="ctr"/>
              <a:t>INDICADORES CUANTITATIVOS</a:t>
            </a:fld>
            <a:endParaRPr lang="en-GB" sz="1400" b="1">
              <a:solidFill>
                <a:srgbClr val="004770"/>
              </a:solidFill>
              <a:latin typeface="+mn-lt"/>
              <a:cs typeface="DilleniaUPC" pitchFamily="18" charset="-34"/>
            </a:endParaRPr>
          </a:p>
        </xdr:txBody>
      </xdr:sp>
      <xdr:sp macro="" textlink="lang!C49">
        <xdr:nvSpPr>
          <xdr:cNvPr id="47" name="lbl_cnt_City_1"/>
          <xdr:cNvSpPr txBox="1"/>
        </xdr:nvSpPr>
        <xdr:spPr>
          <a:xfrm>
            <a:off x="179917" y="1061167"/>
            <a:ext cx="1412685" cy="214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37CA8B-0DA2-41C2-BDDB-0DE9FA02687C}" type="TxLink">
              <a:rPr lang="en-US" sz="1100" b="1" i="0" u="none" strike="noStrike">
                <a:solidFill>
                  <a:srgbClr val="000000"/>
                </a:solidFill>
                <a:latin typeface="Calibri"/>
                <a:ea typeface="Karla" pitchFamily="2" charset="0"/>
                <a:cs typeface="Calibri"/>
              </a:rPr>
              <a:pPr/>
              <a:t>SELECCIONE CIUDAD</a:t>
            </a:fld>
            <a:endParaRPr lang="en-GB" sz="1000" b="1">
              <a:solidFill>
                <a:sysClr val="windowText" lastClr="000000"/>
              </a:solidFill>
              <a:latin typeface="+mn-lt"/>
              <a:ea typeface="Karla" pitchFamily="2" charset="0"/>
            </a:endParaRPr>
          </a:p>
        </xdr:txBody>
      </xdr:sp>
      <xdr:sp macro="[0]!LBChanger" textlink="lang!C26">
        <xdr:nvSpPr>
          <xdr:cNvPr id="48" name="Resumen_Ciudad"/>
          <xdr:cNvSpPr/>
        </xdr:nvSpPr>
        <xdr:spPr>
          <a:xfrm>
            <a:off x="3540883" y="688077"/>
            <a:ext cx="2171227" cy="277789"/>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65ED4C-58FD-4876-97E1-DE191061D794}" type="TxLink">
              <a:rPr lang="en-US" sz="1100" b="1" i="0" u="none" strike="noStrike">
                <a:solidFill>
                  <a:schemeClr val="bg1"/>
                </a:solidFill>
                <a:latin typeface="Calibri"/>
                <a:cs typeface="DilleniaUPC" pitchFamily="18" charset="-34"/>
              </a:rPr>
              <a:pPr algn="ctr"/>
              <a:t>RESUMEN CIUDAD</a:t>
            </a:fld>
            <a:endParaRPr lang="en-GB" sz="1400" b="1">
              <a:solidFill>
                <a:schemeClr val="bg1"/>
              </a:solidFill>
              <a:latin typeface="+mn-lt"/>
              <a:cs typeface="DilleniaUPC" pitchFamily="18" charset="-34"/>
            </a:endParaRPr>
          </a:p>
        </xdr:txBody>
      </xdr:sp>
      <xdr:sp macro="[0]!LBChanger" textlink="lang!C25">
        <xdr:nvSpPr>
          <xdr:cNvPr id="49" name="Definiciones"/>
          <xdr:cNvSpPr/>
        </xdr:nvSpPr>
        <xdr:spPr>
          <a:xfrm>
            <a:off x="1372537" y="686986"/>
            <a:ext cx="2168785" cy="277789"/>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0F49BC-2EF5-482A-B7E1-CBA43F8EF33D}" type="TxLink">
              <a:rPr lang="en-US" sz="1100" b="1" i="0" u="none" strike="noStrike">
                <a:solidFill>
                  <a:srgbClr val="004770"/>
                </a:solidFill>
                <a:latin typeface="Calibri"/>
                <a:cs typeface="DilleniaUPC" pitchFamily="18" charset="-34"/>
              </a:rPr>
              <a:pPr algn="ctr"/>
              <a:t>DEFINICIONES</a:t>
            </a:fld>
            <a:endParaRPr lang="en-GB" sz="1400" b="1">
              <a:solidFill>
                <a:srgbClr val="004770"/>
              </a:solidFill>
              <a:latin typeface="+mn-lt"/>
              <a:cs typeface="DilleniaUPC" pitchFamily="18" charset="-34"/>
            </a:endParaRPr>
          </a:p>
        </xdr:txBody>
      </xdr:sp>
      <xdr:sp macro="[0]!LBChanger" textlink="lang!C5">
        <xdr:nvSpPr>
          <xdr:cNvPr id="50" name="Summary"/>
          <xdr:cNvSpPr/>
        </xdr:nvSpPr>
        <xdr:spPr>
          <a:xfrm>
            <a:off x="865604" y="311975"/>
            <a:ext cx="3221418" cy="375479"/>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0]!LBChanger" textlink="lang!C6">
        <xdr:nvSpPr>
          <xdr:cNvPr id="51" name="CDescription1"/>
          <xdr:cNvSpPr/>
        </xdr:nvSpPr>
        <xdr:spPr>
          <a:xfrm>
            <a:off x="4088692" y="309251"/>
            <a:ext cx="3237453" cy="375479"/>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chemeClr val="bg1"/>
                </a:solidFill>
                <a:latin typeface="Arial" pitchFamily="34" charset="0"/>
                <a:ea typeface="Karla" pitchFamily="2" charset="0"/>
                <a:cs typeface="Arial" pitchFamily="34" charset="0"/>
              </a:rPr>
              <a:pPr algn="ctr"/>
              <a:t>EXPLORAR CIUDADES</a:t>
            </a:fld>
            <a:endParaRPr lang="en-GB" sz="1800" b="1">
              <a:solidFill>
                <a:schemeClr val="bg1"/>
              </a:solidFill>
              <a:latin typeface="Arial" pitchFamily="34" charset="0"/>
              <a:ea typeface="Karla" pitchFamily="2" charset="0"/>
              <a:cs typeface="Arial" pitchFamily="34" charset="0"/>
            </a:endParaRPr>
          </a:p>
        </xdr:txBody>
      </xdr:sp>
      <xdr:sp macro="[0]!LBChanger" textlink="lang!C7">
        <xdr:nvSpPr>
          <xdr:cNvPr id="52" name="1. Map"/>
          <xdr:cNvSpPr/>
        </xdr:nvSpPr>
        <xdr:spPr>
          <a:xfrm>
            <a:off x="7317519" y="309251"/>
            <a:ext cx="3229574" cy="375479"/>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53" name="header"/>
          <xdr:cNvSpPr/>
        </xdr:nvSpPr>
        <xdr:spPr>
          <a:xfrm>
            <a:off x="7013" y="0"/>
            <a:ext cx="13758722" cy="325727"/>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 textlink="lang!C42">
        <xdr:nvSpPr>
          <xdr:cNvPr id="54" name="lbl_cnt_City_1"/>
          <xdr:cNvSpPr txBox="1"/>
        </xdr:nvSpPr>
        <xdr:spPr>
          <a:xfrm>
            <a:off x="10445750" y="1059642"/>
            <a:ext cx="1883833" cy="300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4FB76E56-BFA6-4C51-AD70-B08F71178CC5}" type="TxLink">
              <a:rPr lang="en-US" sz="1100" b="1" i="0" u="none" strike="noStrike">
                <a:solidFill>
                  <a:srgbClr val="000000"/>
                </a:solidFill>
                <a:latin typeface="Calibri"/>
                <a:cs typeface="Calibri"/>
              </a:rPr>
              <a:pPr/>
              <a:t>PONDERACIÓN</a:t>
            </a:fld>
            <a:endParaRPr lang="en-GB" sz="1100" b="1">
              <a:solidFill>
                <a:sysClr val="windowText" lastClr="000000"/>
              </a:solidFill>
              <a:latin typeface="+mn-lt"/>
            </a:endParaRP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190500</xdr:colOff>
      <xdr:row>2</xdr:row>
      <xdr:rowOff>813091</xdr:rowOff>
    </xdr:to>
    <xdr:grpSp>
      <xdr:nvGrpSpPr>
        <xdr:cNvPr id="29" name="MENU"/>
        <xdr:cNvGrpSpPr/>
      </xdr:nvGrpSpPr>
      <xdr:grpSpPr>
        <a:xfrm>
          <a:off x="0" y="0"/>
          <a:ext cx="13775531" cy="1515560"/>
          <a:chOff x="0" y="6059"/>
          <a:chExt cx="13779500" cy="1517941"/>
        </a:xfrm>
      </xdr:grpSpPr>
      <xdr:sp macro="" textlink="">
        <xdr:nvSpPr>
          <xdr:cNvPr id="57" name="nav_controls"/>
          <xdr:cNvSpPr/>
        </xdr:nvSpPr>
        <xdr:spPr>
          <a:xfrm>
            <a:off x="0" y="10584"/>
            <a:ext cx="13779500" cy="151341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
        <xdr:nvSpPr>
          <xdr:cNvPr id="59" name="Home1"/>
          <xdr:cNvSpPr/>
        </xdr:nvSpPr>
        <xdr:spPr>
          <a:xfrm>
            <a:off x="3618" y="320925"/>
            <a:ext cx="864772" cy="365994"/>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60" name="Home" descr="Home.png"/>
          <xdr:cNvPicPr>
            <a:picLocks noChangeAspect="1"/>
          </xdr:cNvPicPr>
        </xdr:nvPicPr>
        <xdr:blipFill>
          <a:blip xmlns:r="http://schemas.openxmlformats.org/officeDocument/2006/relationships" r:embed="rId1" cstate="print"/>
          <a:stretch>
            <a:fillRect/>
          </a:stretch>
        </xdr:blipFill>
        <xdr:spPr>
          <a:xfrm>
            <a:off x="81403" y="331161"/>
            <a:ext cx="354289" cy="337392"/>
          </a:xfrm>
          <a:prstGeom prst="rect">
            <a:avLst/>
          </a:prstGeom>
        </xdr:spPr>
      </xdr:pic>
      <xdr:pic macro="[0]!Navigate_GoBack">
        <xdr:nvPicPr>
          <xdr:cNvPr id="61" name="Picture 60" descr="Silver-Back-Button.png"/>
          <xdr:cNvPicPr>
            <a:picLocks noChangeAspect="1"/>
          </xdr:cNvPicPr>
        </xdr:nvPicPr>
        <xdr:blipFill>
          <a:blip xmlns:r="http://schemas.openxmlformats.org/officeDocument/2006/relationships" r:embed="rId2" cstate="print"/>
          <a:stretch>
            <a:fillRect/>
          </a:stretch>
        </xdr:blipFill>
        <xdr:spPr>
          <a:xfrm>
            <a:off x="489049" y="331160"/>
            <a:ext cx="342908" cy="336621"/>
          </a:xfrm>
          <a:prstGeom prst="rect">
            <a:avLst/>
          </a:prstGeom>
        </xdr:spPr>
      </xdr:pic>
      <xdr:sp macro="[0]!LBChanger" textlink="lang!C8">
        <xdr:nvSpPr>
          <xdr:cNvPr id="64" name="DataDisplay"/>
          <xdr:cNvSpPr/>
        </xdr:nvSpPr>
        <xdr:spPr>
          <a:xfrm>
            <a:off x="10536230" y="318259"/>
            <a:ext cx="3227507" cy="36599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pic macro="[0]!Generate_PDF">
        <xdr:nvPicPr>
          <xdr:cNvPr id="52"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6167" y="1123935"/>
            <a:ext cx="340671" cy="330172"/>
          </a:xfrm>
          <a:prstGeom prst="rect">
            <a:avLst/>
          </a:prstGeom>
          <a:noFill/>
          <a:ln w="9525">
            <a:noFill/>
            <a:miter lim="800000"/>
            <a:headEnd/>
            <a:tailEnd/>
          </a:ln>
        </xdr:spPr>
      </xdr:pic>
      <xdr:pic macro="[0]!Generate_XL">
        <xdr:nvPicPr>
          <xdr:cNvPr id="53"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6810" y="1042720"/>
            <a:ext cx="342862" cy="434804"/>
          </a:xfrm>
          <a:prstGeom prst="rect">
            <a:avLst/>
          </a:prstGeom>
        </xdr:spPr>
      </xdr:pic>
      <xdr:pic macro="[0]!CityUp">
        <xdr:nvPicPr>
          <xdr:cNvPr id="22" name="cnt_series_up2" descr="scroll_up_small.png"/>
          <xdr:cNvPicPr>
            <a:picLocks noChangeAspect="1"/>
          </xdr:cNvPicPr>
        </xdr:nvPicPr>
        <xdr:blipFill>
          <a:blip xmlns:r="http://schemas.openxmlformats.org/officeDocument/2006/relationships" r:embed="rId6" cstate="print"/>
          <a:stretch>
            <a:fillRect/>
          </a:stretch>
        </xdr:blipFill>
        <xdr:spPr>
          <a:xfrm>
            <a:off x="1632522" y="1260098"/>
            <a:ext cx="305254" cy="121768"/>
          </a:xfrm>
          <a:prstGeom prst="rect">
            <a:avLst/>
          </a:prstGeom>
        </xdr:spPr>
      </xdr:pic>
      <xdr:pic macro="[0]!CityDown">
        <xdr:nvPicPr>
          <xdr:cNvPr id="23" name="cnt_series_down2" descr="scroll_down_small.png"/>
          <xdr:cNvPicPr>
            <a:picLocks noChangeAspect="1"/>
          </xdr:cNvPicPr>
        </xdr:nvPicPr>
        <xdr:blipFill>
          <a:blip xmlns:r="http://schemas.openxmlformats.org/officeDocument/2006/relationships" r:embed="rId7" cstate="print"/>
          <a:stretch>
            <a:fillRect/>
          </a:stretch>
        </xdr:blipFill>
        <xdr:spPr>
          <a:xfrm>
            <a:off x="1632522" y="1379921"/>
            <a:ext cx="305173" cy="95437"/>
          </a:xfrm>
          <a:prstGeom prst="rect">
            <a:avLst/>
          </a:prstGeom>
        </xdr:spPr>
      </xdr:pic>
      <xdr:pic macro="[0]!DesIndiUp">
        <xdr:nvPicPr>
          <xdr:cNvPr id="25" name="cnt_series_up2" descr="scroll_up_small.png"/>
          <xdr:cNvPicPr>
            <a:picLocks noChangeAspect="1"/>
          </xdr:cNvPicPr>
        </xdr:nvPicPr>
        <xdr:blipFill>
          <a:blip xmlns:r="http://schemas.openxmlformats.org/officeDocument/2006/relationships" r:embed="rId6" cstate="print"/>
          <a:stretch>
            <a:fillRect/>
          </a:stretch>
        </xdr:blipFill>
        <xdr:spPr>
          <a:xfrm>
            <a:off x="11607069" y="1254390"/>
            <a:ext cx="305254" cy="121768"/>
          </a:xfrm>
          <a:prstGeom prst="rect">
            <a:avLst/>
          </a:prstGeom>
        </xdr:spPr>
      </xdr:pic>
      <xdr:pic macro="[0]!DesIndiDown">
        <xdr:nvPicPr>
          <xdr:cNvPr id="26" name="cnt_series_down2" descr="scroll_down_small.png"/>
          <xdr:cNvPicPr>
            <a:picLocks noChangeAspect="1"/>
          </xdr:cNvPicPr>
        </xdr:nvPicPr>
        <xdr:blipFill>
          <a:blip xmlns:r="http://schemas.openxmlformats.org/officeDocument/2006/relationships" r:embed="rId7" cstate="print"/>
          <a:stretch>
            <a:fillRect/>
          </a:stretch>
        </xdr:blipFill>
        <xdr:spPr>
          <a:xfrm>
            <a:off x="11607069" y="1374213"/>
            <a:ext cx="305173" cy="95437"/>
          </a:xfrm>
          <a:prstGeom prst="rect">
            <a:avLst/>
          </a:prstGeom>
        </xdr:spPr>
      </xdr:pic>
      <xdr:sp macro="" textlink="lang!C38">
        <xdr:nvSpPr>
          <xdr:cNvPr id="8" name="lbl_cnt_City_1"/>
          <xdr:cNvSpPr txBox="1"/>
        </xdr:nvSpPr>
        <xdr:spPr>
          <a:xfrm>
            <a:off x="2251659" y="1010695"/>
            <a:ext cx="943735" cy="22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0727763-E7F6-48FD-AC94-B41D79579496}" type="TxLink">
              <a:rPr lang="en-US" sz="1100" b="1" i="0" u="none" strike="noStrike">
                <a:solidFill>
                  <a:sysClr val="windowText" lastClr="000000"/>
                </a:solidFill>
                <a:latin typeface="Calibri"/>
                <a:ea typeface="Karla" pitchFamily="2" charset="0"/>
                <a:cs typeface="Calibri"/>
              </a:rPr>
              <a:pPr/>
              <a:t>SELECCIONE SERIE</a:t>
            </a:fld>
            <a:endParaRPr lang="en-GB" sz="1000" b="1">
              <a:solidFill>
                <a:sysClr val="windowText" lastClr="000000"/>
              </a:solidFill>
              <a:latin typeface="+mn-lt"/>
              <a:ea typeface="Karla" pitchFamily="2" charset="0"/>
            </a:endParaRPr>
          </a:p>
        </xdr:txBody>
      </xdr:sp>
      <xdr:sp macro="[0]!LBChanger" textlink="lang!C27">
        <xdr:nvSpPr>
          <xdr:cNvPr id="55" name="CDescription"/>
          <xdr:cNvSpPr/>
        </xdr:nvSpPr>
        <xdr:spPr>
          <a:xfrm>
            <a:off x="5709564" y="678098"/>
            <a:ext cx="2175456" cy="26896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2645ED-A594-4389-A709-400818A6D16B}" type="TxLink">
              <a:rPr lang="en-US" sz="1100" b="1" i="0" u="none" strike="noStrike">
                <a:solidFill>
                  <a:schemeClr val="bg1"/>
                </a:solidFill>
                <a:latin typeface="Calibri"/>
                <a:cs typeface="DilleniaUPC" pitchFamily="18" charset="-34"/>
              </a:rPr>
              <a:pPr algn="ctr"/>
              <a:t>INDICADORES CUALITATIVOS</a:t>
            </a:fld>
            <a:endParaRPr lang="en-GB" sz="1200" b="1">
              <a:solidFill>
                <a:schemeClr val="bg1"/>
              </a:solidFill>
              <a:latin typeface="+mn-lt"/>
              <a:cs typeface="DilleniaUPC" pitchFamily="18" charset="-34"/>
            </a:endParaRPr>
          </a:p>
        </xdr:txBody>
      </xdr:sp>
      <xdr:sp macro="[0]!LBChanger" textlink="lang!C28">
        <xdr:nvSpPr>
          <xdr:cNvPr id="56" name="C_Additional_Desc"/>
          <xdr:cNvSpPr/>
        </xdr:nvSpPr>
        <xdr:spPr>
          <a:xfrm>
            <a:off x="7885040" y="682233"/>
            <a:ext cx="2165936"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1EA6C1-B417-4ABB-B020-EDE7C8F6ABCD}" type="TxLink">
              <a:rPr lang="en-US" sz="1100" b="1" i="0" u="none" strike="noStrike">
                <a:solidFill>
                  <a:srgbClr val="004770"/>
                </a:solidFill>
                <a:latin typeface="Calibri"/>
                <a:cs typeface="DilleniaUPC" pitchFamily="18" charset="-34"/>
              </a:rPr>
              <a:pPr algn="ctr"/>
              <a:t>INDICADORES CUANTITATIVOS</a:t>
            </a:fld>
            <a:endParaRPr lang="en-GB" sz="1400" b="1">
              <a:solidFill>
                <a:srgbClr val="004770"/>
              </a:solidFill>
              <a:latin typeface="+mn-lt"/>
              <a:cs typeface="DilleniaUPC" pitchFamily="18" charset="-34"/>
            </a:endParaRPr>
          </a:p>
        </xdr:txBody>
      </xdr:sp>
      <xdr:sp macro="" textlink="lang!C38">
        <xdr:nvSpPr>
          <xdr:cNvPr id="9" name="lbl_cnt_City_1"/>
          <xdr:cNvSpPr txBox="1"/>
        </xdr:nvSpPr>
        <xdr:spPr>
          <a:xfrm>
            <a:off x="179917" y="1019183"/>
            <a:ext cx="1413505" cy="210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6148C786-8794-4C41-B985-5E20D3EF6514}" type="TxLink">
              <a:rPr lang="en-US" sz="1100" b="1" i="0" u="none" strike="noStrike">
                <a:solidFill>
                  <a:sysClr val="windowText" lastClr="000000"/>
                </a:solidFill>
                <a:latin typeface="Calibri"/>
                <a:ea typeface="Karla" pitchFamily="2" charset="0"/>
                <a:cs typeface="Calibri"/>
              </a:rPr>
              <a:pPr/>
              <a:t>SELECCIONE SERIE</a:t>
            </a:fld>
            <a:endParaRPr lang="en-GB" sz="1000" b="1">
              <a:solidFill>
                <a:sysClr val="windowText" lastClr="000000"/>
              </a:solidFill>
              <a:latin typeface="+mn-lt"/>
              <a:ea typeface="Karla" pitchFamily="2" charset="0"/>
            </a:endParaRPr>
          </a:p>
        </xdr:txBody>
      </xdr:sp>
      <xdr:sp macro="[0]!LBChanger" textlink="lang!C26">
        <xdr:nvSpPr>
          <xdr:cNvPr id="24" name="Resumen_Ciudad"/>
          <xdr:cNvSpPr/>
        </xdr:nvSpPr>
        <xdr:spPr>
          <a:xfrm>
            <a:off x="3543898" y="678004"/>
            <a:ext cx="2171228"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65ED4C-58FD-4876-97E1-DE191061D794}" type="TxLink">
              <a:rPr lang="en-US" sz="1100" b="1" i="0" u="none" strike="noStrike">
                <a:solidFill>
                  <a:srgbClr val="004770"/>
                </a:solidFill>
                <a:latin typeface="Calibri"/>
                <a:cs typeface="DilleniaUPC" pitchFamily="18" charset="-34"/>
              </a:rPr>
              <a:pPr algn="ctr"/>
              <a:t>RESUMEN CIUDAD</a:t>
            </a:fld>
            <a:endParaRPr lang="en-GB" sz="1400" b="1">
              <a:solidFill>
                <a:srgbClr val="004770"/>
              </a:solidFill>
              <a:latin typeface="+mn-lt"/>
              <a:cs typeface="DilleniaUPC" pitchFamily="18" charset="-34"/>
            </a:endParaRPr>
          </a:p>
        </xdr:txBody>
      </xdr:sp>
      <xdr:sp macro="[0]!LBChanger" textlink="lang!C25">
        <xdr:nvSpPr>
          <xdr:cNvPr id="28" name="Definiciones"/>
          <xdr:cNvSpPr/>
        </xdr:nvSpPr>
        <xdr:spPr>
          <a:xfrm>
            <a:off x="1373110" y="676936"/>
            <a:ext cx="2171228"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0F49BC-2EF5-482A-B7E1-CBA43F8EF33D}" type="TxLink">
              <a:rPr lang="en-US" sz="1100" b="1" i="0" u="none" strike="noStrike">
                <a:solidFill>
                  <a:srgbClr val="004770"/>
                </a:solidFill>
                <a:latin typeface="Calibri"/>
                <a:cs typeface="DilleniaUPC" pitchFamily="18" charset="-34"/>
              </a:rPr>
              <a:pPr algn="ctr"/>
              <a:t>DEFINICIONES</a:t>
            </a:fld>
            <a:endParaRPr lang="en-GB" sz="1400" b="1">
              <a:solidFill>
                <a:srgbClr val="004770"/>
              </a:solidFill>
              <a:latin typeface="+mn-lt"/>
              <a:cs typeface="DilleniaUPC" pitchFamily="18" charset="-34"/>
            </a:endParaRPr>
          </a:p>
        </xdr:txBody>
      </xdr:sp>
      <xdr:sp macro="[0]!LBChanger" textlink="lang!C5">
        <xdr:nvSpPr>
          <xdr:cNvPr id="58" name="Summary"/>
          <xdr:cNvSpPr/>
        </xdr:nvSpPr>
        <xdr:spPr>
          <a:xfrm>
            <a:off x="865606" y="320925"/>
            <a:ext cx="3225046" cy="36599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0]!LBChanger" textlink="lang!C6">
        <xdr:nvSpPr>
          <xdr:cNvPr id="62" name="CDescription1"/>
          <xdr:cNvSpPr/>
        </xdr:nvSpPr>
        <xdr:spPr>
          <a:xfrm>
            <a:off x="4092324" y="318259"/>
            <a:ext cx="3228874" cy="365994"/>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chemeClr val="bg1"/>
                </a:solidFill>
                <a:latin typeface="Arial" pitchFamily="34" charset="0"/>
                <a:ea typeface="Karla" pitchFamily="2" charset="0"/>
                <a:cs typeface="Arial" pitchFamily="34" charset="0"/>
              </a:rPr>
              <a:pPr algn="ctr"/>
              <a:t>EXPLORAR CIUDADES</a:t>
            </a:fld>
            <a:endParaRPr lang="en-GB" sz="1800" b="1">
              <a:solidFill>
                <a:schemeClr val="bg1"/>
              </a:solidFill>
              <a:latin typeface="Arial" pitchFamily="34" charset="0"/>
              <a:ea typeface="Karla" pitchFamily="2" charset="0"/>
              <a:cs typeface="Arial" pitchFamily="34" charset="0"/>
            </a:endParaRPr>
          </a:p>
        </xdr:txBody>
      </xdr:sp>
      <xdr:sp macro="[0]!LBChanger" textlink="lang!C7">
        <xdr:nvSpPr>
          <xdr:cNvPr id="63" name="1. Map"/>
          <xdr:cNvSpPr/>
        </xdr:nvSpPr>
        <xdr:spPr>
          <a:xfrm>
            <a:off x="7312562" y="318259"/>
            <a:ext cx="3227506" cy="36599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65" name="header"/>
          <xdr:cNvSpPr/>
        </xdr:nvSpPr>
        <xdr:spPr>
          <a:xfrm>
            <a:off x="7021" y="6059"/>
            <a:ext cx="13763465" cy="32541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22467</xdr:colOff>
      <xdr:row>3</xdr:row>
      <xdr:rowOff>0</xdr:rowOff>
    </xdr:to>
    <xdr:grpSp>
      <xdr:nvGrpSpPr>
        <xdr:cNvPr id="32" name="MENU"/>
        <xdr:cNvGrpSpPr/>
      </xdr:nvGrpSpPr>
      <xdr:grpSpPr>
        <a:xfrm>
          <a:off x="0" y="0"/>
          <a:ext cx="13762280" cy="1524000"/>
          <a:chOff x="0" y="0"/>
          <a:chExt cx="13780800" cy="1524000"/>
        </a:xfrm>
      </xdr:grpSpPr>
      <xdr:sp macro="" textlink="">
        <xdr:nvSpPr>
          <xdr:cNvPr id="18" name="nav_controls"/>
          <xdr:cNvSpPr/>
        </xdr:nvSpPr>
        <xdr:spPr>
          <a:xfrm>
            <a:off x="0" y="0"/>
            <a:ext cx="13780800" cy="1524000"/>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
        <xdr:nvSpPr>
          <xdr:cNvPr id="20" name="Home1"/>
          <xdr:cNvSpPr/>
        </xdr:nvSpPr>
        <xdr:spPr>
          <a:xfrm>
            <a:off x="3616" y="304470"/>
            <a:ext cx="865680" cy="372608"/>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21" name="Home" descr="Home.png"/>
          <xdr:cNvPicPr>
            <a:picLocks noChangeAspect="1"/>
          </xdr:cNvPicPr>
        </xdr:nvPicPr>
        <xdr:blipFill>
          <a:blip xmlns:r="http://schemas.openxmlformats.org/officeDocument/2006/relationships" r:embed="rId1" cstate="print"/>
          <a:stretch>
            <a:fillRect/>
          </a:stretch>
        </xdr:blipFill>
        <xdr:spPr>
          <a:xfrm>
            <a:off x="81364" y="331161"/>
            <a:ext cx="355442" cy="344006"/>
          </a:xfrm>
          <a:prstGeom prst="rect">
            <a:avLst/>
          </a:prstGeom>
        </xdr:spPr>
      </xdr:pic>
      <xdr:pic macro="[0]!Navigate_GoBack">
        <xdr:nvPicPr>
          <xdr:cNvPr id="22" name="Picture 21" descr="Silver-Back-Button.png"/>
          <xdr:cNvPicPr>
            <a:picLocks noChangeAspect="1"/>
          </xdr:cNvPicPr>
        </xdr:nvPicPr>
        <xdr:blipFill>
          <a:blip xmlns:r="http://schemas.openxmlformats.org/officeDocument/2006/relationships" r:embed="rId2" cstate="print"/>
          <a:stretch>
            <a:fillRect/>
          </a:stretch>
        </xdr:blipFill>
        <xdr:spPr>
          <a:xfrm>
            <a:off x="490137" y="331160"/>
            <a:ext cx="342743" cy="343235"/>
          </a:xfrm>
          <a:prstGeom prst="rect">
            <a:avLst/>
          </a:prstGeom>
        </xdr:spPr>
      </xdr:pic>
      <xdr:sp macro="[0]!LBChanger" textlink="lang!C8">
        <xdr:nvSpPr>
          <xdr:cNvPr id="25" name="DataDisplay"/>
          <xdr:cNvSpPr/>
        </xdr:nvSpPr>
        <xdr:spPr>
          <a:xfrm>
            <a:off x="10534481" y="317384"/>
            <a:ext cx="3229264" cy="372608"/>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pic macro="[0]!Generate_PDF">
        <xdr:nvPicPr>
          <xdr:cNvPr id="13"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3079" y="1130549"/>
            <a:ext cx="342491" cy="330172"/>
          </a:xfrm>
          <a:prstGeom prst="rect">
            <a:avLst/>
          </a:prstGeom>
          <a:noFill/>
          <a:ln w="9525">
            <a:noFill/>
            <a:miter lim="800000"/>
            <a:headEnd/>
            <a:tailEnd/>
          </a:ln>
        </xdr:spPr>
      </xdr:pic>
      <xdr:pic macro="[0]!Generate_XL">
        <xdr:nvPicPr>
          <xdr:cNvPr id="14"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3895" y="1049334"/>
            <a:ext cx="342697" cy="434804"/>
          </a:xfrm>
          <a:prstGeom prst="rect">
            <a:avLst/>
          </a:prstGeom>
        </xdr:spPr>
      </xdr:pic>
      <xdr:grpSp>
        <xdr:nvGrpSpPr>
          <xdr:cNvPr id="10" name="Group 9"/>
          <xdr:cNvGrpSpPr/>
        </xdr:nvGrpSpPr>
        <xdr:grpSpPr>
          <a:xfrm>
            <a:off x="179917" y="1015986"/>
            <a:ext cx="11742102" cy="455138"/>
            <a:chOff x="179981" y="628379"/>
            <a:chExt cx="11744453" cy="455138"/>
          </a:xfrm>
        </xdr:grpSpPr>
        <xdr:pic macro="[0]!CityUp">
          <xdr:nvPicPr>
            <xdr:cNvPr id="4" name="cnt_series_up2" descr="scroll_up_small.png"/>
            <xdr:cNvPicPr>
              <a:picLocks noChangeAspect="1"/>
            </xdr:cNvPicPr>
          </xdr:nvPicPr>
          <xdr:blipFill>
            <a:blip xmlns:r="http://schemas.openxmlformats.org/officeDocument/2006/relationships" r:embed="rId6" cstate="print"/>
            <a:stretch>
              <a:fillRect/>
            </a:stretch>
          </xdr:blipFill>
          <xdr:spPr>
            <a:xfrm>
              <a:off x="1643109" y="868257"/>
              <a:ext cx="305254" cy="121768"/>
            </a:xfrm>
            <a:prstGeom prst="rect">
              <a:avLst/>
            </a:prstGeom>
          </xdr:spPr>
        </xdr:pic>
        <xdr:pic macro="[0]!CityDown">
          <xdr:nvPicPr>
            <xdr:cNvPr id="5" name="cnt_series_down2" descr="scroll_down_small.png"/>
            <xdr:cNvPicPr>
              <a:picLocks noChangeAspect="1"/>
            </xdr:cNvPicPr>
          </xdr:nvPicPr>
          <xdr:blipFill>
            <a:blip xmlns:r="http://schemas.openxmlformats.org/officeDocument/2006/relationships" r:embed="rId7" cstate="print"/>
            <a:stretch>
              <a:fillRect/>
            </a:stretch>
          </xdr:blipFill>
          <xdr:spPr>
            <a:xfrm>
              <a:off x="1643109" y="988080"/>
              <a:ext cx="305173" cy="95437"/>
            </a:xfrm>
            <a:prstGeom prst="rect">
              <a:avLst/>
            </a:prstGeom>
          </xdr:spPr>
        </xdr:pic>
        <xdr:pic macro="[0]!DesIndiUp">
          <xdr:nvPicPr>
            <xdr:cNvPr id="6" name="cnt_series_up2" descr="scroll_up_small.png"/>
            <xdr:cNvPicPr>
              <a:picLocks noChangeAspect="1"/>
            </xdr:cNvPicPr>
          </xdr:nvPicPr>
          <xdr:blipFill>
            <a:blip xmlns:r="http://schemas.openxmlformats.org/officeDocument/2006/relationships" r:embed="rId6" cstate="print"/>
            <a:stretch>
              <a:fillRect/>
            </a:stretch>
          </xdr:blipFill>
          <xdr:spPr>
            <a:xfrm>
              <a:off x="11619180" y="863872"/>
              <a:ext cx="305254" cy="121768"/>
            </a:xfrm>
            <a:prstGeom prst="rect">
              <a:avLst/>
            </a:prstGeom>
          </xdr:spPr>
        </xdr:pic>
        <xdr:pic macro="[0]!DesIndiDown">
          <xdr:nvPicPr>
            <xdr:cNvPr id="7" name="cnt_series_down2" descr="scroll_down_small.png"/>
            <xdr:cNvPicPr>
              <a:picLocks noChangeAspect="1"/>
            </xdr:cNvPicPr>
          </xdr:nvPicPr>
          <xdr:blipFill>
            <a:blip xmlns:r="http://schemas.openxmlformats.org/officeDocument/2006/relationships" r:embed="rId7" cstate="print"/>
            <a:stretch>
              <a:fillRect/>
            </a:stretch>
          </xdr:blipFill>
          <xdr:spPr>
            <a:xfrm>
              <a:off x="11619180" y="983695"/>
              <a:ext cx="305173" cy="95437"/>
            </a:xfrm>
            <a:prstGeom prst="rect">
              <a:avLst/>
            </a:prstGeom>
          </xdr:spPr>
        </xdr:pic>
        <xdr:sp macro="" textlink="lang!C38">
          <xdr:nvSpPr>
            <xdr:cNvPr id="8" name="lbl_cnt_City_1"/>
            <xdr:cNvSpPr txBox="1"/>
          </xdr:nvSpPr>
          <xdr:spPr>
            <a:xfrm>
              <a:off x="2249847" y="628379"/>
              <a:ext cx="943735" cy="22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0727763-E7F6-48FD-AC94-B41D79579496}" type="TxLink">
                <a:rPr lang="en-US" sz="1100" b="1" i="0" u="none" strike="noStrike">
                  <a:solidFill>
                    <a:sysClr val="windowText" lastClr="000000"/>
                  </a:solidFill>
                  <a:latin typeface="Calibri"/>
                  <a:ea typeface="Karla" pitchFamily="2" charset="0"/>
                  <a:cs typeface="Calibri"/>
                </a:rPr>
                <a:pPr/>
                <a:t>SELECCIONE SERIE</a:t>
              </a:fld>
              <a:endParaRPr lang="en-GB" sz="1000" b="1">
                <a:solidFill>
                  <a:sysClr val="windowText" lastClr="000000"/>
                </a:solidFill>
                <a:latin typeface="+mn-lt"/>
                <a:ea typeface="Karla" pitchFamily="2" charset="0"/>
              </a:endParaRPr>
            </a:p>
          </xdr:txBody>
        </xdr:sp>
        <xdr:sp macro="" textlink="lang!C38">
          <xdr:nvSpPr>
            <xdr:cNvPr id="9" name="lbl_cnt_City_1"/>
            <xdr:cNvSpPr txBox="1"/>
          </xdr:nvSpPr>
          <xdr:spPr>
            <a:xfrm>
              <a:off x="179981" y="636867"/>
              <a:ext cx="1411630" cy="210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6148C786-8794-4C41-B985-5E20D3EF6514}" type="TxLink">
                <a:rPr lang="en-US" sz="1100" b="1" i="0" u="none" strike="noStrike">
                  <a:solidFill>
                    <a:sysClr val="windowText" lastClr="000000"/>
                  </a:solidFill>
                  <a:latin typeface="Calibri"/>
                  <a:ea typeface="Karla" pitchFamily="2" charset="0"/>
                  <a:cs typeface="Calibri"/>
                </a:rPr>
                <a:pPr/>
                <a:t>SELECCIONE SERIE</a:t>
              </a:fld>
              <a:endParaRPr lang="en-GB" sz="1000" b="1">
                <a:solidFill>
                  <a:sysClr val="windowText" lastClr="000000"/>
                </a:solidFill>
                <a:latin typeface="+mn-lt"/>
                <a:ea typeface="Karla" pitchFamily="2" charset="0"/>
              </a:endParaRPr>
            </a:p>
          </xdr:txBody>
        </xdr:sp>
      </xdr:grpSp>
      <xdr:sp macro="[0]!LBChanger" textlink="lang!C6">
        <xdr:nvSpPr>
          <xdr:cNvPr id="23" name="CDescriptions"/>
          <xdr:cNvSpPr/>
        </xdr:nvSpPr>
        <xdr:spPr>
          <a:xfrm>
            <a:off x="4091683" y="317384"/>
            <a:ext cx="3229309" cy="372608"/>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chemeClr val="bg1"/>
                </a:solidFill>
                <a:latin typeface="Arial" pitchFamily="34" charset="0"/>
                <a:ea typeface="Karla" pitchFamily="2" charset="0"/>
                <a:cs typeface="Arial" pitchFamily="34" charset="0"/>
              </a:rPr>
              <a:pPr algn="ctr"/>
              <a:t>EXPLORAR CIUDADES</a:t>
            </a:fld>
            <a:endParaRPr lang="en-GB" sz="1800" b="1">
              <a:solidFill>
                <a:schemeClr val="bg1"/>
              </a:solidFill>
              <a:latin typeface="Arial" pitchFamily="34" charset="0"/>
              <a:ea typeface="Karla" pitchFamily="2" charset="0"/>
              <a:cs typeface="Arial" pitchFamily="34" charset="0"/>
            </a:endParaRPr>
          </a:p>
        </xdr:txBody>
      </xdr:sp>
      <xdr:sp macro="[0]!LBChanger" textlink="lang!C7">
        <xdr:nvSpPr>
          <xdr:cNvPr id="24" name="1. Map"/>
          <xdr:cNvSpPr/>
        </xdr:nvSpPr>
        <xdr:spPr>
          <a:xfrm>
            <a:off x="7312360" y="317384"/>
            <a:ext cx="3225957" cy="372608"/>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27">
        <xdr:nvSpPr>
          <xdr:cNvPr id="27" name="CDescription"/>
          <xdr:cNvSpPr/>
        </xdr:nvSpPr>
        <xdr:spPr>
          <a:xfrm>
            <a:off x="5709233" y="676641"/>
            <a:ext cx="2178054"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2645ED-A594-4389-A709-400818A6D16B}" type="TxLink">
              <a:rPr lang="en-US" sz="1100" b="1" i="0" u="none" strike="noStrike">
                <a:solidFill>
                  <a:srgbClr val="004770"/>
                </a:solidFill>
                <a:latin typeface="Calibri"/>
                <a:cs typeface="DilleniaUPC" pitchFamily="18" charset="-34"/>
              </a:rPr>
              <a:pPr algn="ctr"/>
              <a:t>INDICADORES CUALITATIVOS</a:t>
            </a:fld>
            <a:endParaRPr lang="en-GB" sz="1200" b="1">
              <a:solidFill>
                <a:srgbClr val="004770"/>
              </a:solidFill>
              <a:latin typeface="+mn-lt"/>
              <a:cs typeface="DilleniaUPC" pitchFamily="18" charset="-34"/>
            </a:endParaRPr>
          </a:p>
        </xdr:txBody>
      </xdr:sp>
      <xdr:sp macro="[0]!LBChanger" textlink="lang!C28">
        <xdr:nvSpPr>
          <xdr:cNvPr id="29" name="C_Additional_Desc"/>
          <xdr:cNvSpPr/>
        </xdr:nvSpPr>
        <xdr:spPr>
          <a:xfrm>
            <a:off x="7887307" y="677601"/>
            <a:ext cx="2165936" cy="26896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1EA6C1-B417-4ABB-B020-EDE7C8F6ABCD}" type="TxLink">
              <a:rPr lang="en-US" sz="1100" b="1" i="0" u="none" strike="noStrike">
                <a:solidFill>
                  <a:schemeClr val="bg1"/>
                </a:solidFill>
                <a:latin typeface="Calibri"/>
                <a:cs typeface="DilleniaUPC" pitchFamily="18" charset="-34"/>
              </a:rPr>
              <a:pPr algn="ctr"/>
              <a:t>INDICADORES CUANTITATIVOS</a:t>
            </a:fld>
            <a:endParaRPr lang="en-GB" sz="1400" b="1">
              <a:solidFill>
                <a:schemeClr val="bg1"/>
              </a:solidFill>
              <a:latin typeface="+mn-lt"/>
              <a:cs typeface="DilleniaUPC" pitchFamily="18" charset="-34"/>
            </a:endParaRPr>
          </a:p>
        </xdr:txBody>
      </xdr:sp>
      <xdr:sp macro="[0]!LBChanger" textlink="lang!C26">
        <xdr:nvSpPr>
          <xdr:cNvPr id="30" name="Resumen_Ciudad"/>
          <xdr:cNvSpPr/>
        </xdr:nvSpPr>
        <xdr:spPr>
          <a:xfrm>
            <a:off x="3543567" y="676547"/>
            <a:ext cx="2171228"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65ED4C-58FD-4876-97E1-DE191061D794}" type="TxLink">
              <a:rPr lang="en-US" sz="1100" b="1" i="0" u="none" strike="noStrike">
                <a:solidFill>
                  <a:srgbClr val="004770"/>
                </a:solidFill>
                <a:latin typeface="Calibri"/>
                <a:cs typeface="DilleniaUPC" pitchFamily="18" charset="-34"/>
              </a:rPr>
              <a:pPr algn="ctr"/>
              <a:t>RESUMEN CIUDAD</a:t>
            </a:fld>
            <a:endParaRPr lang="en-GB" sz="1400" b="1">
              <a:solidFill>
                <a:srgbClr val="004770"/>
              </a:solidFill>
              <a:latin typeface="+mn-lt"/>
              <a:cs typeface="DilleniaUPC" pitchFamily="18" charset="-34"/>
            </a:endParaRPr>
          </a:p>
        </xdr:txBody>
      </xdr:sp>
      <xdr:sp macro="[0]!LBChanger" textlink="lang!C25">
        <xdr:nvSpPr>
          <xdr:cNvPr id="31" name="Definiciones"/>
          <xdr:cNvSpPr/>
        </xdr:nvSpPr>
        <xdr:spPr>
          <a:xfrm>
            <a:off x="1364122" y="675479"/>
            <a:ext cx="2179885"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0F49BC-2EF5-482A-B7E1-CBA43F8EF33D}" type="TxLink">
              <a:rPr lang="en-US" sz="1100" b="1" i="0" u="none" strike="noStrike">
                <a:solidFill>
                  <a:srgbClr val="004770"/>
                </a:solidFill>
                <a:latin typeface="Calibri"/>
                <a:cs typeface="DilleniaUPC" pitchFamily="18" charset="-34"/>
              </a:rPr>
              <a:pPr algn="ctr"/>
              <a:t>DEFINICIONES</a:t>
            </a:fld>
            <a:endParaRPr lang="en-GB" sz="1400" b="1">
              <a:solidFill>
                <a:srgbClr val="004770"/>
              </a:solidFill>
              <a:latin typeface="+mn-lt"/>
              <a:cs typeface="DilleniaUPC" pitchFamily="18" charset="-34"/>
            </a:endParaRPr>
          </a:p>
        </xdr:txBody>
      </xdr:sp>
      <xdr:sp macro="[0]!LBChanger" textlink="lang!C5">
        <xdr:nvSpPr>
          <xdr:cNvPr id="19" name="Summary"/>
          <xdr:cNvSpPr/>
        </xdr:nvSpPr>
        <xdr:spPr>
          <a:xfrm>
            <a:off x="866514" y="304470"/>
            <a:ext cx="3223498" cy="372608"/>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26" name="header"/>
          <xdr:cNvSpPr/>
        </xdr:nvSpPr>
        <xdr:spPr>
          <a:xfrm>
            <a:off x="7018" y="6059"/>
            <a:ext cx="13763472" cy="32541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grp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419100</xdr:colOff>
      <xdr:row>9</xdr:row>
      <xdr:rowOff>88900</xdr:rowOff>
    </xdr:from>
    <xdr:to>
      <xdr:col>0</xdr:col>
      <xdr:colOff>9215438</xdr:colOff>
      <xdr:row>70</xdr:row>
      <xdr:rowOff>104939</xdr:rowOff>
    </xdr:to>
    <xdr:graphicFrame macro="">
      <xdr:nvGraphicFramePr>
        <xdr:cNvPr id="2"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24</xdr:row>
      <xdr:rowOff>101600</xdr:rowOff>
    </xdr:from>
    <xdr:to>
      <xdr:col>1</xdr:col>
      <xdr:colOff>901700</xdr:colOff>
      <xdr:row>25</xdr:row>
      <xdr:rowOff>177800</xdr:rowOff>
    </xdr:to>
    <xdr:sp macro="[0]!RestoreView" textlink="">
      <xdr:nvSpPr>
        <xdr:cNvPr id="3" name="AutoShape 71"/>
        <xdr:cNvSpPr>
          <a:spLocks noChangeArrowheads="1"/>
        </xdr:cNvSpPr>
      </xdr:nvSpPr>
      <xdr:spPr bwMode="auto">
        <a:xfrm>
          <a:off x="11347450" y="4559300"/>
          <a:ext cx="708025" cy="276225"/>
        </a:xfrm>
        <a:prstGeom prst="roundRect">
          <a:avLst>
            <a:gd name="adj" fmla="val 37931"/>
          </a:avLst>
        </a:prstGeom>
        <a:solidFill>
          <a:srgbClr val="7FB5F0"/>
        </a:solidFill>
        <a:ln w="9525">
          <a:solidFill>
            <a:srgbClr val="000000"/>
          </a:solidFill>
          <a:round/>
          <a:headEnd/>
          <a:tailEnd/>
        </a:ln>
        <a:effectLst>
          <a:outerShdw blurRad="63500" dist="53882" dir="2700000" algn="ctr" rotWithShape="0">
            <a:srgbClr val="000000">
              <a:alpha val="74998"/>
            </a:srgbClr>
          </a:outerShdw>
        </a:effectLst>
      </xdr:spPr>
      <xdr:txBody>
        <a:bodyPr vertOverflow="clip" wrap="square" lIns="27432" tIns="22860" rIns="0" bIns="0" anchor="t" upright="1"/>
        <a:lstStyle/>
        <a:p>
          <a:pPr algn="l" rtl="0">
            <a:defRPr sz="1000"/>
          </a:pPr>
          <a:r>
            <a:rPr lang="pl-PL" sz="1200" b="1" i="0" u="none" strike="noStrike" baseline="0">
              <a:solidFill>
                <a:srgbClr val="000000"/>
              </a:solidFill>
              <a:latin typeface="Arial Narrow"/>
              <a:ea typeface="Arial Narrow"/>
              <a:cs typeface="Arial Narrow"/>
            </a:rPr>
            <a:t>reset view</a:t>
          </a:r>
        </a:p>
      </xdr:txBody>
    </xdr:sp>
    <xdr:clientData/>
  </xdr:twoCellAnchor>
</xdr:wsDr>
</file>

<file path=xl/drawings/drawing13.xml><?xml version="1.0" encoding="utf-8"?>
<c:userShapes xmlns:c="http://schemas.openxmlformats.org/drawingml/2006/chart">
  <cdr:relSizeAnchor xmlns:cdr="http://schemas.openxmlformats.org/drawingml/2006/chartDrawing">
    <cdr:from>
      <cdr:x>0.00483</cdr:x>
      <cdr:y>0.00463</cdr:y>
    </cdr:from>
    <cdr:to>
      <cdr:x>0.0338</cdr:x>
      <cdr:y>0.99537</cdr:y>
    </cdr:to>
    <cdr:sp macro="" textlink="">
      <cdr:nvSpPr>
        <cdr:cNvPr id="2049" name="Rectangle 1"/>
        <cdr:cNvSpPr>
          <a:spLocks xmlns:a="http://schemas.openxmlformats.org/drawingml/2006/main" noChangeArrowheads="1"/>
        </cdr:cNvSpPr>
      </cdr:nvSpPr>
      <cdr:spPr bwMode="auto">
        <a:xfrm xmlns:a="http://schemas.openxmlformats.org/drawingml/2006/main">
          <a:off x="50800" y="50800"/>
          <a:ext cx="304610" cy="10871200"/>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0.9662</cdr:x>
      <cdr:y>0.00463</cdr:y>
    </cdr:from>
    <cdr:to>
      <cdr:x>0.99517</cdr:x>
      <cdr:y>0.99537</cdr:y>
    </cdr:to>
    <cdr:sp macro="" textlink="">
      <cdr:nvSpPr>
        <cdr:cNvPr id="2050" name="Rectangle 2"/>
        <cdr:cNvSpPr>
          <a:spLocks xmlns:a="http://schemas.openxmlformats.org/drawingml/2006/main" noChangeArrowheads="1"/>
        </cdr:cNvSpPr>
      </cdr:nvSpPr>
      <cdr:spPr bwMode="auto">
        <a:xfrm xmlns:a="http://schemas.openxmlformats.org/drawingml/2006/main">
          <a:off x="10160191" y="50800"/>
          <a:ext cx="304609" cy="10871200"/>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0.01845</cdr:x>
      <cdr:y>0.00463</cdr:y>
    </cdr:from>
    <cdr:to>
      <cdr:x>0.99517</cdr:x>
      <cdr:y>0.03831</cdr:y>
    </cdr:to>
    <cdr:sp macro="" textlink="">
      <cdr:nvSpPr>
        <cdr:cNvPr id="2052" name="Rectangle 4"/>
        <cdr:cNvSpPr>
          <a:spLocks xmlns:a="http://schemas.openxmlformats.org/drawingml/2006/main" noChangeArrowheads="1"/>
        </cdr:cNvSpPr>
      </cdr:nvSpPr>
      <cdr:spPr bwMode="auto">
        <a:xfrm xmlns:a="http://schemas.openxmlformats.org/drawingml/2006/main" rot="-5400000">
          <a:off x="5144586" y="-4899793"/>
          <a:ext cx="369621" cy="10270807"/>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0.01449</cdr:x>
      <cdr:y>0.96193</cdr:y>
    </cdr:from>
    <cdr:to>
      <cdr:x>0.99393</cdr:x>
      <cdr:y>0.99537</cdr:y>
    </cdr:to>
    <cdr:sp macro="" textlink="">
      <cdr:nvSpPr>
        <cdr:cNvPr id="2053" name="Rectangle 5"/>
        <cdr:cNvSpPr>
          <a:spLocks xmlns:a="http://schemas.openxmlformats.org/drawingml/2006/main" noChangeArrowheads="1"/>
        </cdr:cNvSpPr>
      </cdr:nvSpPr>
      <cdr:spPr bwMode="auto">
        <a:xfrm xmlns:a="http://schemas.openxmlformats.org/drawingml/2006/main" rot="-5400000">
          <a:off x="5118608" y="5588826"/>
          <a:ext cx="366903" cy="10299446"/>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14.xml><?xml version="1.0" encoding="utf-8"?>
<xdr:wsDr xmlns:xdr="http://schemas.openxmlformats.org/drawingml/2006/spreadsheetDrawing" xmlns:a="http://schemas.openxmlformats.org/drawingml/2006/main">
  <xdr:twoCellAnchor>
    <xdr:from>
      <xdr:col>0</xdr:col>
      <xdr:colOff>126997</xdr:colOff>
      <xdr:row>3</xdr:row>
      <xdr:rowOff>328080</xdr:rowOff>
    </xdr:from>
    <xdr:to>
      <xdr:col>12</xdr:col>
      <xdr:colOff>423333</xdr:colOff>
      <xdr:row>40</xdr:row>
      <xdr:rowOff>46564</xdr:rowOff>
    </xdr:to>
    <xdr:sp macro="" textlink="">
      <xdr:nvSpPr>
        <xdr:cNvPr id="4" name="BGBLANK" hidden="1"/>
        <xdr:cNvSpPr/>
      </xdr:nvSpPr>
      <xdr:spPr>
        <a:xfrm>
          <a:off x="126997" y="1767413"/>
          <a:ext cx="8509003" cy="75501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GB" sz="1800">
            <a:solidFill>
              <a:sysClr val="windowText" lastClr="000000"/>
            </a:solidFill>
          </a:endParaRPr>
        </a:p>
        <a:p>
          <a:pPr fontAlgn="base"/>
          <a:r>
            <a:rPr lang="en-GB" sz="2000">
              <a:solidFill>
                <a:schemeClr val="tx1">
                  <a:lumMod val="50000"/>
                  <a:lumOff val="50000"/>
                </a:schemeClr>
              </a:solidFill>
              <a:latin typeface="+mn-lt"/>
              <a:ea typeface="+mn-ea"/>
              <a:cs typeface="+mn-cs"/>
            </a:rPr>
            <a:t>An overall score for background indicators is not calculated</a:t>
          </a:r>
          <a:endParaRPr lang="en-GB" sz="2000" baseline="0">
            <a:solidFill>
              <a:schemeClr val="tx1">
                <a:lumMod val="50000"/>
                <a:lumOff val="50000"/>
              </a:schemeClr>
            </a:solidFill>
            <a:latin typeface="+mn-lt"/>
            <a:ea typeface="+mn-ea"/>
            <a:cs typeface="+mn-cs"/>
          </a:endParaRPr>
        </a:p>
        <a:p>
          <a:endParaRPr lang="en-GB" sz="1200">
            <a:solidFill>
              <a:schemeClr val="tx1">
                <a:lumMod val="50000"/>
                <a:lumOff val="50000"/>
              </a:schemeClr>
            </a:solidFill>
            <a:latin typeface="+mn-lt"/>
            <a:ea typeface="+mn-ea"/>
            <a:cs typeface="+mn-cs"/>
          </a:endParaRPr>
        </a:p>
        <a:p>
          <a:r>
            <a:rPr lang="en-GB" sz="1200">
              <a:solidFill>
                <a:schemeClr val="tx1">
                  <a:lumMod val="50000"/>
                  <a:lumOff val="50000"/>
                </a:schemeClr>
              </a:solidFill>
              <a:latin typeface="+mn-lt"/>
              <a:ea typeface="+mn-ea"/>
              <a:cs typeface="+mn-cs"/>
            </a:rPr>
            <a:t>Please select a specific background indicator to see country rankings.</a:t>
          </a:r>
          <a:endParaRPr lang="en-GB" sz="2000">
            <a:solidFill>
              <a:schemeClr val="tx1">
                <a:lumMod val="50000"/>
                <a:lumOff val="50000"/>
              </a:schemeClr>
            </a:solidFill>
          </a:endParaRPr>
        </a:p>
        <a:p>
          <a:pPr algn="l"/>
          <a:endParaRPr lang="en-GB" sz="1200">
            <a:solidFill>
              <a:schemeClr val="bg1">
                <a:lumMod val="50000"/>
              </a:schemeClr>
            </a:solidFill>
          </a:endParaRPr>
        </a:p>
      </xdr:txBody>
    </xdr:sp>
    <xdr:clientData/>
  </xdr:twoCellAnchor>
  <xdr:twoCellAnchor editAs="absolute">
    <xdr:from>
      <xdr:col>3</xdr:col>
      <xdr:colOff>69851</xdr:colOff>
      <xdr:row>33</xdr:row>
      <xdr:rowOff>108586</xdr:rowOff>
    </xdr:from>
    <xdr:to>
      <xdr:col>15</xdr:col>
      <xdr:colOff>63500</xdr:colOff>
      <xdr:row>37</xdr:row>
      <xdr:rowOff>52917</xdr:rowOff>
    </xdr:to>
    <xdr:sp macro="" textlink="lang!C113">
      <xdr:nvSpPr>
        <xdr:cNvPr id="2" name="Text Box 54"/>
        <xdr:cNvSpPr txBox="1">
          <a:spLocks noChangeArrowheads="1"/>
        </xdr:cNvSpPr>
      </xdr:nvSpPr>
      <xdr:spPr bwMode="auto">
        <a:xfrm>
          <a:off x="3251201" y="7720119"/>
          <a:ext cx="6832599" cy="706331"/>
        </a:xfrm>
        <a:prstGeom prst="rect">
          <a:avLst/>
        </a:prstGeom>
        <a:solidFill>
          <a:srgbClr val="D4DDD4"/>
        </a:solidFill>
        <a:ln w="9525">
          <a:noFill/>
          <a:miter lim="800000"/>
          <a:headEnd/>
          <a:tailEnd/>
        </a:ln>
      </xdr:spPr>
      <xdr:txBody>
        <a:bodyPr vertOverflow="clip" wrap="square" lIns="27432" tIns="22860" rIns="0" bIns="0" anchor="t" upright="1"/>
        <a:lstStyle/>
        <a:p>
          <a:pPr algn="just" rtl="0">
            <a:spcBef>
              <a:spcPts val="0"/>
            </a:spcBef>
            <a:defRPr sz="1000"/>
          </a:pPr>
          <a:fld id="{F8CB5B38-2969-4FBA-AC42-D3E3C87D3F9C}" type="TxLink">
            <a:rPr lang="en-US" sz="1100" b="0" i="0" u="none" strike="noStrike" baseline="0">
              <a:solidFill>
                <a:srgbClr val="000000"/>
              </a:solidFill>
              <a:latin typeface="Calibri"/>
              <a:cs typeface="Calibri"/>
            </a:rPr>
            <a:pPr algn="just" rtl="0">
              <a:spcBef>
                <a:spcPts val="0"/>
              </a:spcBef>
              <a:defRPr sz="1000"/>
            </a:pPr>
            <a:t>La gráfica muestra los datos para dos series simultáneamente (en el eje x e y). Correlación (x,y) muestra la correlación lineal de dos series donde -1=correlación perfecta negativa, 0= no hay correlación y 1= correlación perfecta positiva.</a:t>
          </a:fld>
          <a:endParaRPr lang="en-US" sz="1050" b="0" i="1" u="none" strike="noStrike" baseline="0">
            <a:solidFill>
              <a:srgbClr val="000000"/>
            </a:solidFill>
            <a:latin typeface="Calibri"/>
          </a:endParaRPr>
        </a:p>
      </xdr:txBody>
    </xdr:sp>
    <xdr:clientData/>
  </xdr:twoCellAnchor>
  <xdr:twoCellAnchor editAs="absolute">
    <xdr:from>
      <xdr:col>1</xdr:col>
      <xdr:colOff>182880</xdr:colOff>
      <xdr:row>33</xdr:row>
      <xdr:rowOff>125306</xdr:rowOff>
    </xdr:from>
    <xdr:to>
      <xdr:col>1</xdr:col>
      <xdr:colOff>2689860</xdr:colOff>
      <xdr:row>37</xdr:row>
      <xdr:rowOff>11006</xdr:rowOff>
    </xdr:to>
    <xdr:pic>
      <xdr:nvPicPr>
        <xdr:cNvPr id="3" name="Picture 55" descr="ZA00605112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344805" y="7736839"/>
          <a:ext cx="2506980" cy="647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fPrintsWithSheet="0"/>
  </xdr:twoCellAnchor>
  <xdr:twoCellAnchor editAs="absolute">
    <xdr:from>
      <xdr:col>15</xdr:col>
      <xdr:colOff>316715</xdr:colOff>
      <xdr:row>3</xdr:row>
      <xdr:rowOff>174394</xdr:rowOff>
    </xdr:from>
    <xdr:to>
      <xdr:col>19</xdr:col>
      <xdr:colOff>339084</xdr:colOff>
      <xdr:row>4</xdr:row>
      <xdr:rowOff>6350</xdr:rowOff>
    </xdr:to>
    <xdr:sp macro="" textlink="_WeightProfile">
      <xdr:nvSpPr>
        <xdr:cNvPr id="5" name="Text Box 6"/>
        <xdr:cNvSpPr txBox="1">
          <a:spLocks noChangeArrowheads="1"/>
        </xdr:cNvSpPr>
      </xdr:nvSpPr>
      <xdr:spPr bwMode="auto">
        <a:xfrm>
          <a:off x="10337015" y="1336444"/>
          <a:ext cx="2155969" cy="372765"/>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Calibri"/>
              <a:cs typeface="Calibri"/>
            </a:rPr>
            <a:pPr algn="l" rtl="0">
              <a:defRPr sz="1000"/>
            </a:pPr>
            <a:t> </a:t>
          </a:fld>
          <a:endParaRPr lang="en-GB" sz="1000" b="0" i="1" u="none" strike="noStrike" baseline="0">
            <a:solidFill>
              <a:schemeClr val="tx1">
                <a:lumMod val="65000"/>
                <a:lumOff val="35000"/>
              </a:schemeClr>
            </a:solidFill>
            <a:latin typeface="Calibri"/>
          </a:endParaRPr>
        </a:p>
      </xdr:txBody>
    </xdr:sp>
    <xdr:clientData fPrintsWithSheet="0"/>
  </xdr:twoCellAnchor>
  <xdr:twoCellAnchor editAs="absolute">
    <xdr:from>
      <xdr:col>17</xdr:col>
      <xdr:colOff>227857</xdr:colOff>
      <xdr:row>7</xdr:row>
      <xdr:rowOff>182206</xdr:rowOff>
    </xdr:from>
    <xdr:to>
      <xdr:col>20</xdr:col>
      <xdr:colOff>287693</xdr:colOff>
      <xdr:row>9</xdr:row>
      <xdr:rowOff>6014</xdr:rowOff>
    </xdr:to>
    <xdr:sp macro="" textlink="lang!C46">
      <xdr:nvSpPr>
        <xdr:cNvPr id="6" name="lbl_cnt_City_1"/>
        <xdr:cNvSpPr txBox="1"/>
      </xdr:nvSpPr>
      <xdr:spPr>
        <a:xfrm>
          <a:off x="11266274" y="2383539"/>
          <a:ext cx="1827252" cy="218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3904A5-B344-4639-A118-60A04DA5DDC4}" type="TxLink">
            <a:rPr lang="en-US" sz="1100" b="1" i="0" u="none" strike="noStrike">
              <a:solidFill>
                <a:srgbClr val="000000"/>
              </a:solidFill>
              <a:latin typeface="Calibri"/>
              <a:cs typeface="Calibri"/>
            </a:rPr>
            <a:pPr/>
            <a:t>SELECCIONE SERIE X </a:t>
          </a:fld>
          <a:endParaRPr lang="en-GB" sz="1000" b="1">
            <a:solidFill>
              <a:sysClr val="windowText" lastClr="000000"/>
            </a:solidFill>
          </a:endParaRPr>
        </a:p>
      </xdr:txBody>
    </xdr:sp>
    <xdr:clientData fPrintsWithSheet="0"/>
  </xdr:twoCellAnchor>
  <xdr:twoCellAnchor editAs="absolute">
    <xdr:from>
      <xdr:col>21</xdr:col>
      <xdr:colOff>490695</xdr:colOff>
      <xdr:row>31</xdr:row>
      <xdr:rowOff>21887</xdr:rowOff>
    </xdr:from>
    <xdr:to>
      <xdr:col>22</xdr:col>
      <xdr:colOff>559544</xdr:colOff>
      <xdr:row>32</xdr:row>
      <xdr:rowOff>35150</xdr:rowOff>
    </xdr:to>
    <xdr:sp macro="" textlink="lang!C42">
      <xdr:nvSpPr>
        <xdr:cNvPr id="7" name="lbl_cnt_City_1"/>
        <xdr:cNvSpPr txBox="1"/>
      </xdr:nvSpPr>
      <xdr:spPr>
        <a:xfrm>
          <a:off x="13772778" y="7282054"/>
          <a:ext cx="682683"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AA7F9FD-66D5-4234-A4E1-80C56ED892DE}" type="TxLink">
            <a:rPr lang="en-US" sz="1100" b="1" i="0" u="none" strike="noStrike">
              <a:solidFill>
                <a:srgbClr val="000000"/>
              </a:solidFill>
              <a:latin typeface="Calibri"/>
              <a:cs typeface="Calibri"/>
            </a:rPr>
            <a:pPr/>
            <a:t>PONDERACIÓN</a:t>
          </a:fld>
          <a:endParaRPr lang="en-GB" sz="1000" b="1">
            <a:solidFill>
              <a:sysClr val="windowText" lastClr="000000"/>
            </a:solidFill>
          </a:endParaRPr>
        </a:p>
      </xdr:txBody>
    </xdr:sp>
    <xdr:clientData fPrintsWithSheet="0"/>
  </xdr:twoCellAnchor>
  <xdr:twoCellAnchor editAs="absolute">
    <xdr:from>
      <xdr:col>22</xdr:col>
      <xdr:colOff>242117</xdr:colOff>
      <xdr:row>9</xdr:row>
      <xdr:rowOff>714</xdr:rowOff>
    </xdr:from>
    <xdr:to>
      <xdr:col>22</xdr:col>
      <xdr:colOff>544924</xdr:colOff>
      <xdr:row>9</xdr:row>
      <xdr:rowOff>110540</xdr:rowOff>
    </xdr:to>
    <xdr:pic macro="[0]!CntUpX">
      <xdr:nvPicPr>
        <xdr:cNvPr id="8" name="cnt_series_up2" descr="scroll_up_small.png"/>
        <xdr:cNvPicPr>
          <a:picLocks noChangeAspect="1"/>
        </xdr:cNvPicPr>
      </xdr:nvPicPr>
      <xdr:blipFill>
        <a:blip xmlns:r="http://schemas.openxmlformats.org/officeDocument/2006/relationships" r:embed="rId2" cstate="print"/>
        <a:stretch>
          <a:fillRect/>
        </a:stretch>
      </xdr:blipFill>
      <xdr:spPr>
        <a:xfrm>
          <a:off x="14138034" y="2596654"/>
          <a:ext cx="302807" cy="117386"/>
        </a:xfrm>
        <a:prstGeom prst="rect">
          <a:avLst/>
        </a:prstGeom>
      </xdr:spPr>
    </xdr:pic>
    <xdr:clientData fPrintsWithSheet="0"/>
  </xdr:twoCellAnchor>
  <xdr:twoCellAnchor editAs="absolute">
    <xdr:from>
      <xdr:col>22</xdr:col>
      <xdr:colOff>242117</xdr:colOff>
      <xdr:row>9</xdr:row>
      <xdr:rowOff>108597</xdr:rowOff>
    </xdr:from>
    <xdr:to>
      <xdr:col>22</xdr:col>
      <xdr:colOff>544842</xdr:colOff>
      <xdr:row>9</xdr:row>
      <xdr:rowOff>203919</xdr:rowOff>
    </xdr:to>
    <xdr:pic macro="[0]!CntDownX">
      <xdr:nvPicPr>
        <xdr:cNvPr id="9" name="cnt_series_down2" descr="scroll_down_small.png"/>
        <xdr:cNvPicPr>
          <a:picLocks noChangeAspect="1"/>
        </xdr:cNvPicPr>
      </xdr:nvPicPr>
      <xdr:blipFill>
        <a:blip xmlns:r="http://schemas.openxmlformats.org/officeDocument/2006/relationships" r:embed="rId3" cstate="print"/>
        <a:stretch>
          <a:fillRect/>
        </a:stretch>
      </xdr:blipFill>
      <xdr:spPr>
        <a:xfrm>
          <a:off x="14138034" y="2712097"/>
          <a:ext cx="302725" cy="95322"/>
        </a:xfrm>
        <a:prstGeom prst="rect">
          <a:avLst/>
        </a:prstGeom>
      </xdr:spPr>
    </xdr:pic>
    <xdr:clientData fPrintsWithSheet="0"/>
  </xdr:twoCellAnchor>
  <xdr:twoCellAnchor editAs="absolute">
    <xdr:from>
      <xdr:col>20</xdr:col>
      <xdr:colOff>213549</xdr:colOff>
      <xdr:row>21</xdr:row>
      <xdr:rowOff>72394</xdr:rowOff>
    </xdr:from>
    <xdr:to>
      <xdr:col>22</xdr:col>
      <xdr:colOff>543423</xdr:colOff>
      <xdr:row>22</xdr:row>
      <xdr:rowOff>80996</xdr:rowOff>
    </xdr:to>
    <xdr:sp macro="" textlink="lang!C39">
      <xdr:nvSpPr>
        <xdr:cNvPr id="10" name="lbl_cnt_City_1"/>
        <xdr:cNvSpPr txBox="1"/>
      </xdr:nvSpPr>
      <xdr:spPr>
        <a:xfrm>
          <a:off x="13019382" y="5215894"/>
          <a:ext cx="1419958" cy="220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D9263226-171D-428C-8762-8465A559AEBF}" type="TxLink">
            <a:rPr lang="en-US" sz="1100" b="1" i="0" u="none" strike="noStrike">
              <a:solidFill>
                <a:srgbClr val="000000"/>
              </a:solidFill>
              <a:latin typeface="Calibri"/>
              <a:cs typeface="Calibri"/>
            </a:rPr>
            <a:pPr/>
            <a:t>DESTACADO DE LAS CIUDADES</a:t>
          </a:fld>
          <a:endParaRPr lang="en-GB" sz="1000" b="1">
            <a:solidFill>
              <a:sysClr val="windowText" lastClr="000000"/>
            </a:solidFill>
          </a:endParaRPr>
        </a:p>
      </xdr:txBody>
    </xdr:sp>
    <xdr:clientData fPrintsWithSheet="0"/>
  </xdr:twoCellAnchor>
  <xdr:twoCellAnchor editAs="absolute">
    <xdr:from>
      <xdr:col>20</xdr:col>
      <xdr:colOff>192803</xdr:colOff>
      <xdr:row>24</xdr:row>
      <xdr:rowOff>104145</xdr:rowOff>
    </xdr:from>
    <xdr:to>
      <xdr:col>22</xdr:col>
      <xdr:colOff>518427</xdr:colOff>
      <xdr:row>25</xdr:row>
      <xdr:rowOff>128632</xdr:rowOff>
    </xdr:to>
    <xdr:sp macro="" textlink="lang!C40">
      <xdr:nvSpPr>
        <xdr:cNvPr id="11" name="lbl_cnt_City_1"/>
        <xdr:cNvSpPr txBox="1"/>
      </xdr:nvSpPr>
      <xdr:spPr>
        <a:xfrm>
          <a:off x="12998636" y="5882645"/>
          <a:ext cx="1415708" cy="23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80C42275-266D-4B57-A673-C34FAB5556B1}" type="TxLink">
            <a:rPr lang="en-US" sz="1100" b="1" i="0" u="none" strike="noStrike">
              <a:solidFill>
                <a:srgbClr val="000000"/>
              </a:solidFill>
              <a:latin typeface="Calibri"/>
              <a:cs typeface="Calibri"/>
            </a:rPr>
            <a:pPr algn="r"/>
            <a:t>DESTACADO DE LOS GRUPOS</a:t>
          </a:fld>
          <a:endParaRPr lang="en-GB" sz="1000" b="1">
            <a:solidFill>
              <a:sysClr val="windowText" lastClr="000000"/>
            </a:solidFill>
          </a:endParaRPr>
        </a:p>
      </xdr:txBody>
    </xdr:sp>
    <xdr:clientData fPrintsWithSheet="0"/>
  </xdr:twoCellAnchor>
  <xdr:twoCellAnchor editAs="absolute">
    <xdr:from>
      <xdr:col>20</xdr:col>
      <xdr:colOff>223424</xdr:colOff>
      <xdr:row>27</xdr:row>
      <xdr:rowOff>188811</xdr:rowOff>
    </xdr:from>
    <xdr:to>
      <xdr:col>22</xdr:col>
      <xdr:colOff>537366</xdr:colOff>
      <xdr:row>29</xdr:row>
      <xdr:rowOff>1632</xdr:rowOff>
    </xdr:to>
    <xdr:sp macro="" textlink="lang!C41">
      <xdr:nvSpPr>
        <xdr:cNvPr id="12" name="lbl_cnt_City_1"/>
        <xdr:cNvSpPr txBox="1"/>
      </xdr:nvSpPr>
      <xdr:spPr>
        <a:xfrm>
          <a:off x="13029257" y="6602311"/>
          <a:ext cx="1404026" cy="23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17AA2D55-35E9-4B92-B884-6292E72CA266}" type="TxLink">
            <a:rPr lang="en-US" sz="1100" b="1" i="0" u="none" strike="noStrike">
              <a:solidFill>
                <a:srgbClr val="000000"/>
              </a:solidFill>
              <a:latin typeface="Calibri"/>
              <a:cs typeface="Calibri"/>
            </a:rPr>
            <a:pPr algn="r"/>
            <a:t>FILTRO</a:t>
          </a:fld>
          <a:endParaRPr lang="en-GB" sz="1000" b="1">
            <a:solidFill>
              <a:sysClr val="windowText" lastClr="000000"/>
            </a:solidFill>
          </a:endParaRPr>
        </a:p>
      </xdr:txBody>
    </xdr:sp>
    <xdr:clientData fPrintsWithSheet="0"/>
  </xdr:twoCellAnchor>
  <xdr:twoCellAnchor editAs="absolute">
    <xdr:from>
      <xdr:col>21</xdr:col>
      <xdr:colOff>460985</xdr:colOff>
      <xdr:row>17</xdr:row>
      <xdr:rowOff>125609</xdr:rowOff>
    </xdr:from>
    <xdr:to>
      <xdr:col>22</xdr:col>
      <xdr:colOff>531958</xdr:colOff>
      <xdr:row>18</xdr:row>
      <xdr:rowOff>138871</xdr:rowOff>
    </xdr:to>
    <xdr:sp macro="" textlink="lang!C43">
      <xdr:nvSpPr>
        <xdr:cNvPr id="13" name="lbl_cnt_City_1"/>
        <xdr:cNvSpPr txBox="1"/>
      </xdr:nvSpPr>
      <xdr:spPr>
        <a:xfrm>
          <a:off x="13743068" y="4422442"/>
          <a:ext cx="684807"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02C0208-B009-4124-9924-CAD1D34FE16A}" type="TxLink">
            <a:rPr lang="en-US" sz="1100" b="1" i="0" u="none" strike="noStrike">
              <a:solidFill>
                <a:srgbClr val="000000"/>
              </a:solidFill>
              <a:latin typeface="Calibri"/>
              <a:cs typeface="Calibri"/>
            </a:rPr>
            <a:pPr/>
            <a:t>ETIQUETAS</a:t>
          </a:fld>
          <a:endParaRPr lang="en-GB" sz="1000" b="1">
            <a:solidFill>
              <a:sysClr val="windowText" lastClr="000000"/>
            </a:solidFill>
          </a:endParaRPr>
        </a:p>
      </xdr:txBody>
    </xdr:sp>
    <xdr:clientData fPrintsWithSheet="0"/>
  </xdr:twoCellAnchor>
  <xdr:twoCellAnchor editAs="absolute">
    <xdr:from>
      <xdr:col>22</xdr:col>
      <xdr:colOff>250526</xdr:colOff>
      <xdr:row>12</xdr:row>
      <xdr:rowOff>70495</xdr:rowOff>
    </xdr:from>
    <xdr:to>
      <xdr:col>22</xdr:col>
      <xdr:colOff>556437</xdr:colOff>
      <xdr:row>12</xdr:row>
      <xdr:rowOff>165817</xdr:rowOff>
    </xdr:to>
    <xdr:pic macro="[0]!CntDownY">
      <xdr:nvPicPr>
        <xdr:cNvPr id="15" name="cnt_series_down2" descr="scroll_down_small.png"/>
        <xdr:cNvPicPr>
          <a:picLocks noChangeAspect="1"/>
        </xdr:cNvPicPr>
      </xdr:nvPicPr>
      <xdr:blipFill>
        <a:blip xmlns:r="http://schemas.openxmlformats.org/officeDocument/2006/relationships" r:embed="rId3" cstate="print"/>
        <a:stretch>
          <a:fillRect/>
        </a:stretch>
      </xdr:blipFill>
      <xdr:spPr>
        <a:xfrm>
          <a:off x="14146443" y="3308995"/>
          <a:ext cx="305911" cy="95322"/>
        </a:xfrm>
        <a:prstGeom prst="rect">
          <a:avLst/>
        </a:prstGeom>
      </xdr:spPr>
    </xdr:pic>
    <xdr:clientData fPrintsWithSheet="0"/>
  </xdr:twoCellAnchor>
  <xdr:twoCellAnchor editAs="absolute">
    <xdr:from>
      <xdr:col>17</xdr:col>
      <xdr:colOff>243286</xdr:colOff>
      <xdr:row>10</xdr:row>
      <xdr:rowOff>164997</xdr:rowOff>
    </xdr:from>
    <xdr:to>
      <xdr:col>22</xdr:col>
      <xdr:colOff>470495</xdr:colOff>
      <xdr:row>11</xdr:row>
      <xdr:rowOff>203786</xdr:rowOff>
    </xdr:to>
    <xdr:sp macro="" textlink="lang!C47">
      <xdr:nvSpPr>
        <xdr:cNvPr id="16" name="lbl_cnt_City_1"/>
        <xdr:cNvSpPr txBox="1"/>
      </xdr:nvSpPr>
      <xdr:spPr>
        <a:xfrm>
          <a:off x="11281703" y="2980164"/>
          <a:ext cx="3084709" cy="250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EFBA3657-700A-4AA4-AB79-463B0372AB3D}" type="TxLink">
            <a:rPr lang="en-US" sz="1100" b="1" i="0" u="none" strike="noStrike">
              <a:solidFill>
                <a:srgbClr val="000000"/>
              </a:solidFill>
              <a:latin typeface="Calibri"/>
              <a:cs typeface="Calibri"/>
            </a:rPr>
            <a:pPr algn="l"/>
            <a:t>SELECCIONE SERIE Y</a:t>
          </a:fld>
          <a:endParaRPr lang="en-GB" sz="1000" b="1">
            <a:solidFill>
              <a:sysClr val="windowText" lastClr="000000"/>
            </a:solidFill>
          </a:endParaRPr>
        </a:p>
      </xdr:txBody>
    </xdr:sp>
    <xdr:clientData fPrintsWithSheet="0"/>
  </xdr:twoCellAnchor>
  <xdr:twoCellAnchor editAs="absolute">
    <xdr:from>
      <xdr:col>22</xdr:col>
      <xdr:colOff>250526</xdr:colOff>
      <xdr:row>11</xdr:row>
      <xdr:rowOff>166719</xdr:rowOff>
    </xdr:from>
    <xdr:to>
      <xdr:col>22</xdr:col>
      <xdr:colOff>556519</xdr:colOff>
      <xdr:row>12</xdr:row>
      <xdr:rowOff>72438</xdr:rowOff>
    </xdr:to>
    <xdr:pic macro="[0]!CntUpY">
      <xdr:nvPicPr>
        <xdr:cNvPr id="17" name="cnt_series_up2" descr="scroll_up_small.png"/>
        <xdr:cNvPicPr>
          <a:picLocks noChangeAspect="1"/>
        </xdr:cNvPicPr>
      </xdr:nvPicPr>
      <xdr:blipFill>
        <a:blip xmlns:r="http://schemas.openxmlformats.org/officeDocument/2006/relationships" r:embed="rId2" cstate="print"/>
        <a:stretch>
          <a:fillRect/>
        </a:stretch>
      </xdr:blipFill>
      <xdr:spPr>
        <a:xfrm>
          <a:off x="14146443" y="3193552"/>
          <a:ext cx="305993" cy="117386"/>
        </a:xfrm>
        <a:prstGeom prst="rect">
          <a:avLst/>
        </a:prstGeom>
      </xdr:spPr>
    </xdr:pic>
    <xdr:clientData fPrintsWithSheet="0"/>
  </xdr:twoCellAnchor>
  <xdr:twoCellAnchor editAs="absolute">
    <xdr:from>
      <xdr:col>22</xdr:col>
      <xdr:colOff>161235</xdr:colOff>
      <xdr:row>1</xdr:row>
      <xdr:rowOff>339413</xdr:rowOff>
    </xdr:from>
    <xdr:to>
      <xdr:col>22</xdr:col>
      <xdr:colOff>503138</xdr:colOff>
      <xdr:row>1</xdr:row>
      <xdr:rowOff>650264</xdr:rowOff>
    </xdr:to>
    <xdr:pic macro="[0]!Generate_PDF">
      <xdr:nvPicPr>
        <xdr:cNvPr id="18" name="exp_pdf" descr="Export current view as PDF"/>
        <xdr:cNvPicPr>
          <a:picLocks noChangeAspect="1"/>
        </xdr:cNvPicPr>
      </xdr:nvPicPr>
      <xdr:blipFill>
        <a:blip xmlns:r="http://schemas.openxmlformats.org/officeDocument/2006/relationships" r:embed="rId4" cstate="print"/>
        <a:srcRect/>
        <a:stretch>
          <a:fillRect/>
        </a:stretch>
      </xdr:blipFill>
      <xdr:spPr bwMode="auto">
        <a:xfrm>
          <a:off x="14057152" y="646330"/>
          <a:ext cx="341903" cy="310851"/>
        </a:xfrm>
        <a:prstGeom prst="rect">
          <a:avLst/>
        </a:prstGeom>
        <a:noFill/>
        <a:ln w="9525">
          <a:noFill/>
          <a:miter lim="800000"/>
          <a:headEnd/>
          <a:tailEnd/>
        </a:ln>
      </xdr:spPr>
    </xdr:pic>
    <xdr:clientData fPrintsWithSheet="0"/>
  </xdr:twoCellAnchor>
  <xdr:twoCellAnchor editAs="absolute">
    <xdr:from>
      <xdr:col>22</xdr:col>
      <xdr:colOff>241977</xdr:colOff>
      <xdr:row>22</xdr:row>
      <xdr:rowOff>66208</xdr:rowOff>
    </xdr:from>
    <xdr:to>
      <xdr:col>22</xdr:col>
      <xdr:colOff>547970</xdr:colOff>
      <xdr:row>22</xdr:row>
      <xdr:rowOff>187829</xdr:rowOff>
    </xdr:to>
    <xdr:pic macro="[0]!CntCHLUp">
      <xdr:nvPicPr>
        <xdr:cNvPr id="20" name="cnt_series_up2" descr="scroll_up_small.png"/>
        <xdr:cNvPicPr>
          <a:picLocks noChangeAspect="1"/>
        </xdr:cNvPicPr>
      </xdr:nvPicPr>
      <xdr:blipFill>
        <a:blip xmlns:r="http://schemas.openxmlformats.org/officeDocument/2006/relationships" r:embed="rId2" cstate="print"/>
        <a:stretch>
          <a:fillRect/>
        </a:stretch>
      </xdr:blipFill>
      <xdr:spPr>
        <a:xfrm>
          <a:off x="14137894" y="5421375"/>
          <a:ext cx="305993" cy="121621"/>
        </a:xfrm>
        <a:prstGeom prst="rect">
          <a:avLst/>
        </a:prstGeom>
      </xdr:spPr>
    </xdr:pic>
    <xdr:clientData fPrintsWithSheet="0"/>
  </xdr:twoCellAnchor>
  <xdr:twoCellAnchor editAs="absolute">
    <xdr:from>
      <xdr:col>22</xdr:col>
      <xdr:colOff>241977</xdr:colOff>
      <xdr:row>22</xdr:row>
      <xdr:rowOff>185886</xdr:rowOff>
    </xdr:from>
    <xdr:to>
      <xdr:col>22</xdr:col>
      <xdr:colOff>547888</xdr:colOff>
      <xdr:row>23</xdr:row>
      <xdr:rowOff>69542</xdr:rowOff>
    </xdr:to>
    <xdr:pic macro="[0]!CntCHLDown">
      <xdr:nvPicPr>
        <xdr:cNvPr id="21" name="cnt_series_down2" descr="scroll_down_small.png"/>
        <xdr:cNvPicPr>
          <a:picLocks noChangeAspect="1"/>
        </xdr:cNvPicPr>
      </xdr:nvPicPr>
      <xdr:blipFill>
        <a:blip xmlns:r="http://schemas.openxmlformats.org/officeDocument/2006/relationships" r:embed="rId3" cstate="print"/>
        <a:stretch>
          <a:fillRect/>
        </a:stretch>
      </xdr:blipFill>
      <xdr:spPr>
        <a:xfrm>
          <a:off x="14137894" y="5541053"/>
          <a:ext cx="305911" cy="95322"/>
        </a:xfrm>
        <a:prstGeom prst="rect">
          <a:avLst/>
        </a:prstGeom>
      </xdr:spPr>
    </xdr:pic>
    <xdr:clientData fPrintsWithSheet="0"/>
  </xdr:twoCellAnchor>
  <xdr:twoCellAnchor>
    <xdr:from>
      <xdr:col>1</xdr:col>
      <xdr:colOff>1</xdr:colOff>
      <xdr:row>8</xdr:row>
      <xdr:rowOff>0</xdr:rowOff>
    </xdr:from>
    <xdr:to>
      <xdr:col>16</xdr:col>
      <xdr:colOff>137583</xdr:colOff>
      <xdr:row>30</xdr:row>
      <xdr:rowOff>95250</xdr:rowOff>
    </xdr:to>
    <xdr:graphicFrame macro="">
      <xdr:nvGraphicFramePr>
        <xdr:cNvPr id="25" name="Char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22</xdr:col>
      <xdr:colOff>261243</xdr:colOff>
      <xdr:row>15</xdr:row>
      <xdr:rowOff>127743</xdr:rowOff>
    </xdr:from>
    <xdr:to>
      <xdr:col>22</xdr:col>
      <xdr:colOff>567154</xdr:colOff>
      <xdr:row>16</xdr:row>
      <xdr:rowOff>11398</xdr:rowOff>
    </xdr:to>
    <xdr:pic macro="[0]!CntDownZ">
      <xdr:nvPicPr>
        <xdr:cNvPr id="26" name="cnt_series_down2" descr="scroll_down_small.png"/>
        <xdr:cNvPicPr>
          <a:picLocks noChangeAspect="1"/>
        </xdr:cNvPicPr>
      </xdr:nvPicPr>
      <xdr:blipFill>
        <a:blip xmlns:r="http://schemas.openxmlformats.org/officeDocument/2006/relationships" r:embed="rId3" cstate="print"/>
        <a:stretch>
          <a:fillRect/>
        </a:stretch>
      </xdr:blipFill>
      <xdr:spPr>
        <a:xfrm>
          <a:off x="14157160" y="4001243"/>
          <a:ext cx="305911" cy="95322"/>
        </a:xfrm>
        <a:prstGeom prst="rect">
          <a:avLst/>
        </a:prstGeom>
      </xdr:spPr>
    </xdr:pic>
    <xdr:clientData fPrintsWithSheet="0"/>
  </xdr:twoCellAnchor>
  <xdr:twoCellAnchor editAs="absolute">
    <xdr:from>
      <xdr:col>17</xdr:col>
      <xdr:colOff>254003</xdr:colOff>
      <xdr:row>14</xdr:row>
      <xdr:rowOff>10579</xdr:rowOff>
    </xdr:from>
    <xdr:to>
      <xdr:col>22</xdr:col>
      <xdr:colOff>481212</xdr:colOff>
      <xdr:row>15</xdr:row>
      <xdr:rowOff>49367</xdr:rowOff>
    </xdr:to>
    <xdr:sp macro="" textlink="lang!C48">
      <xdr:nvSpPr>
        <xdr:cNvPr id="27" name="lbl_cnt_City_1"/>
        <xdr:cNvSpPr txBox="1"/>
      </xdr:nvSpPr>
      <xdr:spPr>
        <a:xfrm>
          <a:off x="11292420" y="3672412"/>
          <a:ext cx="3084709" cy="250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D589029D-6733-4694-B232-7081CB300C0E}" type="TxLink">
            <a:rPr lang="en-US" sz="1100" b="1" i="0" u="none" strike="noStrike">
              <a:solidFill>
                <a:srgbClr val="000000"/>
              </a:solidFill>
              <a:latin typeface="Calibri"/>
              <a:cs typeface="Calibri"/>
            </a:rPr>
            <a:pPr algn="l"/>
            <a:t>SELECCIONE SERIE Z</a:t>
          </a:fld>
          <a:endParaRPr lang="en-GB" sz="1000" b="1">
            <a:solidFill>
              <a:sysClr val="windowText" lastClr="000000"/>
            </a:solidFill>
          </a:endParaRPr>
        </a:p>
      </xdr:txBody>
    </xdr:sp>
    <xdr:clientData fPrintsWithSheet="0"/>
  </xdr:twoCellAnchor>
  <xdr:twoCellAnchor editAs="absolute">
    <xdr:from>
      <xdr:col>22</xdr:col>
      <xdr:colOff>261243</xdr:colOff>
      <xdr:row>15</xdr:row>
      <xdr:rowOff>12300</xdr:rowOff>
    </xdr:from>
    <xdr:to>
      <xdr:col>22</xdr:col>
      <xdr:colOff>567236</xdr:colOff>
      <xdr:row>15</xdr:row>
      <xdr:rowOff>129686</xdr:rowOff>
    </xdr:to>
    <xdr:pic macro="[0]!CntUpZ">
      <xdr:nvPicPr>
        <xdr:cNvPr id="28" name="cnt_series_up2" descr="scroll_up_small.png"/>
        <xdr:cNvPicPr>
          <a:picLocks noChangeAspect="1"/>
        </xdr:cNvPicPr>
      </xdr:nvPicPr>
      <xdr:blipFill>
        <a:blip xmlns:r="http://schemas.openxmlformats.org/officeDocument/2006/relationships" r:embed="rId2" cstate="print"/>
        <a:stretch>
          <a:fillRect/>
        </a:stretch>
      </xdr:blipFill>
      <xdr:spPr>
        <a:xfrm>
          <a:off x="14157160" y="3885800"/>
          <a:ext cx="305993" cy="117386"/>
        </a:xfrm>
        <a:prstGeom prst="rect">
          <a:avLst/>
        </a:prstGeom>
      </xdr:spPr>
    </xdr:pic>
    <xdr:clientData fPrintsWithSheet="0"/>
  </xdr:twoCellAnchor>
  <xdr:twoCellAnchor editAs="absolute">
    <xdr:from>
      <xdr:col>21</xdr:col>
      <xdr:colOff>408070</xdr:colOff>
      <xdr:row>1</xdr:row>
      <xdr:rowOff>231415</xdr:rowOff>
    </xdr:from>
    <xdr:to>
      <xdr:col>22</xdr:col>
      <xdr:colOff>134090</xdr:colOff>
      <xdr:row>1</xdr:row>
      <xdr:rowOff>640500</xdr:rowOff>
    </xdr:to>
    <xdr:pic macro="[0]!Generate_XL">
      <xdr:nvPicPr>
        <xdr:cNvPr id="30" name="exp_xl" descr="excel-wbg.jpg"/>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xmlns="">
                <a14:imgLayer r:embed="rId7">
                  <a14:imgEffect>
                    <a14:backgroundRemoval t="10000" b="90000" l="10000" r="90000"/>
                  </a14:imgEffect>
                </a14:imgLayer>
              </a14:imgProps>
            </a:ext>
          </a:extLst>
        </a:blip>
        <a:stretch>
          <a:fillRect/>
        </a:stretch>
      </xdr:blipFill>
      <xdr:spPr>
        <a:xfrm>
          <a:off x="13690153" y="538332"/>
          <a:ext cx="339854" cy="409085"/>
        </a:xfrm>
        <a:prstGeom prst="rect">
          <a:avLst/>
        </a:prstGeom>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3</xdr:col>
      <xdr:colOff>69851</xdr:colOff>
      <xdr:row>32</xdr:row>
      <xdr:rowOff>23919</xdr:rowOff>
    </xdr:from>
    <xdr:to>
      <xdr:col>15</xdr:col>
      <xdr:colOff>63500</xdr:colOff>
      <xdr:row>35</xdr:row>
      <xdr:rowOff>158750</xdr:rowOff>
    </xdr:to>
    <xdr:sp macro="" textlink="lang!C113">
      <xdr:nvSpPr>
        <xdr:cNvPr id="3" name="Text Box 54"/>
        <xdr:cNvSpPr txBox="1">
          <a:spLocks noChangeArrowheads="1"/>
        </xdr:cNvSpPr>
      </xdr:nvSpPr>
      <xdr:spPr bwMode="auto">
        <a:xfrm>
          <a:off x="3255434" y="7770919"/>
          <a:ext cx="6862233" cy="706331"/>
        </a:xfrm>
        <a:prstGeom prst="rect">
          <a:avLst/>
        </a:prstGeom>
        <a:solidFill>
          <a:srgbClr val="D4DDD4"/>
        </a:solidFill>
        <a:ln w="9525">
          <a:noFill/>
          <a:miter lim="800000"/>
          <a:headEnd/>
          <a:tailEnd/>
        </a:ln>
      </xdr:spPr>
      <xdr:txBody>
        <a:bodyPr vertOverflow="clip" wrap="square" lIns="27432" tIns="22860" rIns="0" bIns="0" anchor="t" upright="1"/>
        <a:lstStyle/>
        <a:p>
          <a:pPr algn="just" rtl="0">
            <a:spcBef>
              <a:spcPts val="0"/>
            </a:spcBef>
            <a:defRPr sz="1000"/>
          </a:pPr>
          <a:fld id="{F8CB5B38-2969-4FBA-AC42-D3E3C87D3F9C}" type="TxLink">
            <a:rPr lang="en-US" sz="1100" b="0" i="0" u="none" strike="noStrike" baseline="0">
              <a:solidFill>
                <a:srgbClr val="000000"/>
              </a:solidFill>
              <a:latin typeface="Calibri"/>
              <a:cs typeface="Calibri"/>
            </a:rPr>
            <a:pPr algn="just" rtl="0">
              <a:spcBef>
                <a:spcPts val="0"/>
              </a:spcBef>
              <a:defRPr sz="1000"/>
            </a:pPr>
            <a:t>La gráfica muestra los datos para dos series simultáneamente (en el eje x e y). Correlación (x,y) muestra la correlación lineal de dos series donde -1=correlación perfecta negativa, 0= no hay correlación y 1= correlación perfecta positiva.</a:t>
          </a:fld>
          <a:endParaRPr lang="en-US" sz="1050" b="0" i="1" u="none" strike="noStrike" baseline="0">
            <a:solidFill>
              <a:srgbClr val="000000"/>
            </a:solidFill>
            <a:latin typeface="Calibri"/>
          </a:endParaRPr>
        </a:p>
      </xdr:txBody>
    </xdr:sp>
    <xdr:clientData/>
  </xdr:twoCellAnchor>
  <xdr:twoCellAnchor editAs="absolute">
    <xdr:from>
      <xdr:col>1</xdr:col>
      <xdr:colOff>182880</xdr:colOff>
      <xdr:row>32</xdr:row>
      <xdr:rowOff>40639</xdr:rowOff>
    </xdr:from>
    <xdr:to>
      <xdr:col>1</xdr:col>
      <xdr:colOff>2689860</xdr:colOff>
      <xdr:row>35</xdr:row>
      <xdr:rowOff>116839</xdr:rowOff>
    </xdr:to>
    <xdr:pic>
      <xdr:nvPicPr>
        <xdr:cNvPr id="4" name="Picture 55" descr="ZA00605112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341630" y="7787639"/>
          <a:ext cx="2506980" cy="647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fPrintsWithSheet="0"/>
  </xdr:twoCellAnchor>
  <xdr:twoCellAnchor>
    <xdr:from>
      <xdr:col>0</xdr:col>
      <xdr:colOff>126997</xdr:colOff>
      <xdr:row>3</xdr:row>
      <xdr:rowOff>328080</xdr:rowOff>
    </xdr:from>
    <xdr:to>
      <xdr:col>23</xdr:col>
      <xdr:colOff>455084</xdr:colOff>
      <xdr:row>40</xdr:row>
      <xdr:rowOff>46564</xdr:rowOff>
    </xdr:to>
    <xdr:sp macro="" textlink="">
      <xdr:nvSpPr>
        <xdr:cNvPr id="22" name="BGBLANK" hidden="1"/>
        <xdr:cNvSpPr/>
      </xdr:nvSpPr>
      <xdr:spPr>
        <a:xfrm>
          <a:off x="126997" y="1714497"/>
          <a:ext cx="15419920" cy="75501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GB" sz="1800">
            <a:solidFill>
              <a:sysClr val="windowText" lastClr="000000"/>
            </a:solidFill>
          </a:endParaRPr>
        </a:p>
        <a:p>
          <a:pPr fontAlgn="base"/>
          <a:r>
            <a:rPr lang="en-GB" sz="2000">
              <a:solidFill>
                <a:schemeClr val="tx1">
                  <a:lumMod val="50000"/>
                  <a:lumOff val="50000"/>
                </a:schemeClr>
              </a:solidFill>
              <a:latin typeface="+mn-lt"/>
              <a:ea typeface="+mn-ea"/>
              <a:cs typeface="+mn-cs"/>
            </a:rPr>
            <a:t>An overall score for background indicators is not calculated</a:t>
          </a:r>
          <a:endParaRPr lang="en-GB" sz="2000" baseline="0">
            <a:solidFill>
              <a:schemeClr val="tx1">
                <a:lumMod val="50000"/>
                <a:lumOff val="50000"/>
              </a:schemeClr>
            </a:solidFill>
            <a:latin typeface="+mn-lt"/>
            <a:ea typeface="+mn-ea"/>
            <a:cs typeface="+mn-cs"/>
          </a:endParaRPr>
        </a:p>
        <a:p>
          <a:endParaRPr lang="en-GB" sz="1200">
            <a:solidFill>
              <a:schemeClr val="tx1">
                <a:lumMod val="50000"/>
                <a:lumOff val="50000"/>
              </a:schemeClr>
            </a:solidFill>
            <a:latin typeface="+mn-lt"/>
            <a:ea typeface="+mn-ea"/>
            <a:cs typeface="+mn-cs"/>
          </a:endParaRPr>
        </a:p>
        <a:p>
          <a:r>
            <a:rPr lang="en-GB" sz="1200">
              <a:solidFill>
                <a:schemeClr val="tx1">
                  <a:lumMod val="50000"/>
                  <a:lumOff val="50000"/>
                </a:schemeClr>
              </a:solidFill>
              <a:latin typeface="+mn-lt"/>
              <a:ea typeface="+mn-ea"/>
              <a:cs typeface="+mn-cs"/>
            </a:rPr>
            <a:t>Please select a specific background indicator to see country rankings.</a:t>
          </a:r>
          <a:endParaRPr lang="en-GB" sz="2000">
            <a:solidFill>
              <a:schemeClr val="tx1">
                <a:lumMod val="50000"/>
                <a:lumOff val="50000"/>
              </a:schemeClr>
            </a:solidFill>
          </a:endParaRPr>
        </a:p>
        <a:p>
          <a:pPr algn="l"/>
          <a:endParaRPr lang="en-GB" sz="1200">
            <a:solidFill>
              <a:schemeClr val="bg1">
                <a:lumMod val="50000"/>
              </a:schemeClr>
            </a:solidFill>
          </a:endParaRPr>
        </a:p>
      </xdr:txBody>
    </xdr:sp>
    <xdr:clientData/>
  </xdr:twoCellAnchor>
  <xdr:twoCellAnchor editAs="absolute">
    <xdr:from>
      <xdr:col>15</xdr:col>
      <xdr:colOff>316715</xdr:colOff>
      <xdr:row>2</xdr:row>
      <xdr:rowOff>174394</xdr:rowOff>
    </xdr:from>
    <xdr:to>
      <xdr:col>19</xdr:col>
      <xdr:colOff>339084</xdr:colOff>
      <xdr:row>3</xdr:row>
      <xdr:rowOff>270934</xdr:rowOff>
    </xdr:to>
    <xdr:sp macro="" textlink="_WeightProfile">
      <xdr:nvSpPr>
        <xdr:cNvPr id="47" name="Text Box 6"/>
        <xdr:cNvSpPr txBox="1">
          <a:spLocks noChangeArrowheads="1"/>
        </xdr:cNvSpPr>
      </xdr:nvSpPr>
      <xdr:spPr bwMode="auto">
        <a:xfrm>
          <a:off x="10370882" y="1338561"/>
          <a:ext cx="2160202" cy="371706"/>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Calibri"/>
              <a:cs typeface="Calibri"/>
            </a:rPr>
            <a:pPr algn="l" rtl="0">
              <a:defRPr sz="1000"/>
            </a:pPr>
            <a:t> </a:t>
          </a:fld>
          <a:endParaRPr lang="en-GB" sz="1000" b="0" i="1" u="none" strike="noStrike" baseline="0">
            <a:solidFill>
              <a:schemeClr val="tx1">
                <a:lumMod val="65000"/>
                <a:lumOff val="35000"/>
              </a:schemeClr>
            </a:solidFill>
            <a:latin typeface="Calibri"/>
          </a:endParaRPr>
        </a:p>
      </xdr:txBody>
    </xdr:sp>
    <xdr:clientData fPrintsWithSheet="0"/>
  </xdr:twoCellAnchor>
  <xdr:twoCellAnchor editAs="absolute">
    <xdr:from>
      <xdr:col>0</xdr:col>
      <xdr:colOff>90274</xdr:colOff>
      <xdr:row>1</xdr:row>
      <xdr:rowOff>393872</xdr:rowOff>
    </xdr:from>
    <xdr:to>
      <xdr:col>1</xdr:col>
      <xdr:colOff>1758776</xdr:colOff>
      <xdr:row>1</xdr:row>
      <xdr:rowOff>612287</xdr:rowOff>
    </xdr:to>
    <xdr:sp macro="" textlink="lang!C46">
      <xdr:nvSpPr>
        <xdr:cNvPr id="19" name="lbl_cnt_City_1"/>
        <xdr:cNvSpPr txBox="1"/>
      </xdr:nvSpPr>
      <xdr:spPr>
        <a:xfrm>
          <a:off x="90274" y="700789"/>
          <a:ext cx="1827252" cy="218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3904A5-B344-4639-A118-60A04DA5DDC4}" type="TxLink">
            <a:rPr lang="en-US" sz="1100" b="1" i="0" u="none" strike="noStrike">
              <a:solidFill>
                <a:srgbClr val="000000"/>
              </a:solidFill>
              <a:latin typeface="Calibri"/>
              <a:cs typeface="Calibri"/>
            </a:rPr>
            <a:pPr/>
            <a:t>SELECCIONE SERIE X </a:t>
          </a:fld>
          <a:endParaRPr lang="en-GB" sz="1000" b="1">
            <a:solidFill>
              <a:sysClr val="windowText" lastClr="000000"/>
            </a:solidFill>
          </a:endParaRPr>
        </a:p>
      </xdr:txBody>
    </xdr:sp>
    <xdr:clientData fPrintsWithSheet="0"/>
  </xdr:twoCellAnchor>
  <xdr:twoCellAnchor editAs="absolute">
    <xdr:from>
      <xdr:col>11</xdr:col>
      <xdr:colOff>469528</xdr:colOff>
      <xdr:row>2</xdr:row>
      <xdr:rowOff>720</xdr:rowOff>
    </xdr:from>
    <xdr:to>
      <xdr:col>12</xdr:col>
      <xdr:colOff>538377</xdr:colOff>
      <xdr:row>2</xdr:row>
      <xdr:rowOff>225649</xdr:rowOff>
    </xdr:to>
    <xdr:sp macro="" textlink="lang!C42">
      <xdr:nvSpPr>
        <xdr:cNvPr id="21" name="lbl_cnt_City_1"/>
        <xdr:cNvSpPr txBox="1"/>
      </xdr:nvSpPr>
      <xdr:spPr>
        <a:xfrm>
          <a:off x="8068361" y="1164887"/>
          <a:ext cx="682683"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AA7F9FD-66D5-4234-A4E1-80C56ED892DE}" type="TxLink">
            <a:rPr lang="en-US" sz="1100" b="1" i="0" u="none" strike="noStrike">
              <a:solidFill>
                <a:srgbClr val="000000"/>
              </a:solidFill>
              <a:latin typeface="Calibri"/>
              <a:cs typeface="Calibri"/>
            </a:rPr>
            <a:pPr/>
            <a:t>PONDERACIÓN</a:t>
          </a:fld>
          <a:endParaRPr lang="en-GB" sz="1000" b="1">
            <a:solidFill>
              <a:sysClr val="windowText" lastClr="000000"/>
            </a:solidFill>
          </a:endParaRPr>
        </a:p>
      </xdr:txBody>
    </xdr:sp>
    <xdr:clientData fPrintsWithSheet="0"/>
  </xdr:twoCellAnchor>
  <xdr:twoCellAnchor editAs="absolute">
    <xdr:from>
      <xdr:col>2</xdr:col>
      <xdr:colOff>93951</xdr:colOff>
      <xdr:row>1</xdr:row>
      <xdr:rowOff>606987</xdr:rowOff>
    </xdr:from>
    <xdr:to>
      <xdr:col>3</xdr:col>
      <xdr:colOff>79258</xdr:colOff>
      <xdr:row>1</xdr:row>
      <xdr:rowOff>724373</xdr:rowOff>
    </xdr:to>
    <xdr:pic macro="[0]!CntUpX">
      <xdr:nvPicPr>
        <xdr:cNvPr id="24" name="cnt_series_up2" descr="scroll_up_small.png"/>
        <xdr:cNvPicPr>
          <a:picLocks noChangeAspect="1"/>
        </xdr:cNvPicPr>
      </xdr:nvPicPr>
      <xdr:blipFill>
        <a:blip xmlns:r="http://schemas.openxmlformats.org/officeDocument/2006/relationships" r:embed="rId2" cstate="print"/>
        <a:stretch>
          <a:fillRect/>
        </a:stretch>
      </xdr:blipFill>
      <xdr:spPr>
        <a:xfrm>
          <a:off x="2962034" y="913904"/>
          <a:ext cx="302807" cy="117386"/>
        </a:xfrm>
        <a:prstGeom prst="rect">
          <a:avLst/>
        </a:prstGeom>
      </xdr:spPr>
    </xdr:pic>
    <xdr:clientData fPrintsWithSheet="0"/>
  </xdr:twoCellAnchor>
  <xdr:twoCellAnchor editAs="absolute">
    <xdr:from>
      <xdr:col>2</xdr:col>
      <xdr:colOff>93951</xdr:colOff>
      <xdr:row>1</xdr:row>
      <xdr:rowOff>722430</xdr:rowOff>
    </xdr:from>
    <xdr:to>
      <xdr:col>3</xdr:col>
      <xdr:colOff>79176</xdr:colOff>
      <xdr:row>1</xdr:row>
      <xdr:rowOff>817752</xdr:rowOff>
    </xdr:to>
    <xdr:pic macro="[0]!CntDownX">
      <xdr:nvPicPr>
        <xdr:cNvPr id="25" name="cnt_series_down2" descr="scroll_down_small.png"/>
        <xdr:cNvPicPr>
          <a:picLocks noChangeAspect="1"/>
        </xdr:cNvPicPr>
      </xdr:nvPicPr>
      <xdr:blipFill>
        <a:blip xmlns:r="http://schemas.openxmlformats.org/officeDocument/2006/relationships" r:embed="rId3" cstate="print"/>
        <a:stretch>
          <a:fillRect/>
        </a:stretch>
      </xdr:blipFill>
      <xdr:spPr>
        <a:xfrm>
          <a:off x="2962034" y="1029347"/>
          <a:ext cx="302725" cy="95322"/>
        </a:xfrm>
        <a:prstGeom prst="rect">
          <a:avLst/>
        </a:prstGeom>
      </xdr:spPr>
    </xdr:pic>
    <xdr:clientData fPrintsWithSheet="0"/>
  </xdr:twoCellAnchor>
  <xdr:twoCellAnchor editAs="absolute">
    <xdr:from>
      <xdr:col>5</xdr:col>
      <xdr:colOff>1070799</xdr:colOff>
      <xdr:row>1</xdr:row>
      <xdr:rowOff>389894</xdr:rowOff>
    </xdr:from>
    <xdr:to>
      <xdr:col>7</xdr:col>
      <xdr:colOff>522257</xdr:colOff>
      <xdr:row>1</xdr:row>
      <xdr:rowOff>610163</xdr:rowOff>
    </xdr:to>
    <xdr:sp macro="" textlink="lang!C39">
      <xdr:nvSpPr>
        <xdr:cNvPr id="26" name="lbl_cnt_City_1"/>
        <xdr:cNvSpPr txBox="1"/>
      </xdr:nvSpPr>
      <xdr:spPr>
        <a:xfrm>
          <a:off x="4499799" y="696811"/>
          <a:ext cx="1419958" cy="220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D9263226-171D-428C-8762-8465A559AEBF}" type="TxLink">
            <a:rPr lang="en-US" sz="1100" b="1" i="0" u="none" strike="noStrike">
              <a:solidFill>
                <a:srgbClr val="000000"/>
              </a:solidFill>
              <a:latin typeface="Calibri"/>
              <a:cs typeface="Calibri"/>
            </a:rPr>
            <a:pPr/>
            <a:t>DESTACADO DE LAS CIUDADES</a:t>
          </a:fld>
          <a:endParaRPr lang="en-GB" sz="1000" b="1">
            <a:solidFill>
              <a:sysClr val="windowText" lastClr="000000"/>
            </a:solidFill>
          </a:endParaRPr>
        </a:p>
      </xdr:txBody>
    </xdr:sp>
    <xdr:clientData fPrintsWithSheet="0"/>
  </xdr:twoCellAnchor>
  <xdr:twoCellAnchor editAs="absolute">
    <xdr:from>
      <xdr:col>8</xdr:col>
      <xdr:colOff>129302</xdr:colOff>
      <xdr:row>1</xdr:row>
      <xdr:rowOff>389894</xdr:rowOff>
    </xdr:from>
    <xdr:to>
      <xdr:col>10</xdr:col>
      <xdr:colOff>571343</xdr:colOff>
      <xdr:row>1</xdr:row>
      <xdr:rowOff>626048</xdr:rowOff>
    </xdr:to>
    <xdr:sp macro="" textlink="lang!C40">
      <xdr:nvSpPr>
        <xdr:cNvPr id="27" name="lbl_cnt_City_1"/>
        <xdr:cNvSpPr txBox="1"/>
      </xdr:nvSpPr>
      <xdr:spPr>
        <a:xfrm>
          <a:off x="6140635" y="696811"/>
          <a:ext cx="1415708" cy="23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80C42275-266D-4B57-A673-C34FAB5556B1}" type="TxLink">
            <a:rPr lang="en-US" sz="1100" b="1" i="0" u="none" strike="noStrike">
              <a:solidFill>
                <a:srgbClr val="000000"/>
              </a:solidFill>
              <a:latin typeface="Calibri"/>
              <a:cs typeface="Calibri"/>
            </a:rPr>
            <a:pPr/>
            <a:t>DESTACADO DE LOS GRUPOS</a:t>
          </a:fld>
          <a:endParaRPr lang="en-GB" sz="1000" b="1">
            <a:solidFill>
              <a:sysClr val="windowText" lastClr="000000"/>
            </a:solidFill>
          </a:endParaRPr>
        </a:p>
      </xdr:txBody>
    </xdr:sp>
    <xdr:clientData fPrintsWithSheet="0"/>
  </xdr:twoCellAnchor>
  <xdr:twoCellAnchor editAs="absolute">
    <xdr:from>
      <xdr:col>12</xdr:col>
      <xdr:colOff>11756</xdr:colOff>
      <xdr:row>1</xdr:row>
      <xdr:rowOff>389894</xdr:rowOff>
    </xdr:from>
    <xdr:to>
      <xdr:col>14</xdr:col>
      <xdr:colOff>188116</xdr:colOff>
      <xdr:row>1</xdr:row>
      <xdr:rowOff>626048</xdr:rowOff>
    </xdr:to>
    <xdr:sp macro="" textlink="lang!C41">
      <xdr:nvSpPr>
        <xdr:cNvPr id="28" name="lbl_cnt_City_1"/>
        <xdr:cNvSpPr txBox="1"/>
      </xdr:nvSpPr>
      <xdr:spPr>
        <a:xfrm>
          <a:off x="8224423" y="696811"/>
          <a:ext cx="1404026" cy="23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7AA2D55-35E9-4B92-B884-6292E72CA266}" type="TxLink">
            <a:rPr lang="en-US" sz="1100" b="1" i="0" u="none" strike="noStrike">
              <a:solidFill>
                <a:srgbClr val="000000"/>
              </a:solidFill>
              <a:latin typeface="Calibri"/>
              <a:cs typeface="Calibri"/>
            </a:rPr>
            <a:pPr/>
            <a:t>FILTRO</a:t>
          </a:fld>
          <a:endParaRPr lang="en-GB" sz="1000" b="1">
            <a:solidFill>
              <a:sysClr val="windowText" lastClr="000000"/>
            </a:solidFill>
          </a:endParaRPr>
        </a:p>
      </xdr:txBody>
    </xdr:sp>
    <xdr:clientData fPrintsWithSheet="0"/>
  </xdr:twoCellAnchor>
  <xdr:twoCellAnchor editAs="absolute">
    <xdr:from>
      <xdr:col>5</xdr:col>
      <xdr:colOff>1286485</xdr:colOff>
      <xdr:row>2</xdr:row>
      <xdr:rowOff>9192</xdr:rowOff>
    </xdr:from>
    <xdr:to>
      <xdr:col>7</xdr:col>
      <xdr:colOff>2792</xdr:colOff>
      <xdr:row>2</xdr:row>
      <xdr:rowOff>234121</xdr:rowOff>
    </xdr:to>
    <xdr:sp macro="" textlink="lang!C43">
      <xdr:nvSpPr>
        <xdr:cNvPr id="29" name="lbl_cnt_City_1"/>
        <xdr:cNvSpPr txBox="1"/>
      </xdr:nvSpPr>
      <xdr:spPr>
        <a:xfrm>
          <a:off x="4715485" y="1173359"/>
          <a:ext cx="684807"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02C0208-B009-4124-9924-CAD1D34FE16A}" type="TxLink">
            <a:rPr lang="en-US" sz="1100" b="1" i="0" u="none" strike="noStrike">
              <a:solidFill>
                <a:srgbClr val="000000"/>
              </a:solidFill>
              <a:latin typeface="Calibri"/>
              <a:cs typeface="Calibri"/>
            </a:rPr>
            <a:pPr/>
            <a:t>ETIQUETAS</a:t>
          </a:fld>
          <a:endParaRPr lang="en-GB" sz="1000" b="1">
            <a:solidFill>
              <a:sysClr val="windowText" lastClr="000000"/>
            </a:solidFill>
          </a:endParaRPr>
        </a:p>
      </xdr:txBody>
    </xdr:sp>
    <xdr:clientData fPrintsWithSheet="0"/>
  </xdr:twoCellAnchor>
  <xdr:twoCellAnchor editAs="absolute">
    <xdr:from>
      <xdr:col>8</xdr:col>
      <xdr:colOff>439538</xdr:colOff>
      <xdr:row>2</xdr:row>
      <xdr:rowOff>2836</xdr:rowOff>
    </xdr:from>
    <xdr:to>
      <xdr:col>10</xdr:col>
      <xdr:colOff>150678</xdr:colOff>
      <xdr:row>2</xdr:row>
      <xdr:rowOff>227765</xdr:rowOff>
    </xdr:to>
    <xdr:sp macro="" textlink="lang!C44">
      <xdr:nvSpPr>
        <xdr:cNvPr id="30" name="lbl_cnt_City_1"/>
        <xdr:cNvSpPr txBox="1"/>
      </xdr:nvSpPr>
      <xdr:spPr>
        <a:xfrm>
          <a:off x="6450871" y="1167003"/>
          <a:ext cx="684807"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27989F-DFFC-4DB3-89A0-C00A1FD5C0BC}" type="TxLink">
            <a:rPr lang="en-US" sz="1100" b="1" i="0" u="none" strike="noStrike">
              <a:solidFill>
                <a:srgbClr val="000000"/>
              </a:solidFill>
              <a:latin typeface="Calibri"/>
              <a:cs typeface="Calibri"/>
            </a:rPr>
            <a:pPr/>
            <a:t>OUTLIERS</a:t>
          </a:fld>
          <a:endParaRPr lang="en-GB" sz="1000" b="1">
            <a:solidFill>
              <a:sysClr val="windowText" lastClr="000000"/>
            </a:solidFill>
          </a:endParaRPr>
        </a:p>
      </xdr:txBody>
    </xdr:sp>
    <xdr:clientData fPrintsWithSheet="0"/>
  </xdr:twoCellAnchor>
  <xdr:twoCellAnchor editAs="absolute">
    <xdr:from>
      <xdr:col>22</xdr:col>
      <xdr:colOff>250526</xdr:colOff>
      <xdr:row>1</xdr:row>
      <xdr:rowOff>716077</xdr:rowOff>
    </xdr:from>
    <xdr:to>
      <xdr:col>22</xdr:col>
      <xdr:colOff>556437</xdr:colOff>
      <xdr:row>1</xdr:row>
      <xdr:rowOff>811399</xdr:rowOff>
    </xdr:to>
    <xdr:pic macro="[0]!CntDownY">
      <xdr:nvPicPr>
        <xdr:cNvPr id="32" name="cnt_series_down2" descr="scroll_down_small.png"/>
        <xdr:cNvPicPr>
          <a:picLocks noChangeAspect="1"/>
        </xdr:cNvPicPr>
      </xdr:nvPicPr>
      <xdr:blipFill>
        <a:blip xmlns:r="http://schemas.openxmlformats.org/officeDocument/2006/relationships" r:embed="rId3" cstate="print"/>
        <a:stretch>
          <a:fillRect/>
        </a:stretch>
      </xdr:blipFill>
      <xdr:spPr>
        <a:xfrm>
          <a:off x="14146443" y="1022994"/>
          <a:ext cx="305911" cy="95322"/>
        </a:xfrm>
        <a:prstGeom prst="rect">
          <a:avLst/>
        </a:prstGeom>
      </xdr:spPr>
    </xdr:pic>
    <xdr:clientData fPrintsWithSheet="0"/>
  </xdr:twoCellAnchor>
  <xdr:twoCellAnchor editAs="absolute">
    <xdr:from>
      <xdr:col>17</xdr:col>
      <xdr:colOff>317367</xdr:colOff>
      <xdr:row>1</xdr:row>
      <xdr:rowOff>387246</xdr:rowOff>
    </xdr:from>
    <xdr:to>
      <xdr:col>22</xdr:col>
      <xdr:colOff>544576</xdr:colOff>
      <xdr:row>1</xdr:row>
      <xdr:rowOff>637701</xdr:rowOff>
    </xdr:to>
    <xdr:sp macro="" textlink="lang!C47">
      <xdr:nvSpPr>
        <xdr:cNvPr id="35" name="lbl_cnt_City_1"/>
        <xdr:cNvSpPr txBox="1"/>
      </xdr:nvSpPr>
      <xdr:spPr>
        <a:xfrm>
          <a:off x="11355784" y="694163"/>
          <a:ext cx="3084709" cy="250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EFBA3657-700A-4AA4-AB79-463B0372AB3D}" type="TxLink">
            <a:rPr lang="en-US" sz="1100" b="1" i="0" u="none" strike="noStrike">
              <a:solidFill>
                <a:srgbClr val="000000"/>
              </a:solidFill>
              <a:latin typeface="Calibri"/>
              <a:cs typeface="Calibri"/>
            </a:rPr>
            <a:pPr algn="r"/>
            <a:t>SELECCIONE SERIE Y</a:t>
          </a:fld>
          <a:endParaRPr lang="en-GB" sz="1000" b="1">
            <a:solidFill>
              <a:sysClr val="windowText" lastClr="000000"/>
            </a:solidFill>
          </a:endParaRPr>
        </a:p>
      </xdr:txBody>
    </xdr:sp>
    <xdr:clientData fPrintsWithSheet="0"/>
  </xdr:twoCellAnchor>
  <xdr:twoCellAnchor editAs="absolute">
    <xdr:from>
      <xdr:col>22</xdr:col>
      <xdr:colOff>250526</xdr:colOff>
      <xdr:row>1</xdr:row>
      <xdr:rowOff>600634</xdr:rowOff>
    </xdr:from>
    <xdr:to>
      <xdr:col>22</xdr:col>
      <xdr:colOff>556519</xdr:colOff>
      <xdr:row>1</xdr:row>
      <xdr:rowOff>718020</xdr:rowOff>
    </xdr:to>
    <xdr:pic macro="[0]!CntUpY">
      <xdr:nvPicPr>
        <xdr:cNvPr id="31" name="cnt_series_up2" descr="scroll_up_small.png"/>
        <xdr:cNvPicPr>
          <a:picLocks noChangeAspect="1"/>
        </xdr:cNvPicPr>
      </xdr:nvPicPr>
      <xdr:blipFill>
        <a:blip xmlns:r="http://schemas.openxmlformats.org/officeDocument/2006/relationships" r:embed="rId2" cstate="print"/>
        <a:stretch>
          <a:fillRect/>
        </a:stretch>
      </xdr:blipFill>
      <xdr:spPr>
        <a:xfrm>
          <a:off x="14146443" y="907551"/>
          <a:ext cx="305993" cy="117386"/>
        </a:xfrm>
        <a:prstGeom prst="rect">
          <a:avLst/>
        </a:prstGeom>
      </xdr:spPr>
    </xdr:pic>
    <xdr:clientData fPrintsWithSheet="0"/>
  </xdr:twoCellAnchor>
  <xdr:twoCellAnchor editAs="absolute">
    <xdr:from>
      <xdr:col>22</xdr:col>
      <xdr:colOff>256485</xdr:colOff>
      <xdr:row>2</xdr:row>
      <xdr:rowOff>64246</xdr:rowOff>
    </xdr:from>
    <xdr:to>
      <xdr:col>22</xdr:col>
      <xdr:colOff>598388</xdr:colOff>
      <xdr:row>3</xdr:row>
      <xdr:rowOff>99931</xdr:rowOff>
    </xdr:to>
    <xdr:pic macro="[0]!Generate_PDF">
      <xdr:nvPicPr>
        <xdr:cNvPr id="40" name="exp_pdf" descr="Export current view as PDF"/>
        <xdr:cNvPicPr>
          <a:picLocks noChangeAspect="1"/>
        </xdr:cNvPicPr>
      </xdr:nvPicPr>
      <xdr:blipFill>
        <a:blip xmlns:r="http://schemas.openxmlformats.org/officeDocument/2006/relationships" r:embed="rId4" cstate="print"/>
        <a:srcRect/>
        <a:stretch>
          <a:fillRect/>
        </a:stretch>
      </xdr:blipFill>
      <xdr:spPr bwMode="auto">
        <a:xfrm>
          <a:off x="14152402" y="1228413"/>
          <a:ext cx="341903" cy="310851"/>
        </a:xfrm>
        <a:prstGeom prst="rect">
          <a:avLst/>
        </a:prstGeom>
        <a:noFill/>
        <a:ln w="9525">
          <a:noFill/>
          <a:miter lim="800000"/>
          <a:headEnd/>
          <a:tailEnd/>
        </a:ln>
      </xdr:spPr>
    </xdr:pic>
    <xdr:clientData fPrintsWithSheet="0"/>
  </xdr:twoCellAnchor>
  <xdr:twoCellAnchor editAs="absolute">
    <xdr:from>
      <xdr:col>21</xdr:col>
      <xdr:colOff>513903</xdr:colOff>
      <xdr:row>1</xdr:row>
      <xdr:rowOff>845248</xdr:rowOff>
    </xdr:from>
    <xdr:to>
      <xdr:col>22</xdr:col>
      <xdr:colOff>239923</xdr:colOff>
      <xdr:row>3</xdr:row>
      <xdr:rowOff>121917</xdr:rowOff>
    </xdr:to>
    <xdr:pic macro="[0]!Generate_XL">
      <xdr:nvPicPr>
        <xdr:cNvPr id="41" name="exp_xl" descr="excel-wbg.jpg"/>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xmlns="">
                <a14:imgLayer r:embed="rId6">
                  <a14:imgEffect>
                    <a14:backgroundRemoval t="10000" b="90000" l="10000" r="90000"/>
                  </a14:imgEffect>
                </a14:imgLayer>
              </a14:imgProps>
            </a:ext>
          </a:extLst>
        </a:blip>
        <a:stretch>
          <a:fillRect/>
        </a:stretch>
      </xdr:blipFill>
      <xdr:spPr>
        <a:xfrm>
          <a:off x="13795986" y="1152165"/>
          <a:ext cx="339854" cy="409085"/>
        </a:xfrm>
        <a:prstGeom prst="rect">
          <a:avLst/>
        </a:prstGeom>
      </xdr:spPr>
    </xdr:pic>
    <xdr:clientData fPrintsWithSheet="0"/>
  </xdr:twoCellAnchor>
  <xdr:twoCellAnchor editAs="absolute">
    <xdr:from>
      <xdr:col>7</xdr:col>
      <xdr:colOff>252560</xdr:colOff>
      <xdr:row>1</xdr:row>
      <xdr:rowOff>595375</xdr:rowOff>
    </xdr:from>
    <xdr:to>
      <xdr:col>7</xdr:col>
      <xdr:colOff>558553</xdr:colOff>
      <xdr:row>1</xdr:row>
      <xdr:rowOff>716996</xdr:rowOff>
    </xdr:to>
    <xdr:pic macro="[0]!CntCHLUp">
      <xdr:nvPicPr>
        <xdr:cNvPr id="42" name="cnt_series_up2" descr="scroll_up_small.png"/>
        <xdr:cNvPicPr>
          <a:picLocks noChangeAspect="1"/>
        </xdr:cNvPicPr>
      </xdr:nvPicPr>
      <xdr:blipFill>
        <a:blip xmlns:r="http://schemas.openxmlformats.org/officeDocument/2006/relationships" r:embed="rId2" cstate="print"/>
        <a:stretch>
          <a:fillRect/>
        </a:stretch>
      </xdr:blipFill>
      <xdr:spPr>
        <a:xfrm>
          <a:off x="5650060" y="902292"/>
          <a:ext cx="305993" cy="121621"/>
        </a:xfrm>
        <a:prstGeom prst="rect">
          <a:avLst/>
        </a:prstGeom>
      </xdr:spPr>
    </xdr:pic>
    <xdr:clientData fPrintsWithSheet="0"/>
  </xdr:twoCellAnchor>
  <xdr:twoCellAnchor editAs="absolute">
    <xdr:from>
      <xdr:col>7</xdr:col>
      <xdr:colOff>252560</xdr:colOff>
      <xdr:row>1</xdr:row>
      <xdr:rowOff>715053</xdr:rowOff>
    </xdr:from>
    <xdr:to>
      <xdr:col>7</xdr:col>
      <xdr:colOff>558471</xdr:colOff>
      <xdr:row>1</xdr:row>
      <xdr:rowOff>810375</xdr:rowOff>
    </xdr:to>
    <xdr:pic macro="[0]!CntCHLDown">
      <xdr:nvPicPr>
        <xdr:cNvPr id="43" name="cnt_series_down2" descr="scroll_down_small.png"/>
        <xdr:cNvPicPr>
          <a:picLocks noChangeAspect="1"/>
        </xdr:cNvPicPr>
      </xdr:nvPicPr>
      <xdr:blipFill>
        <a:blip xmlns:r="http://schemas.openxmlformats.org/officeDocument/2006/relationships" r:embed="rId3" cstate="print"/>
        <a:stretch>
          <a:fillRect/>
        </a:stretch>
      </xdr:blipFill>
      <xdr:spPr>
        <a:xfrm>
          <a:off x="5650060" y="1021970"/>
          <a:ext cx="305911" cy="95322"/>
        </a:xfrm>
        <a:prstGeom prst="rect">
          <a:avLst/>
        </a:prstGeom>
      </xdr:spPr>
    </xdr:pic>
    <xdr:clientData fPrintsWithSheet="0"/>
  </xdr:twoCellAnchor>
  <xdr:twoCellAnchor editAs="absolute">
    <xdr:from>
      <xdr:col>0</xdr:col>
      <xdr:colOff>1</xdr:colOff>
      <xdr:row>0</xdr:row>
      <xdr:rowOff>9305</xdr:rowOff>
    </xdr:from>
    <xdr:to>
      <xdr:col>1</xdr:col>
      <xdr:colOff>716280</xdr:colOff>
      <xdr:row>1</xdr:row>
      <xdr:rowOff>56905</xdr:rowOff>
    </xdr:to>
    <xdr:sp macro="" textlink="">
      <xdr:nvSpPr>
        <xdr:cNvPr id="37" name="Home1"/>
        <xdr:cNvSpPr/>
      </xdr:nvSpPr>
      <xdr:spPr>
        <a:xfrm>
          <a:off x="1" y="9305"/>
          <a:ext cx="875029" cy="354517"/>
        </a:xfrm>
        <a:prstGeom prst="rect">
          <a:avLst/>
        </a:prstGeom>
        <a:solidFill>
          <a:schemeClr val="bg1"/>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clientData fPrintsWithSheet="0"/>
  </xdr:twoCellAnchor>
  <xdr:twoCellAnchor editAs="absolute">
    <xdr:from>
      <xdr:col>0</xdr:col>
      <xdr:colOff>78205</xdr:colOff>
      <xdr:row>0</xdr:row>
      <xdr:rowOff>6740</xdr:rowOff>
    </xdr:from>
    <xdr:to>
      <xdr:col>1</xdr:col>
      <xdr:colOff>276436</xdr:colOff>
      <xdr:row>1</xdr:row>
      <xdr:rowOff>39263</xdr:rowOff>
    </xdr:to>
    <xdr:pic macro="[0]!LBChanger">
      <xdr:nvPicPr>
        <xdr:cNvPr id="38" name="Home" descr="Home.png"/>
        <xdr:cNvPicPr>
          <a:picLocks noChangeAspect="1"/>
        </xdr:cNvPicPr>
      </xdr:nvPicPr>
      <xdr:blipFill>
        <a:blip xmlns:r="http://schemas.openxmlformats.org/officeDocument/2006/relationships" r:embed="rId7" cstate="print"/>
        <a:stretch>
          <a:fillRect/>
        </a:stretch>
      </xdr:blipFill>
      <xdr:spPr>
        <a:xfrm>
          <a:off x="78205" y="6740"/>
          <a:ext cx="356981" cy="339440"/>
        </a:xfrm>
        <a:prstGeom prst="rect">
          <a:avLst/>
        </a:prstGeom>
        <a:solidFill>
          <a:schemeClr val="bg1"/>
        </a:solidFill>
      </xdr:spPr>
    </xdr:pic>
    <xdr:clientData fPrintsWithSheet="0"/>
  </xdr:twoCellAnchor>
  <xdr:twoCellAnchor editAs="absolute">
    <xdr:from>
      <xdr:col>1</xdr:col>
      <xdr:colOff>330080</xdr:colOff>
      <xdr:row>0</xdr:row>
      <xdr:rowOff>6739</xdr:rowOff>
    </xdr:from>
    <xdr:to>
      <xdr:col>1</xdr:col>
      <xdr:colOff>679649</xdr:colOff>
      <xdr:row>1</xdr:row>
      <xdr:rowOff>38498</xdr:rowOff>
    </xdr:to>
    <xdr:pic macro="[0]!Navigate_GoBack">
      <xdr:nvPicPr>
        <xdr:cNvPr id="39" name="Picture 38" descr="Silver-Back-Button.png"/>
        <xdr:cNvPicPr>
          <a:picLocks noChangeAspect="1"/>
        </xdr:cNvPicPr>
      </xdr:nvPicPr>
      <xdr:blipFill>
        <a:blip xmlns:r="http://schemas.openxmlformats.org/officeDocument/2006/relationships" r:embed="rId8" cstate="print"/>
        <a:stretch>
          <a:fillRect/>
        </a:stretch>
      </xdr:blipFill>
      <xdr:spPr>
        <a:xfrm>
          <a:off x="488830" y="6739"/>
          <a:ext cx="349569" cy="338676"/>
        </a:xfrm>
        <a:prstGeom prst="rect">
          <a:avLst/>
        </a:prstGeom>
        <a:solidFill>
          <a:schemeClr val="bg1"/>
        </a:solidFill>
      </xdr:spPr>
    </xdr:pic>
    <xdr:clientData fPrintsWithSheet="0"/>
  </xdr:twoCellAnchor>
  <xdr:twoCellAnchor>
    <xdr:from>
      <xdr:col>1</xdr:col>
      <xdr:colOff>1</xdr:colOff>
      <xdr:row>8</xdr:row>
      <xdr:rowOff>0</xdr:rowOff>
    </xdr:from>
    <xdr:to>
      <xdr:col>25</xdr:col>
      <xdr:colOff>21168</xdr:colOff>
      <xdr:row>30</xdr:row>
      <xdr:rowOff>95250</xdr:rowOff>
    </xdr:to>
    <xdr:graphicFrame macro="">
      <xdr:nvGraphicFramePr>
        <xdr:cNvPr id="52" name="Char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1928813</xdr:colOff>
      <xdr:row>8</xdr:row>
      <xdr:rowOff>23812</xdr:rowOff>
    </xdr:from>
    <xdr:to>
      <xdr:col>6</xdr:col>
      <xdr:colOff>2393157</xdr:colOff>
      <xdr:row>18</xdr:row>
      <xdr:rowOff>35719</xdr:rowOff>
    </xdr:to>
    <xdr:sp macro="" textlink="">
      <xdr:nvSpPr>
        <xdr:cNvPr id="36" name="Rectangle 35"/>
        <xdr:cNvSpPr/>
      </xdr:nvSpPr>
      <xdr:spPr>
        <a:xfrm>
          <a:off x="6798469" y="2905125"/>
          <a:ext cx="464344" cy="1357313"/>
        </a:xfrm>
        <a:prstGeom prst="rect">
          <a:avLst/>
        </a:prstGeom>
        <a:solidFill>
          <a:schemeClr val="bg1"/>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p>
      </xdr:txBody>
    </xdr:sp>
    <xdr:clientData/>
  </xdr:twoCellAnchor>
  <xdr:twoCellAnchor>
    <xdr:from>
      <xdr:col>6</xdr:col>
      <xdr:colOff>133349</xdr:colOff>
      <xdr:row>2</xdr:row>
      <xdr:rowOff>534953</xdr:rowOff>
    </xdr:from>
    <xdr:to>
      <xdr:col>6</xdr:col>
      <xdr:colOff>1924050</xdr:colOff>
      <xdr:row>8</xdr:row>
      <xdr:rowOff>0</xdr:rowOff>
    </xdr:to>
    <xdr:sp macro="" textlink="">
      <xdr:nvSpPr>
        <xdr:cNvPr id="3" name="Text Box 6"/>
        <xdr:cNvSpPr txBox="1">
          <a:spLocks noChangeArrowheads="1"/>
        </xdr:cNvSpPr>
      </xdr:nvSpPr>
      <xdr:spPr bwMode="auto">
        <a:xfrm>
          <a:off x="5000624" y="1792253"/>
          <a:ext cx="1790701" cy="1170022"/>
        </a:xfrm>
        <a:prstGeom prst="rect">
          <a:avLst/>
        </a:prstGeom>
        <a:solidFill>
          <a:srgbClr val="FFFFFF"/>
        </a:solidFill>
        <a:ln w="9525">
          <a:solidFill>
            <a:schemeClr val="bg1">
              <a:lumMod val="75000"/>
            </a:schemeClr>
          </a:solidFill>
          <a:miter lim="800000"/>
          <a:headEnd/>
          <a:tailEnd/>
        </a:ln>
      </xdr:spPr>
      <xdr:txBody>
        <a:bodyPr vertOverflow="clip" wrap="square" lIns="108000" tIns="27432" rIns="0" bIns="0" anchor="t" upright="1"/>
        <a:lstStyle/>
        <a:p>
          <a:pPr algn="l" rtl="0">
            <a:defRPr sz="1000"/>
          </a:pPr>
          <a:r>
            <a:rPr lang="en-GB" sz="1100" b="0" i="1" u="none" strike="noStrike" baseline="0">
              <a:solidFill>
                <a:schemeClr val="tx1">
                  <a:lumMod val="65000"/>
                  <a:lumOff val="35000"/>
                </a:schemeClr>
              </a:solidFill>
              <a:latin typeface="Calibri"/>
            </a:rPr>
            <a:t>* Weighted sum of category scores by country compared with the highest, lowest and average scores for all the countries under review.</a:t>
          </a:r>
        </a:p>
      </xdr:txBody>
    </xdr:sp>
    <xdr:clientData/>
  </xdr:twoCellAnchor>
  <xdr:twoCellAnchor>
    <xdr:from>
      <xdr:col>6</xdr:col>
      <xdr:colOff>2076449</xdr:colOff>
      <xdr:row>2</xdr:row>
      <xdr:rowOff>533400</xdr:rowOff>
    </xdr:from>
    <xdr:to>
      <xdr:col>12</xdr:col>
      <xdr:colOff>0</xdr:colOff>
      <xdr:row>30</xdr:row>
      <xdr:rowOff>105833</xdr:rowOff>
    </xdr:to>
    <xdr:graphicFrame macro="">
      <xdr:nvGraphicFramePr>
        <xdr:cNvPr id="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2175937</xdr:colOff>
      <xdr:row>3</xdr:row>
      <xdr:rowOff>63577</xdr:rowOff>
    </xdr:from>
    <xdr:to>
      <xdr:col>6</xdr:col>
      <xdr:colOff>2408770</xdr:colOff>
      <xdr:row>3</xdr:row>
      <xdr:rowOff>222322</xdr:rowOff>
    </xdr:to>
    <xdr:sp macro="" textlink="">
      <xdr:nvSpPr>
        <xdr:cNvPr id="5" name="Rectangle 4"/>
        <xdr:cNvSpPr/>
      </xdr:nvSpPr>
      <xdr:spPr>
        <a:xfrm>
          <a:off x="7054854" y="1767494"/>
          <a:ext cx="232833" cy="158745"/>
        </a:xfrm>
        <a:prstGeom prst="rect">
          <a:avLst/>
        </a:prstGeom>
        <a:solidFill>
          <a:sysClr val="window" lastClr="FFFFFF"/>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GB" sz="1100">
              <a:solidFill>
                <a:sysClr val="windowText" lastClr="000000"/>
              </a:solidFill>
            </a:rPr>
            <a:t>*</a:t>
          </a:r>
        </a:p>
      </xdr:txBody>
    </xdr:sp>
    <xdr:clientData/>
  </xdr:twoCellAnchor>
  <xdr:twoCellAnchor>
    <xdr:from>
      <xdr:col>2</xdr:col>
      <xdr:colOff>359832</xdr:colOff>
      <xdr:row>30</xdr:row>
      <xdr:rowOff>28575</xdr:rowOff>
    </xdr:from>
    <xdr:to>
      <xdr:col>6</xdr:col>
      <xdr:colOff>1809749</xdr:colOff>
      <xdr:row>31</xdr:row>
      <xdr:rowOff>130969</xdr:rowOff>
    </xdr:to>
    <xdr:sp macro="" textlink="lang!E118">
      <xdr:nvSpPr>
        <xdr:cNvPr id="6" name="Rectangle 5"/>
        <xdr:cNvSpPr/>
      </xdr:nvSpPr>
      <xdr:spPr>
        <a:xfrm>
          <a:off x="476249" y="4674658"/>
          <a:ext cx="6212417" cy="292894"/>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100AC31-DB62-486B-A91A-7D111BB40002}" type="TxLink">
            <a:rPr lang="en-US" sz="1100" b="0" i="0" u="none" strike="noStrike">
              <a:solidFill>
                <a:srgbClr val="000000"/>
              </a:solidFill>
              <a:latin typeface="Calibri"/>
              <a:cs typeface="Calibri"/>
            </a:rPr>
            <a:pPr algn="l"/>
            <a:t>Toggle between category and indicator results that are displayed in the 3 buckets below</a:t>
          </a:fld>
          <a:endParaRPr lang="en-GB" sz="1100">
            <a:solidFill>
              <a:srgbClr val="FF0000"/>
            </a:solidFill>
          </a:endParaRPr>
        </a:p>
      </xdr:txBody>
    </xdr:sp>
    <xdr:clientData/>
  </xdr:twoCellAnchor>
  <xdr:twoCellAnchor editAs="oneCell">
    <xdr:from>
      <xdr:col>6</xdr:col>
      <xdr:colOff>145846</xdr:colOff>
      <xdr:row>2</xdr:row>
      <xdr:rowOff>40275</xdr:rowOff>
    </xdr:from>
    <xdr:to>
      <xdr:col>12</xdr:col>
      <xdr:colOff>2983</xdr:colOff>
      <xdr:row>2</xdr:row>
      <xdr:rowOff>485775</xdr:rowOff>
    </xdr:to>
    <xdr:sp macro="" textlink="uxb_works!B87">
      <xdr:nvSpPr>
        <xdr:cNvPr id="23" name="Text Box 54"/>
        <xdr:cNvSpPr txBox="1">
          <a:spLocks noChangeArrowheads="1"/>
        </xdr:cNvSpPr>
      </xdr:nvSpPr>
      <xdr:spPr bwMode="auto">
        <a:xfrm>
          <a:off x="5013121" y="1202325"/>
          <a:ext cx="8648712" cy="445500"/>
        </a:xfrm>
        <a:prstGeom prst="rect">
          <a:avLst/>
        </a:prstGeom>
        <a:solidFill>
          <a:srgbClr val="ECEDEE"/>
        </a:solidFill>
        <a:ln w="9525">
          <a:noFill/>
          <a:miter lim="800000"/>
          <a:headEnd/>
          <a:tailEnd/>
        </a:ln>
      </xdr:spPr>
      <xdr:txBody>
        <a:bodyPr vertOverflow="clip" wrap="square" lIns="36000" tIns="36000" rIns="36000" bIns="36000" anchor="t" upright="1"/>
        <a:lstStyle/>
        <a:p>
          <a:pPr marL="72000" algn="l" rtl="0">
            <a:spcBef>
              <a:spcPts val="600"/>
            </a:spcBef>
            <a:spcAft>
              <a:spcPts val="600"/>
            </a:spcAft>
            <a:defRPr sz="1000"/>
          </a:pPr>
          <a:fld id="{14D69B76-D3C9-4354-B508-09C76D09CE7C}" type="TxLink">
            <a:rPr lang="en-US" sz="1100" b="0" i="0" u="none" strike="noStrike">
              <a:solidFill>
                <a:srgbClr val="000000"/>
              </a:solidFill>
              <a:latin typeface="Calibri"/>
              <a:ea typeface="+mn-ea"/>
              <a:cs typeface="+mn-cs"/>
            </a:rPr>
            <a:pPr marL="72000" algn="l" rtl="0">
              <a:spcBef>
                <a:spcPts val="600"/>
              </a:spcBef>
              <a:spcAft>
                <a:spcPts val="600"/>
              </a:spcAft>
              <a:defRPr sz="1000"/>
            </a:pPr>
            <a:t>En este modelo los puntajes de 0 a 100 representan los puntos más bajos y más altos, respectivamente, medidos por los criterios de cada indicador. Los puntajes son normalizados (0-100, donde 100 = más favorable).</a:t>
          </a:fld>
          <a:endParaRPr lang="en-US" sz="1400" b="0" i="1" u="none" strike="noStrike" baseline="0">
            <a:solidFill>
              <a:srgbClr val="000000"/>
            </a:solidFill>
            <a:latin typeface="Calibri"/>
          </a:endParaRPr>
        </a:p>
      </xdr:txBody>
    </xdr:sp>
    <xdr:clientData fPrintsWithSheet="0"/>
  </xdr:twoCellAnchor>
  <xdr:twoCellAnchor editAs="oneCell">
    <xdr:from>
      <xdr:col>2</xdr:col>
      <xdr:colOff>21167</xdr:colOff>
      <xdr:row>56</xdr:row>
      <xdr:rowOff>31757</xdr:rowOff>
    </xdr:from>
    <xdr:to>
      <xdr:col>2</xdr:col>
      <xdr:colOff>833967</xdr:colOff>
      <xdr:row>57</xdr:row>
      <xdr:rowOff>22232</xdr:rowOff>
    </xdr:to>
    <xdr:sp macro="[0]!returntop" textlink="">
      <xdr:nvSpPr>
        <xdr:cNvPr id="31" name="go_top"/>
        <xdr:cNvSpPr txBox="1"/>
      </xdr:nvSpPr>
      <xdr:spPr>
        <a:xfrm>
          <a:off x="137584" y="9652007"/>
          <a:ext cx="81280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Karla" pitchFamily="2" charset="0"/>
              <a:ea typeface="Karla" pitchFamily="2" charset="0"/>
            </a:rPr>
            <a:t>Back to top</a:t>
          </a:r>
        </a:p>
      </xdr:txBody>
    </xdr:sp>
    <xdr:clientData fPrintsWithSheet="0"/>
  </xdr:twoCellAnchor>
  <xdr:twoCellAnchor editAs="oneCell">
    <xdr:from>
      <xdr:col>10</xdr:col>
      <xdr:colOff>3248025</xdr:colOff>
      <xdr:row>30</xdr:row>
      <xdr:rowOff>148168</xdr:rowOff>
    </xdr:from>
    <xdr:to>
      <xdr:col>12</xdr:col>
      <xdr:colOff>16933</xdr:colOff>
      <xdr:row>31</xdr:row>
      <xdr:rowOff>138643</xdr:rowOff>
    </xdr:to>
    <xdr:sp macro="[0]!returntop" textlink="lang!C112">
      <xdr:nvSpPr>
        <xdr:cNvPr id="16" name="go_top"/>
        <xdr:cNvSpPr txBox="1"/>
      </xdr:nvSpPr>
      <xdr:spPr>
        <a:xfrm>
          <a:off x="12868275" y="4786843"/>
          <a:ext cx="807508"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lstStyle/>
        <a:p>
          <a:pPr algn="ctr" rtl="0">
            <a:defRPr sz="1000"/>
          </a:pPr>
          <a:fld id="{ECDB44CC-8892-4654-8131-94DA69A79C10}" type="TxLink">
            <a:rPr lang="en-US" sz="1100" b="1" i="0" u="none" strike="noStrike" baseline="0">
              <a:solidFill>
                <a:srgbClr val="00B0F0"/>
              </a:solidFill>
              <a:latin typeface="Calibri"/>
              <a:ea typeface="Karla" pitchFamily="2" charset="0"/>
              <a:cs typeface="Calibri"/>
            </a:rPr>
            <a:pPr algn="ctr" rtl="0">
              <a:defRPr sz="1000"/>
            </a:pPr>
            <a:t>Volver arriba</a:t>
          </a:fld>
          <a:endParaRPr lang="en-GB" sz="1100" b="1" i="0" u="sng" strike="noStrike" baseline="0">
            <a:solidFill>
              <a:srgbClr val="00B0F0"/>
            </a:solidFill>
            <a:latin typeface="Karla" pitchFamily="2" charset="0"/>
            <a:ea typeface="Karla" pitchFamily="2" charset="0"/>
          </a:endParaRPr>
        </a:p>
      </xdr:txBody>
    </xdr:sp>
    <xdr:clientData fPrintsWithSheet="0"/>
  </xdr:twoCellAnchor>
  <xdr:twoCellAnchor editAs="absolute">
    <xdr:from>
      <xdr:col>11</xdr:col>
      <xdr:colOff>296961</xdr:colOff>
      <xdr:row>1</xdr:row>
      <xdr:rowOff>450440</xdr:rowOff>
    </xdr:from>
    <xdr:to>
      <xdr:col>11</xdr:col>
      <xdr:colOff>640694</xdr:colOff>
      <xdr:row>1</xdr:row>
      <xdr:rowOff>760030</xdr:rowOff>
    </xdr:to>
    <xdr:pic macro="[0]!Generate_PDF">
      <xdr:nvPicPr>
        <xdr:cNvPr id="18" name="exp_pdf" descr="Export current view as PDF"/>
        <xdr:cNvPicPr>
          <a:picLocks noChangeAspect="1"/>
        </xdr:cNvPicPr>
      </xdr:nvPicPr>
      <xdr:blipFill>
        <a:blip xmlns:r="http://schemas.openxmlformats.org/officeDocument/2006/relationships" r:embed="rId2" cstate="print"/>
        <a:srcRect/>
        <a:stretch>
          <a:fillRect/>
        </a:stretch>
      </xdr:blipFill>
      <xdr:spPr bwMode="auto">
        <a:xfrm>
          <a:off x="13261544" y="757357"/>
          <a:ext cx="343733" cy="309590"/>
        </a:xfrm>
        <a:prstGeom prst="rect">
          <a:avLst/>
        </a:prstGeom>
        <a:noFill/>
        <a:ln w="9525">
          <a:noFill/>
          <a:miter lim="800000"/>
          <a:headEnd/>
          <a:tailEnd/>
        </a:ln>
      </xdr:spPr>
    </xdr:pic>
    <xdr:clientData fPrintsWithSheet="0"/>
  </xdr:twoCellAnchor>
  <xdr:twoCellAnchor editAs="absolute">
    <xdr:from>
      <xdr:col>10</xdr:col>
      <xdr:colOff>3260742</xdr:colOff>
      <xdr:row>1</xdr:row>
      <xdr:rowOff>374242</xdr:rowOff>
    </xdr:from>
    <xdr:to>
      <xdr:col>11</xdr:col>
      <xdr:colOff>280311</xdr:colOff>
      <xdr:row>1</xdr:row>
      <xdr:rowOff>782000</xdr:rowOff>
    </xdr:to>
    <xdr:pic macro="[0]!Generate_XL">
      <xdr:nvPicPr>
        <xdr:cNvPr id="19" name="exp_xl" descr="excel-wbg.jpg"/>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xmlns="">
                <a14:imgLayer r:embed="rId4">
                  <a14:imgEffect>
                    <a14:backgroundRemoval t="10000" b="90000" l="10000" r="90000"/>
                  </a14:imgEffect>
                </a14:imgLayer>
              </a14:imgProps>
            </a:ext>
          </a:extLst>
        </a:blip>
        <a:stretch>
          <a:fillRect/>
        </a:stretch>
      </xdr:blipFill>
      <xdr:spPr>
        <a:xfrm>
          <a:off x="12902159" y="681159"/>
          <a:ext cx="342735" cy="407758"/>
        </a:xfrm>
        <a:prstGeom prst="rect">
          <a:avLst/>
        </a:prstGeom>
        <a:noFill/>
      </xdr:spPr>
    </xdr:pic>
    <xdr:clientData fPrintsWithSheet="0"/>
  </xdr:twoCellAnchor>
  <xdr:twoCellAnchor editAs="absolute">
    <xdr:from>
      <xdr:col>2</xdr:col>
      <xdr:colOff>36704</xdr:colOff>
      <xdr:row>1</xdr:row>
      <xdr:rowOff>356509</xdr:rowOff>
    </xdr:from>
    <xdr:to>
      <xdr:col>2</xdr:col>
      <xdr:colOff>1527176</xdr:colOff>
      <xdr:row>1</xdr:row>
      <xdr:rowOff>602554</xdr:rowOff>
    </xdr:to>
    <xdr:sp macro="" textlink="lang!C49">
      <xdr:nvSpPr>
        <xdr:cNvPr id="20" name="lbl_cnt_City_1"/>
        <xdr:cNvSpPr txBox="1"/>
      </xdr:nvSpPr>
      <xdr:spPr>
        <a:xfrm>
          <a:off x="153121" y="663426"/>
          <a:ext cx="1490472" cy="246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E596330B-BD0F-4979-AC33-FF7F38435E91}" type="TxLink">
            <a:rPr lang="en-US" sz="1100" b="1" i="0" u="none" strike="noStrike">
              <a:solidFill>
                <a:srgbClr val="000000"/>
              </a:solidFill>
              <a:latin typeface="Calibri"/>
              <a:cs typeface="Calibri"/>
            </a:rPr>
            <a:pPr/>
            <a:t>SELECCIONE CIUDAD</a:t>
          </a:fld>
          <a:endParaRPr lang="en-GB" sz="1000" b="1">
            <a:solidFill>
              <a:sysClr val="windowText" lastClr="000000"/>
            </a:solidFill>
          </a:endParaRPr>
        </a:p>
      </xdr:txBody>
    </xdr:sp>
    <xdr:clientData fPrintsWithSheet="0"/>
  </xdr:twoCellAnchor>
  <xdr:twoCellAnchor editAs="absolute">
    <xdr:from>
      <xdr:col>2</xdr:col>
      <xdr:colOff>1513696</xdr:colOff>
      <xdr:row>1</xdr:row>
      <xdr:rowOff>578406</xdr:rowOff>
    </xdr:from>
    <xdr:to>
      <xdr:col>2</xdr:col>
      <xdr:colOff>1818748</xdr:colOff>
      <xdr:row>1</xdr:row>
      <xdr:rowOff>700174</xdr:rowOff>
    </xdr:to>
    <xdr:pic macro="[0]!CityUp">
      <xdr:nvPicPr>
        <xdr:cNvPr id="14" name="cnt_series_up2" descr="scroll_up_small.png"/>
        <xdr:cNvPicPr>
          <a:picLocks noChangeAspect="1"/>
        </xdr:cNvPicPr>
      </xdr:nvPicPr>
      <xdr:blipFill>
        <a:blip xmlns:r="http://schemas.openxmlformats.org/officeDocument/2006/relationships" r:embed="rId5" cstate="print"/>
        <a:stretch>
          <a:fillRect/>
        </a:stretch>
      </xdr:blipFill>
      <xdr:spPr>
        <a:xfrm>
          <a:off x="1630113" y="885323"/>
          <a:ext cx="305052" cy="121768"/>
        </a:xfrm>
        <a:prstGeom prst="rect">
          <a:avLst/>
        </a:prstGeom>
      </xdr:spPr>
    </xdr:pic>
    <xdr:clientData fPrintsWithSheet="0"/>
  </xdr:twoCellAnchor>
  <xdr:twoCellAnchor editAs="absolute">
    <xdr:from>
      <xdr:col>2</xdr:col>
      <xdr:colOff>1513696</xdr:colOff>
      <xdr:row>1</xdr:row>
      <xdr:rowOff>698229</xdr:rowOff>
    </xdr:from>
    <xdr:to>
      <xdr:col>2</xdr:col>
      <xdr:colOff>1818667</xdr:colOff>
      <xdr:row>1</xdr:row>
      <xdr:rowOff>793666</xdr:rowOff>
    </xdr:to>
    <xdr:pic macro="[0]!CityDown">
      <xdr:nvPicPr>
        <xdr:cNvPr id="15" name="cnt_series_down2" descr="scroll_down_small.png"/>
        <xdr:cNvPicPr>
          <a:picLocks noChangeAspect="1"/>
        </xdr:cNvPicPr>
      </xdr:nvPicPr>
      <xdr:blipFill>
        <a:blip xmlns:r="http://schemas.openxmlformats.org/officeDocument/2006/relationships" r:embed="rId6" cstate="print"/>
        <a:stretch>
          <a:fillRect/>
        </a:stretch>
      </xdr:blipFill>
      <xdr:spPr>
        <a:xfrm>
          <a:off x="1630113" y="1005146"/>
          <a:ext cx="304971" cy="95437"/>
        </a:xfrm>
        <a:prstGeom prst="rect">
          <a:avLst/>
        </a:prstGeom>
      </xdr:spPr>
    </xdr:pic>
    <xdr:clientData fPrintsWithSheet="0"/>
  </xdr:twoCellAnchor>
  <xdr:twoCellAnchor editAs="absolute">
    <xdr:from>
      <xdr:col>0</xdr:col>
      <xdr:colOff>1</xdr:colOff>
      <xdr:row>0</xdr:row>
      <xdr:rowOff>9316</xdr:rowOff>
    </xdr:from>
    <xdr:to>
      <xdr:col>2</xdr:col>
      <xdr:colOff>756838</xdr:colOff>
      <xdr:row>1</xdr:row>
      <xdr:rowOff>57345</xdr:rowOff>
    </xdr:to>
    <xdr:sp macro="" textlink="">
      <xdr:nvSpPr>
        <xdr:cNvPr id="21" name="Home1"/>
        <xdr:cNvSpPr/>
      </xdr:nvSpPr>
      <xdr:spPr>
        <a:xfrm>
          <a:off x="1" y="9316"/>
          <a:ext cx="873254" cy="354946"/>
        </a:xfrm>
        <a:prstGeom prst="rect">
          <a:avLst/>
        </a:prstGeom>
        <a:solidFill>
          <a:schemeClr val="bg1"/>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clientData fPrintsWithSheet="0"/>
  </xdr:twoCellAnchor>
  <xdr:twoCellAnchor editAs="absolute">
    <xdr:from>
      <xdr:col>0</xdr:col>
      <xdr:colOff>78047</xdr:colOff>
      <xdr:row>0</xdr:row>
      <xdr:rowOff>6748</xdr:rowOff>
    </xdr:from>
    <xdr:to>
      <xdr:col>2</xdr:col>
      <xdr:colOff>317887</xdr:colOff>
      <xdr:row>1</xdr:row>
      <xdr:rowOff>39682</xdr:rowOff>
    </xdr:to>
    <xdr:pic macro="[0]!LBChanger">
      <xdr:nvPicPr>
        <xdr:cNvPr id="22" name="Home" descr="Home.png"/>
        <xdr:cNvPicPr>
          <a:picLocks noChangeAspect="1"/>
        </xdr:cNvPicPr>
      </xdr:nvPicPr>
      <xdr:blipFill>
        <a:blip xmlns:r="http://schemas.openxmlformats.org/officeDocument/2006/relationships" r:embed="rId7" cstate="print"/>
        <a:stretch>
          <a:fillRect/>
        </a:stretch>
      </xdr:blipFill>
      <xdr:spPr>
        <a:xfrm>
          <a:off x="78047" y="6748"/>
          <a:ext cx="356257" cy="339851"/>
        </a:xfrm>
        <a:prstGeom prst="rect">
          <a:avLst/>
        </a:prstGeom>
        <a:solidFill>
          <a:schemeClr val="bg1"/>
        </a:solidFill>
      </xdr:spPr>
    </xdr:pic>
    <xdr:clientData fPrintsWithSheet="0"/>
  </xdr:twoCellAnchor>
  <xdr:twoCellAnchor editAs="absolute">
    <xdr:from>
      <xdr:col>2</xdr:col>
      <xdr:colOff>371421</xdr:colOff>
      <xdr:row>0</xdr:row>
      <xdr:rowOff>6747</xdr:rowOff>
    </xdr:from>
    <xdr:to>
      <xdr:col>2</xdr:col>
      <xdr:colOff>720281</xdr:colOff>
      <xdr:row>1</xdr:row>
      <xdr:rowOff>38915</xdr:rowOff>
    </xdr:to>
    <xdr:pic macro="[0]!Navigate_GoBack">
      <xdr:nvPicPr>
        <xdr:cNvPr id="24" name="Picture 23" descr="Silver-Back-Button.png"/>
        <xdr:cNvPicPr>
          <a:picLocks noChangeAspect="1"/>
        </xdr:cNvPicPr>
      </xdr:nvPicPr>
      <xdr:blipFill>
        <a:blip xmlns:r="http://schemas.openxmlformats.org/officeDocument/2006/relationships" r:embed="rId8" cstate="print"/>
        <a:stretch>
          <a:fillRect/>
        </a:stretch>
      </xdr:blipFill>
      <xdr:spPr>
        <a:xfrm>
          <a:off x="487838" y="6747"/>
          <a:ext cx="348860" cy="339085"/>
        </a:xfrm>
        <a:prstGeom prst="rect">
          <a:avLst/>
        </a:prstGeom>
        <a:solidFill>
          <a:schemeClr val="bg1"/>
        </a:solidFill>
      </xdr:spPr>
    </xdr:pic>
    <xdr:clientData fPrintsWithSheet="0"/>
  </xdr:twoCellAnchor>
  <xdr:twoCellAnchor editAs="absolute">
    <xdr:from>
      <xdr:col>6</xdr:col>
      <xdr:colOff>2695067</xdr:colOff>
      <xdr:row>1</xdr:row>
      <xdr:rowOff>380138</xdr:rowOff>
    </xdr:from>
    <xdr:to>
      <xdr:col>10</xdr:col>
      <xdr:colOff>930189</xdr:colOff>
      <xdr:row>1</xdr:row>
      <xdr:rowOff>847717</xdr:rowOff>
    </xdr:to>
    <xdr:sp macro="" textlink="_WeightProfile">
      <xdr:nvSpPr>
        <xdr:cNvPr id="33" name="Text Box 6"/>
        <xdr:cNvSpPr txBox="1">
          <a:spLocks noChangeArrowheads="1"/>
        </xdr:cNvSpPr>
      </xdr:nvSpPr>
      <xdr:spPr bwMode="auto">
        <a:xfrm>
          <a:off x="7573984" y="687055"/>
          <a:ext cx="2997622" cy="467579"/>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Calibri"/>
              <a:cs typeface="Calibri"/>
            </a:rPr>
            <a:pPr algn="l" rtl="0">
              <a:defRPr sz="1000"/>
            </a:pPr>
            <a:t> </a:t>
          </a:fld>
          <a:endParaRPr lang="en-GB" sz="1000" b="0" i="1" u="none" strike="noStrike" baseline="0">
            <a:solidFill>
              <a:schemeClr val="tx1">
                <a:lumMod val="65000"/>
                <a:lumOff val="35000"/>
              </a:schemeClr>
            </a:solidFill>
            <a:latin typeface="Calibri"/>
          </a:endParaRPr>
        </a:p>
      </xdr:txBody>
    </xdr:sp>
    <xdr:clientData fPrintsWithSheet="0"/>
  </xdr:twoCellAnchor>
  <xdr:twoCellAnchor editAs="absolute">
    <xdr:from>
      <xdr:col>10</xdr:col>
      <xdr:colOff>1025298</xdr:colOff>
      <xdr:row>1</xdr:row>
      <xdr:rowOff>351511</xdr:rowOff>
    </xdr:from>
    <xdr:to>
      <xdr:col>10</xdr:col>
      <xdr:colOff>1706595</xdr:colOff>
      <xdr:row>1</xdr:row>
      <xdr:rowOff>576712</xdr:rowOff>
    </xdr:to>
    <xdr:sp macro="" textlink="lang!C42">
      <xdr:nvSpPr>
        <xdr:cNvPr id="34" name="lbl_cnt_City_1"/>
        <xdr:cNvSpPr txBox="1"/>
      </xdr:nvSpPr>
      <xdr:spPr>
        <a:xfrm>
          <a:off x="10666715" y="658428"/>
          <a:ext cx="681297" cy="22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AC8F5D42-FD05-4C70-A042-0C8661478D24}" type="TxLink">
            <a:rPr lang="en-US" sz="1100" b="1" i="0" u="none" strike="noStrike">
              <a:solidFill>
                <a:srgbClr val="000000"/>
              </a:solidFill>
              <a:latin typeface="Calibri"/>
              <a:cs typeface="Calibri"/>
            </a:rPr>
            <a:pPr/>
            <a:t>PONDERACIÓN</a:t>
          </a:fld>
          <a:endParaRPr lang="en-GB" sz="1000" b="1">
            <a:solidFill>
              <a:sysClr val="windowText" lastClr="000000"/>
            </a:solidFill>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18</xdr:col>
      <xdr:colOff>431311</xdr:colOff>
      <xdr:row>1</xdr:row>
      <xdr:rowOff>385094</xdr:rowOff>
    </xdr:from>
    <xdr:to>
      <xdr:col>18</xdr:col>
      <xdr:colOff>797314</xdr:colOff>
      <xdr:row>1</xdr:row>
      <xdr:rowOff>687239</xdr:rowOff>
    </xdr:to>
    <xdr:pic macro="[0]!Generate_PDF">
      <xdr:nvPicPr>
        <xdr:cNvPr id="5" name="exp_pdf" descr="Export current view as PDF"/>
        <xdr:cNvPicPr>
          <a:picLocks noChangeAspect="1"/>
        </xdr:cNvPicPr>
      </xdr:nvPicPr>
      <xdr:blipFill>
        <a:blip xmlns:r="http://schemas.openxmlformats.org/officeDocument/2006/relationships" r:embed="rId1" cstate="print"/>
        <a:srcRect/>
        <a:stretch>
          <a:fillRect/>
        </a:stretch>
      </xdr:blipFill>
      <xdr:spPr bwMode="auto">
        <a:xfrm>
          <a:off x="14194936" y="692011"/>
          <a:ext cx="366003" cy="302145"/>
        </a:xfrm>
        <a:prstGeom prst="rect">
          <a:avLst/>
        </a:prstGeom>
        <a:noFill/>
        <a:ln w="9525">
          <a:noFill/>
          <a:miter lim="800000"/>
          <a:headEnd/>
          <a:tailEnd/>
        </a:ln>
      </xdr:spPr>
    </xdr:pic>
    <xdr:clientData fPrintsWithSheet="0"/>
  </xdr:twoCellAnchor>
  <xdr:twoCellAnchor editAs="absolute">
    <xdr:from>
      <xdr:col>18</xdr:col>
      <xdr:colOff>48448</xdr:colOff>
      <xdr:row>1</xdr:row>
      <xdr:rowOff>310727</xdr:rowOff>
    </xdr:from>
    <xdr:to>
      <xdr:col>18</xdr:col>
      <xdr:colOff>413582</xdr:colOff>
      <xdr:row>1</xdr:row>
      <xdr:rowOff>708682</xdr:rowOff>
    </xdr:to>
    <xdr:pic macro="[0]!Generate_XL">
      <xdr:nvPicPr>
        <xdr:cNvPr id="6" name="exp_xl" descr="excel-wbg.jpg"/>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xmlns="">
                <a14:imgLayer r:embed="rId3">
                  <a14:imgEffect>
                    <a14:backgroundRemoval t="10000" b="90000" l="10000" r="90000"/>
                  </a14:imgEffect>
                </a14:imgLayer>
              </a14:imgProps>
            </a:ext>
          </a:extLst>
        </a:blip>
        <a:stretch>
          <a:fillRect/>
        </a:stretch>
      </xdr:blipFill>
      <xdr:spPr>
        <a:xfrm>
          <a:off x="13813397" y="617644"/>
          <a:ext cx="363810" cy="397955"/>
        </a:xfrm>
        <a:prstGeom prst="rect">
          <a:avLst/>
        </a:prstGeom>
      </xdr:spPr>
    </xdr:pic>
    <xdr:clientData fPrintsWithSheet="0"/>
  </xdr:twoCellAnchor>
  <xdr:twoCellAnchor editAs="absolute">
    <xdr:from>
      <xdr:col>13</xdr:col>
      <xdr:colOff>2839080</xdr:colOff>
      <xdr:row>1</xdr:row>
      <xdr:rowOff>427690</xdr:rowOff>
    </xdr:from>
    <xdr:to>
      <xdr:col>15</xdr:col>
      <xdr:colOff>692339</xdr:colOff>
      <xdr:row>1</xdr:row>
      <xdr:rowOff>883030</xdr:rowOff>
    </xdr:to>
    <xdr:sp macro="" textlink="_WeightProfile">
      <xdr:nvSpPr>
        <xdr:cNvPr id="2" name="Text Box 6"/>
        <xdr:cNvSpPr txBox="1">
          <a:spLocks noChangeArrowheads="1"/>
        </xdr:cNvSpPr>
      </xdr:nvSpPr>
      <xdr:spPr bwMode="auto">
        <a:xfrm>
          <a:off x="8061955" y="734607"/>
          <a:ext cx="3219009" cy="455340"/>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Karla" pitchFamily="2" charset="0"/>
              <a:ea typeface="Karla" pitchFamily="2" charset="0"/>
              <a:cs typeface="Calibri"/>
            </a:rPr>
            <a:pPr algn="l" rtl="0">
              <a:defRPr sz="1000"/>
            </a:pPr>
            <a:t> </a:t>
          </a:fld>
          <a:endParaRPr lang="en-GB" sz="1000" b="0" i="1" u="none" strike="noStrike" baseline="0">
            <a:solidFill>
              <a:schemeClr val="tx1">
                <a:lumMod val="65000"/>
                <a:lumOff val="35000"/>
              </a:schemeClr>
            </a:solidFill>
            <a:latin typeface="Karla" pitchFamily="2" charset="0"/>
            <a:ea typeface="Karla" pitchFamily="2" charset="0"/>
          </a:endParaRPr>
        </a:p>
      </xdr:txBody>
    </xdr:sp>
    <xdr:clientData fPrintsWithSheet="0"/>
  </xdr:twoCellAnchor>
  <xdr:twoCellAnchor editAs="absolute">
    <xdr:from>
      <xdr:col>15</xdr:col>
      <xdr:colOff>758679</xdr:colOff>
      <xdr:row>1</xdr:row>
      <xdr:rowOff>264103</xdr:rowOff>
    </xdr:from>
    <xdr:to>
      <xdr:col>16</xdr:col>
      <xdr:colOff>435696</xdr:colOff>
      <xdr:row>1</xdr:row>
      <xdr:rowOff>484218</xdr:rowOff>
    </xdr:to>
    <xdr:sp macro="" textlink="lang!C42">
      <xdr:nvSpPr>
        <xdr:cNvPr id="3" name="lbl_cnt_City_1"/>
        <xdr:cNvSpPr txBox="1"/>
      </xdr:nvSpPr>
      <xdr:spPr>
        <a:xfrm>
          <a:off x="11347304" y="571020"/>
          <a:ext cx="735350" cy="22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4EDAECAA-67E4-4087-B4FE-EE0FD18092F3}" type="TxLink">
            <a:rPr lang="en-US" sz="1100" b="1" i="0" u="none" strike="noStrike">
              <a:solidFill>
                <a:srgbClr val="000000"/>
              </a:solidFill>
              <a:latin typeface="Calibri"/>
              <a:ea typeface="Karla" pitchFamily="2" charset="0"/>
              <a:cs typeface="Calibri"/>
            </a:rPr>
            <a:pPr/>
            <a:t>PONDERACIÓN</a:t>
          </a:fld>
          <a:endParaRPr lang="en-GB" sz="1000" b="1">
            <a:solidFill>
              <a:sysClr val="windowText" lastClr="000000"/>
            </a:solidFill>
            <a:latin typeface="+mn-lt"/>
            <a:ea typeface="Karla" pitchFamily="2" charset="0"/>
          </a:endParaRP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56</xdr:row>
      <xdr:rowOff>0</xdr:rowOff>
    </xdr:from>
    <xdr:to>
      <xdr:col>7</xdr:col>
      <xdr:colOff>873143</xdr:colOff>
      <xdr:row>56</xdr:row>
      <xdr:rowOff>176617</xdr:rowOff>
    </xdr:to>
    <xdr:sp macro="[0]!returntop" textlink="">
      <xdr:nvSpPr>
        <xdr:cNvPr id="18" name="go_top"/>
        <xdr:cNvSpPr txBox="1"/>
      </xdr:nvSpPr>
      <xdr:spPr>
        <a:xfrm>
          <a:off x="179917" y="23145750"/>
          <a:ext cx="873143" cy="176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Karla" pitchFamily="2" charset="0"/>
              <a:ea typeface="Karla" pitchFamily="2" charset="0"/>
            </a:rPr>
            <a:t>Back to top</a:t>
          </a:r>
        </a:p>
      </xdr:txBody>
    </xdr:sp>
    <xdr:clientData/>
  </xdr:twoCellAnchor>
  <xdr:twoCellAnchor>
    <xdr:from>
      <xdr:col>1</xdr:col>
      <xdr:colOff>0</xdr:colOff>
      <xdr:row>56</xdr:row>
      <xdr:rowOff>0</xdr:rowOff>
    </xdr:from>
    <xdr:to>
      <xdr:col>7</xdr:col>
      <xdr:colOff>873143</xdr:colOff>
      <xdr:row>56</xdr:row>
      <xdr:rowOff>176617</xdr:rowOff>
    </xdr:to>
    <xdr:sp macro="[0]!returntop" textlink="">
      <xdr:nvSpPr>
        <xdr:cNvPr id="3" name="go_top"/>
        <xdr:cNvSpPr txBox="1"/>
      </xdr:nvSpPr>
      <xdr:spPr>
        <a:xfrm>
          <a:off x="180975" y="19507200"/>
          <a:ext cx="873143" cy="176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Karla" pitchFamily="2" charset="0"/>
              <a:ea typeface="Karla" pitchFamily="2" charset="0"/>
            </a:rPr>
            <a:t>Back to top</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31</xdr:col>
      <xdr:colOff>6803</xdr:colOff>
      <xdr:row>3</xdr:row>
      <xdr:rowOff>0</xdr:rowOff>
    </xdr:to>
    <xdr:sp macro="" textlink="">
      <xdr:nvSpPr>
        <xdr:cNvPr id="15" name="nav_controls"/>
        <xdr:cNvSpPr/>
      </xdr:nvSpPr>
      <xdr:spPr>
        <a:xfrm>
          <a:off x="0" y="0"/>
          <a:ext cx="30255482" cy="1524000"/>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clientData fPrintsWithSheet="0"/>
  </xdr:twoCellAnchor>
  <xdr:twoCellAnchor editAs="absolute">
    <xdr:from>
      <xdr:col>0</xdr:col>
      <xdr:colOff>0</xdr:colOff>
      <xdr:row>0</xdr:row>
      <xdr:rowOff>0</xdr:rowOff>
    </xdr:from>
    <xdr:to>
      <xdr:col>15</xdr:col>
      <xdr:colOff>613654</xdr:colOff>
      <xdr:row>57</xdr:row>
      <xdr:rowOff>131231</xdr:rowOff>
    </xdr:to>
    <xdr:grpSp>
      <xdr:nvGrpSpPr>
        <xdr:cNvPr id="28" name="MENU"/>
        <xdr:cNvGrpSpPr/>
      </xdr:nvGrpSpPr>
      <xdr:grpSpPr>
        <a:xfrm>
          <a:off x="0" y="0"/>
          <a:ext cx="13793873" cy="21169575"/>
          <a:chOff x="3625" y="6073"/>
          <a:chExt cx="13768737" cy="21266148"/>
        </a:xfrm>
      </xdr:grpSpPr>
      <xdr:grpSp>
        <xdr:nvGrpSpPr>
          <xdr:cNvPr id="6" name="Group 5"/>
          <xdr:cNvGrpSpPr/>
        </xdr:nvGrpSpPr>
        <xdr:grpSpPr>
          <a:xfrm>
            <a:off x="137854" y="1120506"/>
            <a:ext cx="1804019" cy="339472"/>
            <a:chOff x="137584" y="709083"/>
            <a:chExt cx="1799167" cy="338667"/>
          </a:xfrm>
        </xdr:grpSpPr>
        <xdr:sp macro="[0]!Switch" textlink="">
          <xdr:nvSpPr>
            <xdr:cNvPr id="4" name="Data"/>
            <xdr:cNvSpPr/>
          </xdr:nvSpPr>
          <xdr:spPr>
            <a:xfrm>
              <a:off x="137584" y="709083"/>
              <a:ext cx="899583" cy="338667"/>
            </a:xfrm>
            <a:prstGeom prst="rect">
              <a:avLst/>
            </a:prstGeom>
            <a:solidFill>
              <a:srgbClr val="FFFFFF"/>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GB" sz="1100">
                  <a:solidFill>
                    <a:srgbClr val="3B6E8F"/>
                  </a:solidFill>
                </a:rPr>
                <a:t>DATOS</a:t>
              </a:r>
            </a:p>
          </xdr:txBody>
        </xdr:sp>
        <xdr:sp macro="[0]!Switch" textlink="">
          <xdr:nvSpPr>
            <xdr:cNvPr id="5" name="Score"/>
            <xdr:cNvSpPr/>
          </xdr:nvSpPr>
          <xdr:spPr>
            <a:xfrm>
              <a:off x="1037168" y="709083"/>
              <a:ext cx="899583" cy="338667"/>
            </a:xfrm>
            <a:prstGeom prst="rect">
              <a:avLst/>
            </a:prstGeom>
            <a:solidFill>
              <a:srgbClr val="004770"/>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GB" sz="1100">
                  <a:solidFill>
                    <a:srgbClr val="FFFFFF"/>
                  </a:solidFill>
                </a:rPr>
                <a:t>PUNTAJE</a:t>
              </a:r>
            </a:p>
          </xdr:txBody>
        </xdr:sp>
      </xdr:grpSp>
      <xdr:sp macro="[0]!returntop" textlink="lang!C112">
        <xdr:nvSpPr>
          <xdr:cNvPr id="7" name="go_top"/>
          <xdr:cNvSpPr txBox="1"/>
        </xdr:nvSpPr>
        <xdr:spPr>
          <a:xfrm>
            <a:off x="179917" y="21090816"/>
            <a:ext cx="820842" cy="181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050" b="1" i="0" u="sng" strike="noStrike" baseline="0">
                <a:solidFill>
                  <a:srgbClr val="0070C0"/>
                </a:solidFill>
                <a:latin typeface="Calibri"/>
                <a:ea typeface="Karla" pitchFamily="2" charset="0"/>
                <a:cs typeface="Calibri"/>
              </a:rPr>
              <a:pPr algn="l" rtl="0">
                <a:defRPr sz="1000"/>
              </a:pPr>
              <a:t>Volver arriba</a:t>
            </a:fld>
            <a:endParaRPr lang="en-GB" sz="1050" b="1" i="0" u="sng" strike="noStrike" baseline="0">
              <a:solidFill>
                <a:srgbClr val="0070C0"/>
              </a:solidFill>
              <a:latin typeface="+mn-lt"/>
              <a:ea typeface="Karla" pitchFamily="2" charset="0"/>
            </a:endParaRPr>
          </a:p>
        </xdr:txBody>
      </xdr:sp>
      <xdr:sp macro="[0]!LBChanger" textlink="lang!C5">
        <xdr:nvSpPr>
          <xdr:cNvPr id="16" name="Summary"/>
          <xdr:cNvSpPr/>
        </xdr:nvSpPr>
        <xdr:spPr>
          <a:xfrm>
            <a:off x="868627" y="324851"/>
            <a:ext cx="3231372" cy="373478"/>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17" name="Home1"/>
          <xdr:cNvSpPr/>
        </xdr:nvSpPr>
        <xdr:spPr>
          <a:xfrm>
            <a:off x="3625" y="324851"/>
            <a:ext cx="867791" cy="373478"/>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18" name="Home" descr="Home.png"/>
          <xdr:cNvPicPr>
            <a:picLocks noChangeAspect="1"/>
          </xdr:cNvPicPr>
        </xdr:nvPicPr>
        <xdr:blipFill>
          <a:blip xmlns:r="http://schemas.openxmlformats.org/officeDocument/2006/relationships" r:embed="rId1" cstate="print"/>
          <a:stretch>
            <a:fillRect/>
          </a:stretch>
        </xdr:blipFill>
        <xdr:spPr>
          <a:xfrm>
            <a:off x="81563" y="331933"/>
            <a:ext cx="356307" cy="344824"/>
          </a:xfrm>
          <a:prstGeom prst="rect">
            <a:avLst/>
          </a:prstGeom>
        </xdr:spPr>
      </xdr:pic>
      <xdr:pic macro="[0]!Navigate_GoBack">
        <xdr:nvPicPr>
          <xdr:cNvPr id="19" name="Picture 18" descr="Silver-Back-Button.png"/>
          <xdr:cNvPicPr>
            <a:picLocks noChangeAspect="1"/>
          </xdr:cNvPicPr>
        </xdr:nvPicPr>
        <xdr:blipFill>
          <a:blip xmlns:r="http://schemas.openxmlformats.org/officeDocument/2006/relationships" r:embed="rId2" cstate="print"/>
          <a:stretch>
            <a:fillRect/>
          </a:stretch>
        </xdr:blipFill>
        <xdr:spPr>
          <a:xfrm>
            <a:off x="491331" y="331932"/>
            <a:ext cx="343581" cy="344051"/>
          </a:xfrm>
          <a:prstGeom prst="rect">
            <a:avLst/>
          </a:prstGeom>
        </xdr:spPr>
      </xdr:pic>
      <xdr:sp macro="[0]!LBChanger" textlink="lang!C6">
        <xdr:nvSpPr>
          <xdr:cNvPr id="20" name="Definiciones"/>
          <xdr:cNvSpPr/>
        </xdr:nvSpPr>
        <xdr:spPr>
          <a:xfrm>
            <a:off x="4091091" y="329343"/>
            <a:ext cx="3224624" cy="36686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21" name="1. Map"/>
          <xdr:cNvSpPr/>
        </xdr:nvSpPr>
        <xdr:spPr>
          <a:xfrm>
            <a:off x="7317624" y="329343"/>
            <a:ext cx="3225900" cy="36686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22" name="DataDisplay2"/>
          <xdr:cNvSpPr/>
        </xdr:nvSpPr>
        <xdr:spPr>
          <a:xfrm>
            <a:off x="10539699" y="329343"/>
            <a:ext cx="3225900" cy="366864"/>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chemeClr val="bg1"/>
                </a:solidFill>
                <a:latin typeface="Arial" pitchFamily="34" charset="0"/>
                <a:ea typeface="Karla" pitchFamily="2" charset="0"/>
                <a:cs typeface="Arial" pitchFamily="34" charset="0"/>
              </a:rPr>
              <a:pPr algn="ctr"/>
              <a:t>DATOS</a:t>
            </a:fld>
            <a:endParaRPr lang="en-GB" sz="1800" b="1">
              <a:solidFill>
                <a:schemeClr val="bg1"/>
              </a:solidFill>
              <a:latin typeface="Arial" pitchFamily="34" charset="0"/>
              <a:ea typeface="Karla" pitchFamily="2" charset="0"/>
              <a:cs typeface="Arial" pitchFamily="34" charset="0"/>
            </a:endParaRPr>
          </a:p>
        </xdr:txBody>
      </xdr:sp>
      <xdr:sp macro="" textlink="lang!C3">
        <xdr:nvSpPr>
          <xdr:cNvPr id="23" name="header"/>
          <xdr:cNvSpPr/>
        </xdr:nvSpPr>
        <xdr:spPr>
          <a:xfrm>
            <a:off x="7035" y="6073"/>
            <a:ext cx="13765327" cy="326172"/>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32">
        <xdr:nvSpPr>
          <xdr:cNvPr id="13" name="DataDisplay"/>
          <xdr:cNvSpPr/>
        </xdr:nvSpPr>
        <xdr:spPr>
          <a:xfrm>
            <a:off x="7256522" y="704240"/>
            <a:ext cx="2169130" cy="26960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DFC8FAE-4213-41D8-B3E3-ACDF4295E436}" type="TxLink">
              <a:rPr lang="en-US" sz="1100" b="1" i="0" u="none" strike="noStrike">
                <a:solidFill>
                  <a:schemeClr val="bg1"/>
                </a:solidFill>
                <a:latin typeface="Calibri"/>
                <a:cs typeface="DilleniaUPC" pitchFamily="18" charset="-34"/>
              </a:rPr>
              <a:pPr algn="ctr"/>
              <a:t>DATOS &amp; PUNTAJE</a:t>
            </a:fld>
            <a:endParaRPr lang="en-GB" sz="1200" b="1">
              <a:solidFill>
                <a:schemeClr val="bg1"/>
              </a:solidFill>
              <a:latin typeface="+mn-lt"/>
              <a:cs typeface="DilleniaUPC" pitchFamily="18" charset="-34"/>
            </a:endParaRPr>
          </a:p>
        </xdr:txBody>
      </xdr:sp>
      <xdr:sp macro="[0]!LBChanger" textlink="lang!C33">
        <xdr:nvSpPr>
          <xdr:cNvPr id="14" name="Weights"/>
          <xdr:cNvSpPr/>
        </xdr:nvSpPr>
        <xdr:spPr>
          <a:xfrm>
            <a:off x="9425670" y="695773"/>
            <a:ext cx="2170195"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A7C079-626C-46EE-A45C-9C1CC10DDB1A}" type="TxLink">
              <a:rPr lang="en-US" sz="1100" b="1" i="0" u="none" strike="noStrike">
                <a:solidFill>
                  <a:srgbClr val="004770"/>
                </a:solidFill>
                <a:latin typeface="Calibri"/>
                <a:cs typeface="DilleniaUPC" pitchFamily="18" charset="-34"/>
              </a:rPr>
              <a:pPr algn="ctr"/>
              <a:t>PONDERACIONES</a:t>
            </a:fld>
            <a:endParaRPr lang="en-GB" sz="1400" b="1">
              <a:solidFill>
                <a:srgbClr val="004770"/>
              </a:solidFill>
              <a:latin typeface="+mn-lt"/>
              <a:cs typeface="DilleniaUPC" pitchFamily="18" charset="-34"/>
            </a:endParaRPr>
          </a:p>
        </xdr:txBody>
      </xdr:sp>
      <xdr:pic macro="[0]!Generate_PDF">
        <xdr:nvPicPr>
          <xdr:cNvPr id="10"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7171" y="1133221"/>
            <a:ext cx="341339" cy="330957"/>
          </a:xfrm>
          <a:prstGeom prst="rect">
            <a:avLst/>
          </a:prstGeom>
          <a:noFill/>
          <a:ln w="9525">
            <a:noFill/>
            <a:miter lim="800000"/>
            <a:headEnd/>
            <a:tailEnd/>
          </a:ln>
        </xdr:spPr>
      </xdr:pic>
      <xdr:pic macro="[0]!Generate_XL">
        <xdr:nvPicPr>
          <xdr:cNvPr id="11"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9756" y="1051813"/>
            <a:ext cx="340888" cy="435838"/>
          </a:xfrm>
          <a:prstGeom prst="rect">
            <a:avLst/>
          </a:prstGeom>
        </xdr:spPr>
      </xdr:pic>
      <xdr:sp macro="" textlink="lang!C34">
        <xdr:nvSpPr>
          <xdr:cNvPr id="25" name="lbl_cnt_City_1"/>
          <xdr:cNvSpPr txBox="1"/>
        </xdr:nvSpPr>
        <xdr:spPr>
          <a:xfrm>
            <a:off x="148458" y="897728"/>
            <a:ext cx="2546304" cy="201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A5FEF4D9-246E-4F87-8D54-40382A157D66}" type="TxLink">
              <a:rPr lang="en-US" sz="1100" b="0" i="0" u="none" strike="noStrike">
                <a:solidFill>
                  <a:srgbClr val="000000"/>
                </a:solidFill>
                <a:latin typeface="Calibri"/>
                <a:ea typeface="Karla" pitchFamily="2" charset="0"/>
                <a:cs typeface="Calibri"/>
              </a:rPr>
              <a:pPr/>
              <a:t>SELECCIONE DATOS O PUNTAJE</a:t>
            </a:fld>
            <a:endParaRPr lang="en-GB" sz="1000" b="1">
              <a:solidFill>
                <a:sysClr val="windowText" lastClr="000000"/>
              </a:solidFill>
              <a:latin typeface="+mn-lt"/>
              <a:ea typeface="Karla" pitchFamily="2" charset="0"/>
            </a:endParaRPr>
          </a:p>
        </xdr:txBody>
      </xdr:sp>
      <xdr:sp macro="[0]!LBChanger" textlink="lang!C35">
        <xdr:nvSpPr>
          <xdr:cNvPr id="26" name="UserDataIn"/>
          <xdr:cNvSpPr/>
        </xdr:nvSpPr>
        <xdr:spPr>
          <a:xfrm>
            <a:off x="11596798" y="695776"/>
            <a:ext cx="2170195"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4A8E89-48A3-459B-8BF5-251095E9817C}" type="TxLink">
              <a:rPr lang="en-US" sz="1100" b="1" i="0" u="none" strike="noStrike">
                <a:solidFill>
                  <a:srgbClr val="004770"/>
                </a:solidFill>
                <a:latin typeface="Calibri"/>
                <a:cs typeface="DilleniaUPC" pitchFamily="18" charset="-34"/>
              </a:rPr>
              <a:pPr algn="ctr"/>
              <a:t>AÑADIR CIUDADES</a:t>
            </a:fld>
            <a:endParaRPr lang="en-GB" sz="1400" b="1">
              <a:solidFill>
                <a:srgbClr val="004770"/>
              </a:solidFill>
              <a:latin typeface="+mn-lt"/>
              <a:cs typeface="DilleniaUPC" pitchFamily="18" charset="-34"/>
            </a:endParaRPr>
          </a:p>
        </xdr:txBody>
      </xdr:sp>
    </xdr:grpSp>
    <xdr:clientData fPrintsWithSheet="0"/>
  </xdr:twoCellAnchor>
  <xdr:twoCellAnchor>
    <xdr:from>
      <xdr:col>31</xdr:col>
      <xdr:colOff>190492</xdr:colOff>
      <xdr:row>57</xdr:row>
      <xdr:rowOff>0</xdr:rowOff>
    </xdr:from>
    <xdr:to>
      <xdr:col>32</xdr:col>
      <xdr:colOff>397501</xdr:colOff>
      <xdr:row>57</xdr:row>
      <xdr:rowOff>181405</xdr:rowOff>
    </xdr:to>
    <xdr:sp macro="[0]!returntop" textlink="lang!C112">
      <xdr:nvSpPr>
        <xdr:cNvPr id="24" name="go_top"/>
        <xdr:cNvSpPr txBox="1"/>
      </xdr:nvSpPr>
      <xdr:spPr>
        <a:xfrm>
          <a:off x="29019492" y="21134917"/>
          <a:ext cx="820842" cy="181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050" b="1" i="0" u="sng" strike="noStrike" baseline="0">
              <a:solidFill>
                <a:srgbClr val="0070C0"/>
              </a:solidFill>
              <a:latin typeface="Calibri"/>
              <a:ea typeface="Karla" pitchFamily="2" charset="0"/>
              <a:cs typeface="Calibri"/>
            </a:rPr>
            <a:pPr algn="l" rtl="0">
              <a:defRPr sz="1000"/>
            </a:pPr>
            <a:t>Volver arriba</a:t>
          </a:fld>
          <a:endParaRPr lang="en-GB" sz="1050" b="1" i="0" u="sng" strike="noStrike" baseline="0">
            <a:solidFill>
              <a:srgbClr val="0070C0"/>
            </a:solidFill>
            <a:latin typeface="+mn-lt"/>
            <a:ea typeface="Karla" pitchFamily="2" charset="0"/>
          </a:endParaRP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11907</xdr:colOff>
      <xdr:row>80</xdr:row>
      <xdr:rowOff>36952</xdr:rowOff>
    </xdr:to>
    <xdr:grpSp>
      <xdr:nvGrpSpPr>
        <xdr:cNvPr id="42" name="MENU"/>
        <xdr:cNvGrpSpPr/>
      </xdr:nvGrpSpPr>
      <xdr:grpSpPr>
        <a:xfrm>
          <a:off x="0" y="0"/>
          <a:ext cx="13787438" cy="15884171"/>
          <a:chOff x="0" y="0"/>
          <a:chExt cx="13787438" cy="15885494"/>
        </a:xfrm>
      </xdr:grpSpPr>
      <xdr:sp macro="" textlink="">
        <xdr:nvSpPr>
          <xdr:cNvPr id="2" name="TextBox 1"/>
          <xdr:cNvSpPr txBox="1">
            <a:spLocks noChangeArrowheads="1"/>
          </xdr:cNvSpPr>
        </xdr:nvSpPr>
        <xdr:spPr bwMode="auto">
          <a:xfrm>
            <a:off x="190446" y="1841532"/>
            <a:ext cx="4285016" cy="980215"/>
          </a:xfrm>
          <a:prstGeom prst="rect">
            <a:avLst/>
          </a:prstGeom>
          <a:solidFill>
            <a:schemeClr val="bg1"/>
          </a:solidFill>
          <a:ln w="9525">
            <a:solidFill>
              <a:srgbClr val="BCBCBC"/>
            </a:solidFill>
            <a:miter lim="800000"/>
            <a:headEnd/>
            <a:tailEnd/>
          </a:ln>
        </xdr:spPr>
        <xdr:txBody>
          <a:bodyPr vertOverflow="clip" wrap="square" lIns="36000" tIns="27432" rIns="0" bIns="0" anchor="t" upright="1"/>
          <a:lstStyle/>
          <a:p>
            <a:pPr algn="l" rtl="0">
              <a:defRPr sz="1000"/>
            </a:pPr>
            <a:endParaRPr lang="en-GB" sz="1100" b="0" i="0" u="none" strike="noStrike" baseline="0">
              <a:solidFill>
                <a:srgbClr val="808080"/>
              </a:solidFill>
              <a:latin typeface="Calibri"/>
            </a:endParaRPr>
          </a:p>
          <a:p>
            <a:pPr algn="l" rtl="0">
              <a:defRPr sz="1000"/>
            </a:pPr>
            <a:r>
              <a:rPr lang="en-GB" sz="1100">
                <a:solidFill>
                  <a:schemeClr val="tx1">
                    <a:lumMod val="75000"/>
                    <a:lumOff val="25000"/>
                  </a:schemeClr>
                </a:solidFill>
                <a:latin typeface="+mn-lt"/>
                <a:ea typeface="+mn-ea"/>
                <a:cs typeface="+mn-cs"/>
              </a:rPr>
              <a:t>Cambie la ponderación cambiando los números en la columna en amarillo</a:t>
            </a:r>
            <a:r>
              <a:rPr lang="en-GB" sz="1100" b="0" i="0" u="none" strike="noStrike" baseline="0">
                <a:solidFill>
                  <a:schemeClr val="bg1">
                    <a:lumMod val="50000"/>
                  </a:schemeClr>
                </a:solidFill>
                <a:latin typeface="Calibri"/>
              </a:rPr>
              <a:t>	</a:t>
            </a:r>
          </a:p>
          <a:p>
            <a:pPr algn="l" rtl="0">
              <a:defRPr sz="1000"/>
            </a:pPr>
            <a:r>
              <a:rPr lang="es-AR" sz="1100">
                <a:solidFill>
                  <a:schemeClr val="tx1">
                    <a:lumMod val="75000"/>
                    <a:lumOff val="25000"/>
                  </a:schemeClr>
                </a:solidFill>
                <a:latin typeface="+mn-lt"/>
                <a:ea typeface="+mn-ea"/>
                <a:cs typeface="+mn-cs"/>
              </a:rPr>
              <a:t>                 Guarde la ponderación seleccionada</a:t>
            </a:r>
            <a:r>
              <a:rPr lang="en-GB" sz="1100" b="0" i="0" u="none" strike="noStrike" baseline="0">
                <a:solidFill>
                  <a:srgbClr val="808080"/>
                </a:solidFill>
                <a:latin typeface="Calibri"/>
              </a:rPr>
              <a:t>:</a:t>
            </a:r>
          </a:p>
        </xdr:txBody>
      </xdr:sp>
      <xdr:grpSp>
        <xdr:nvGrpSpPr>
          <xdr:cNvPr id="8" name="Group 7"/>
          <xdr:cNvGrpSpPr/>
        </xdr:nvGrpSpPr>
        <xdr:grpSpPr>
          <a:xfrm>
            <a:off x="7143621" y="988647"/>
            <a:ext cx="4334609" cy="545255"/>
            <a:chOff x="7238993" y="588431"/>
            <a:chExt cx="4332113" cy="543991"/>
          </a:xfrm>
        </xdr:grpSpPr>
        <xdr:sp macro="" textlink="lang!C42">
          <xdr:nvSpPr>
            <xdr:cNvPr id="19" name="lbl_cnt_City_1"/>
            <xdr:cNvSpPr txBox="1"/>
          </xdr:nvSpPr>
          <xdr:spPr>
            <a:xfrm>
              <a:off x="10491106" y="588431"/>
              <a:ext cx="1080000" cy="22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74CEBD47-CD9F-4625-A89D-EF6EFCC8253D}" type="TxLink">
                <a:rPr lang="en-US" sz="1100" b="1" i="0" u="none" strike="noStrike">
                  <a:solidFill>
                    <a:srgbClr val="000000"/>
                  </a:solidFill>
                  <a:latin typeface="Calibri"/>
                  <a:cs typeface="Calibri"/>
                </a:rPr>
                <a:pPr/>
                <a:t>PONDERACIÓN</a:t>
              </a:fld>
              <a:endParaRPr lang="en-GB" sz="1000" b="1">
                <a:solidFill>
                  <a:sysClr val="windowText" lastClr="000000"/>
                </a:solidFill>
              </a:endParaRPr>
            </a:p>
          </xdr:txBody>
        </xdr:sp>
        <xdr:sp macro="" textlink="_WeightProfile">
          <xdr:nvSpPr>
            <xdr:cNvPr id="25" name="Text Box 6"/>
            <xdr:cNvSpPr txBox="1">
              <a:spLocks noChangeArrowheads="1"/>
            </xdr:cNvSpPr>
          </xdr:nvSpPr>
          <xdr:spPr bwMode="auto">
            <a:xfrm>
              <a:off x="7238993" y="859505"/>
              <a:ext cx="3379355" cy="272917"/>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Calibri"/>
                  <a:cs typeface="Calibri"/>
                </a:rPr>
                <a:pPr algn="l" rtl="0">
                  <a:defRPr sz="1000"/>
                </a:pPr>
                <a:t> </a:t>
              </a:fld>
              <a:endParaRPr lang="en-GB" sz="1000" b="0" i="1" u="none" strike="noStrike" baseline="0">
                <a:solidFill>
                  <a:schemeClr val="tx1">
                    <a:lumMod val="65000"/>
                    <a:lumOff val="35000"/>
                  </a:schemeClr>
                </a:solidFill>
                <a:latin typeface="Calibri"/>
              </a:endParaRPr>
            </a:p>
          </xdr:txBody>
        </xdr:sp>
      </xdr:grpSp>
      <xdr:grpSp>
        <xdr:nvGrpSpPr>
          <xdr:cNvPr id="40" name="Group 39"/>
          <xdr:cNvGrpSpPr/>
        </xdr:nvGrpSpPr>
        <xdr:grpSpPr>
          <a:xfrm>
            <a:off x="0" y="0"/>
            <a:ext cx="13787438" cy="1527542"/>
            <a:chOff x="0" y="0"/>
            <a:chExt cx="13787438" cy="1527542"/>
          </a:xfrm>
        </xdr:grpSpPr>
        <xdr:sp macro="" textlink="">
          <xdr:nvSpPr>
            <xdr:cNvPr id="28" name="nav_controls"/>
            <xdr:cNvSpPr/>
          </xdr:nvSpPr>
          <xdr:spPr>
            <a:xfrm>
              <a:off x="0" y="0"/>
              <a:ext cx="13787438" cy="1527542"/>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29" name="Summary"/>
            <xdr:cNvSpPr/>
          </xdr:nvSpPr>
          <xdr:spPr>
            <a:xfrm>
              <a:off x="866105" y="318489"/>
              <a:ext cx="3226904"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30" name="Home1"/>
            <xdr:cNvSpPr/>
          </xdr:nvSpPr>
          <xdr:spPr>
            <a:xfrm>
              <a:off x="3620" y="318489"/>
              <a:ext cx="865270" cy="366845"/>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31" name="Home" descr="Home.png"/>
            <xdr:cNvPicPr>
              <a:picLocks noChangeAspect="1"/>
            </xdr:cNvPicPr>
          </xdr:nvPicPr>
          <xdr:blipFill>
            <a:blip xmlns:r="http://schemas.openxmlformats.org/officeDocument/2006/relationships" r:embed="rId1" cstate="print"/>
            <a:stretch>
              <a:fillRect/>
            </a:stretch>
          </xdr:blipFill>
          <xdr:spPr>
            <a:xfrm>
              <a:off x="81450" y="325301"/>
              <a:ext cx="354493" cy="344806"/>
            </a:xfrm>
            <a:prstGeom prst="rect">
              <a:avLst/>
            </a:prstGeom>
          </xdr:spPr>
        </xdr:pic>
        <xdr:pic macro="[0]!Navigate_GoBack">
          <xdr:nvPicPr>
            <xdr:cNvPr id="32" name="Picture 31" descr="Silver-Back-Button.png"/>
            <xdr:cNvPicPr>
              <a:picLocks noChangeAspect="1"/>
            </xdr:cNvPicPr>
          </xdr:nvPicPr>
          <xdr:blipFill>
            <a:blip xmlns:r="http://schemas.openxmlformats.org/officeDocument/2006/relationships" r:embed="rId2" cstate="print"/>
            <a:stretch>
              <a:fillRect/>
            </a:stretch>
          </xdr:blipFill>
          <xdr:spPr>
            <a:xfrm>
              <a:off x="489331" y="325300"/>
              <a:ext cx="343106" cy="344033"/>
            </a:xfrm>
            <a:prstGeom prst="rect">
              <a:avLst/>
            </a:prstGeom>
          </xdr:spPr>
        </xdr:pic>
        <xdr:sp macro="[0]!LBChanger" textlink="lang!C6">
          <xdr:nvSpPr>
            <xdr:cNvPr id="33" name="Definiciones"/>
            <xdr:cNvSpPr/>
          </xdr:nvSpPr>
          <xdr:spPr>
            <a:xfrm>
              <a:off x="4094681" y="322711"/>
              <a:ext cx="3230734"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34" name="1. Map"/>
            <xdr:cNvSpPr/>
          </xdr:nvSpPr>
          <xdr:spPr>
            <a:xfrm>
              <a:off x="7316775" y="322711"/>
              <a:ext cx="3229365"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35" name="DataDisplay2"/>
            <xdr:cNvSpPr/>
          </xdr:nvSpPr>
          <xdr:spPr>
            <a:xfrm>
              <a:off x="10542300" y="322711"/>
              <a:ext cx="3229366" cy="366845"/>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chemeClr val="bg1"/>
                  </a:solidFill>
                  <a:latin typeface="Arial" pitchFamily="34" charset="0"/>
                  <a:ea typeface="Karla" pitchFamily="2" charset="0"/>
                  <a:cs typeface="Arial" pitchFamily="34" charset="0"/>
                </a:rPr>
                <a:pPr algn="ctr"/>
                <a:t>DATOS</a:t>
              </a:fld>
              <a:endParaRPr lang="en-GB" sz="1800" b="1">
                <a:solidFill>
                  <a:schemeClr val="bg1"/>
                </a:solidFill>
                <a:latin typeface="Arial" pitchFamily="34" charset="0"/>
                <a:ea typeface="Karla" pitchFamily="2" charset="0"/>
                <a:cs typeface="Arial" pitchFamily="34" charset="0"/>
              </a:endParaRPr>
            </a:p>
          </xdr:txBody>
        </xdr:sp>
        <xdr:sp macro="" textlink="lang!C3">
          <xdr:nvSpPr>
            <xdr:cNvPr id="36" name="header"/>
            <xdr:cNvSpPr/>
          </xdr:nvSpPr>
          <xdr:spPr>
            <a:xfrm>
              <a:off x="7025" y="6073"/>
              <a:ext cx="13771394" cy="319541"/>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pic macro="[0]!Generate_PDF">
          <xdr:nvPicPr>
            <xdr:cNvPr id="22"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33844" y="1126547"/>
              <a:ext cx="340867" cy="330939"/>
            </a:xfrm>
            <a:prstGeom prst="rect">
              <a:avLst/>
            </a:prstGeom>
            <a:noFill/>
            <a:ln w="9525">
              <a:noFill/>
              <a:miter lim="800000"/>
              <a:headEnd/>
              <a:tailEnd/>
            </a:ln>
          </xdr:spPr>
        </xdr:pic>
        <xdr:pic macro="[0]!Generate_XL">
          <xdr:nvPicPr>
            <xdr:cNvPr id="23"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74280" y="1045144"/>
              <a:ext cx="343060" cy="435815"/>
            </a:xfrm>
            <a:prstGeom prst="rect">
              <a:avLst/>
            </a:prstGeom>
          </xdr:spPr>
        </xdr:pic>
        <xdr:sp macro="[0]!LBChanger" textlink="lang!C32">
          <xdr:nvSpPr>
            <xdr:cNvPr id="21" name="DataDisplay"/>
            <xdr:cNvSpPr/>
          </xdr:nvSpPr>
          <xdr:spPr>
            <a:xfrm>
              <a:off x="7274733" y="690563"/>
              <a:ext cx="2164896"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DFC8FAE-4213-41D8-B3E3-ACDF4295E436}" type="TxLink">
                <a:rPr lang="en-US" sz="1100" b="1" i="0" u="none" strike="noStrike">
                  <a:solidFill>
                    <a:srgbClr val="004770"/>
                  </a:solidFill>
                  <a:latin typeface="Calibri"/>
                  <a:cs typeface="DilleniaUPC" pitchFamily="18" charset="-34"/>
                </a:rPr>
                <a:pPr algn="ctr"/>
                <a:t>DATOS &amp; PUNTAJE</a:t>
              </a:fld>
              <a:endParaRPr lang="en-GB" sz="1200" b="1">
                <a:solidFill>
                  <a:srgbClr val="004770"/>
                </a:solidFill>
                <a:latin typeface="+mn-lt"/>
                <a:cs typeface="DilleniaUPC" pitchFamily="18" charset="-34"/>
              </a:endParaRPr>
            </a:p>
          </xdr:txBody>
        </xdr:sp>
        <xdr:sp macro="[0]!LBChanger" textlink="lang!C33">
          <xdr:nvSpPr>
            <xdr:cNvPr id="24" name="Weights"/>
            <xdr:cNvSpPr/>
          </xdr:nvSpPr>
          <xdr:spPr>
            <a:xfrm>
              <a:off x="9439647" y="692679"/>
              <a:ext cx="2165962" cy="26960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A7C079-626C-46EE-A45C-9C1CC10DDB1A}" type="TxLink">
                <a:rPr lang="en-US" sz="1100" b="1" i="0" u="none" strike="noStrike">
                  <a:solidFill>
                    <a:schemeClr val="bg1"/>
                  </a:solidFill>
                  <a:latin typeface="Calibri"/>
                  <a:cs typeface="DilleniaUPC" pitchFamily="18" charset="-34"/>
                </a:rPr>
                <a:pPr algn="ctr"/>
                <a:t>PONDERACIONES</a:t>
              </a:fld>
              <a:endParaRPr lang="en-GB" sz="1400" b="1">
                <a:solidFill>
                  <a:schemeClr val="bg1"/>
                </a:solidFill>
                <a:latin typeface="+mn-lt"/>
                <a:cs typeface="DilleniaUPC" pitchFamily="18" charset="-34"/>
              </a:endParaRPr>
            </a:p>
          </xdr:txBody>
        </xdr:sp>
        <xdr:sp macro="[0]!LBChanger" textlink="lang!C35">
          <xdr:nvSpPr>
            <xdr:cNvPr id="37" name="UserDataIn"/>
            <xdr:cNvSpPr/>
          </xdr:nvSpPr>
          <xdr:spPr>
            <a:xfrm>
              <a:off x="11606542" y="692682"/>
              <a:ext cx="2165962"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4A8E89-48A3-459B-8BF5-251095E9817C}" type="TxLink">
                <a:rPr lang="en-US" sz="1100" b="1" i="0" u="none" strike="noStrike">
                  <a:solidFill>
                    <a:srgbClr val="004770"/>
                  </a:solidFill>
                  <a:latin typeface="Calibri"/>
                  <a:cs typeface="DilleniaUPC" pitchFamily="18" charset="-34"/>
                </a:rPr>
                <a:pPr algn="ctr"/>
                <a:t>AÑADIR CIUDADES</a:t>
              </a:fld>
              <a:endParaRPr lang="en-GB" sz="1400" b="1">
                <a:solidFill>
                  <a:srgbClr val="004770"/>
                </a:solidFill>
                <a:latin typeface="+mn-lt"/>
                <a:cs typeface="DilleniaUPC" pitchFamily="18" charset="-34"/>
              </a:endParaRPr>
            </a:p>
          </xdr:txBody>
        </xdr:sp>
      </xdr:grpSp>
      <xdr:sp macro="[0]!returntop" textlink="lang!C112">
        <xdr:nvSpPr>
          <xdr:cNvPr id="41" name="go_top"/>
          <xdr:cNvSpPr txBox="1"/>
        </xdr:nvSpPr>
        <xdr:spPr>
          <a:xfrm>
            <a:off x="178594" y="15704347"/>
            <a:ext cx="808912" cy="181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grpSp>
    <xdr:clientData fPrintsWithSheet="0"/>
  </xdr:twoCellAnchor>
  <xdr:twoCellAnchor>
    <xdr:from>
      <xdr:col>5</xdr:col>
      <xdr:colOff>4423832</xdr:colOff>
      <xdr:row>4</xdr:row>
      <xdr:rowOff>63500</xdr:rowOff>
    </xdr:from>
    <xdr:to>
      <xdr:col>9</xdr:col>
      <xdr:colOff>1206500</xdr:colOff>
      <xdr:row>5</xdr:row>
      <xdr:rowOff>882679</xdr:rowOff>
    </xdr:to>
    <xdr:sp macro="" textlink="">
      <xdr:nvSpPr>
        <xdr:cNvPr id="26" name="TextBox 25"/>
        <xdr:cNvSpPr txBox="1">
          <a:spLocks noChangeArrowheads="1"/>
        </xdr:cNvSpPr>
      </xdr:nvSpPr>
      <xdr:spPr bwMode="auto">
        <a:xfrm>
          <a:off x="4603749" y="1841500"/>
          <a:ext cx="8985251" cy="977929"/>
        </a:xfrm>
        <a:prstGeom prst="rect">
          <a:avLst/>
        </a:prstGeom>
        <a:solidFill>
          <a:schemeClr val="bg1"/>
        </a:solidFill>
        <a:ln w="9525">
          <a:solidFill>
            <a:srgbClr val="BCBCBC"/>
          </a:solidFill>
          <a:miter lim="800000"/>
          <a:headEnd/>
          <a:tailEnd/>
        </a:ln>
      </xdr:spPr>
      <xdr:txBody>
        <a:bodyPr vertOverflow="clip" wrap="square" lIns="36000" tIns="27432" rIns="0" bIns="0" anchor="t" upright="1"/>
        <a:lstStyle/>
        <a:p>
          <a:pPr marL="72000" marR="0" indent="0" defTabSz="914400" eaLnBrk="1" fontAlgn="auto" latinLnBrk="0" hangingPunct="1">
            <a:lnSpc>
              <a:spcPct val="100000"/>
            </a:lnSpc>
            <a:spcBef>
              <a:spcPts val="0"/>
            </a:spcBef>
            <a:spcAft>
              <a:spcPts val="0"/>
            </a:spcAft>
            <a:buClrTx/>
            <a:buSzTx/>
            <a:buFontTx/>
            <a:buNone/>
            <a:tabLst/>
            <a:defRPr/>
          </a:pPr>
          <a:r>
            <a:rPr lang="en-GB" sz="1100" b="1">
              <a:latin typeface="+mn-lt"/>
              <a:ea typeface="+mn-ea"/>
              <a:cs typeface="+mn-cs"/>
            </a:rPr>
            <a:t>Ponderación del EIU</a:t>
          </a:r>
          <a:r>
            <a:rPr lang="en-GB" sz="1100">
              <a:latin typeface="+mn-lt"/>
              <a:ea typeface="+mn-ea"/>
              <a:cs typeface="+mn-cs"/>
            </a:rPr>
            <a:t>: </a:t>
          </a:r>
          <a:r>
            <a:rPr lang="es-AR" sz="1100">
              <a:latin typeface="+mn-lt"/>
              <a:ea typeface="+mn-ea"/>
              <a:cs typeface="+mn-cs"/>
            </a:rPr>
            <a:t>Para cada categoría todos los indicadores y sub-indicadores reciben igual ponderación dentro de su nivel.</a:t>
          </a:r>
          <a:endParaRPr lang="en-GB" sz="1100">
            <a:latin typeface="+mn-lt"/>
            <a:ea typeface="+mn-ea"/>
            <a:cs typeface="+mn-cs"/>
          </a:endParaRPr>
        </a:p>
        <a:p>
          <a:endParaRPr lang="es-AR" sz="1100" b="1">
            <a:latin typeface="+mn-lt"/>
            <a:ea typeface="+mn-ea"/>
            <a:cs typeface="+mn-cs"/>
          </a:endParaRPr>
        </a:p>
        <a:p>
          <a:pPr marL="72000"/>
          <a:r>
            <a:rPr lang="es-AR" sz="1100" b="1">
              <a:latin typeface="+mn-lt"/>
              <a:ea typeface="+mn-ea"/>
              <a:cs typeface="+mn-cs"/>
            </a:rPr>
            <a:t>Ponderación equitativa</a:t>
          </a:r>
          <a:r>
            <a:rPr lang="es-AR" sz="1100">
              <a:latin typeface="+mn-lt"/>
              <a:ea typeface="+mn-ea"/>
              <a:cs typeface="+mn-cs"/>
            </a:rPr>
            <a:t>: Cada categoría está ponderada por la cantidad de preguntas contenidas en esa categoría.  Ejemplo: Categoría 1= 15 preguntas  entonces  la ponderación de cada pregunta es (1/15)  Categoría 2= 8 preguntas entonces  la ponderación es =1/8; Categoría 3= 14 preguntas entonces  la ponderación es = 1/14</a:t>
          </a:r>
          <a:endParaRPr lang="en-GB" sz="1100">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345622</xdr:colOff>
      <xdr:row>132</xdr:row>
      <xdr:rowOff>135602</xdr:rowOff>
    </xdr:from>
    <xdr:to>
      <xdr:col>4</xdr:col>
      <xdr:colOff>431347</xdr:colOff>
      <xdr:row>133</xdr:row>
      <xdr:rowOff>0</xdr:rowOff>
    </xdr:to>
    <xdr:sp macro="" textlink="">
      <xdr:nvSpPr>
        <xdr:cNvPr id="2" name="bar_DUR" hidden="1"/>
        <xdr:cNvSpPr/>
      </xdr:nvSpPr>
      <xdr:spPr bwMode="auto">
        <a:xfrm>
          <a:off x="8813347" y="8127077"/>
          <a:ext cx="85725" cy="1947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429986</xdr:colOff>
      <xdr:row>133</xdr:row>
      <xdr:rowOff>105594</xdr:rowOff>
    </xdr:from>
    <xdr:to>
      <xdr:col>4</xdr:col>
      <xdr:colOff>515711</xdr:colOff>
      <xdr:row>134</xdr:row>
      <xdr:rowOff>33718</xdr:rowOff>
    </xdr:to>
    <xdr:sp macro="" textlink="">
      <xdr:nvSpPr>
        <xdr:cNvPr id="3" name="bar_HRE" hidden="1"/>
        <xdr:cNvSpPr/>
      </xdr:nvSpPr>
      <xdr:spPr bwMode="auto">
        <a:xfrm>
          <a:off x="8897711" y="8478069"/>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190501</xdr:colOff>
      <xdr:row>131</xdr:row>
      <xdr:rowOff>0</xdr:rowOff>
    </xdr:from>
    <xdr:to>
      <xdr:col>4</xdr:col>
      <xdr:colOff>276226</xdr:colOff>
      <xdr:row>132</xdr:row>
      <xdr:rowOff>66374</xdr:rowOff>
    </xdr:to>
    <xdr:sp macro="" textlink="">
      <xdr:nvSpPr>
        <xdr:cNvPr id="4" name="bar_JOH" hidden="1"/>
        <xdr:cNvSpPr/>
      </xdr:nvSpPr>
      <xdr:spPr bwMode="auto">
        <a:xfrm>
          <a:off x="8658226" y="7560495"/>
          <a:ext cx="85725" cy="49735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209551</xdr:colOff>
      <xdr:row>132</xdr:row>
      <xdr:rowOff>55564</xdr:rowOff>
    </xdr:from>
    <xdr:to>
      <xdr:col>4</xdr:col>
      <xdr:colOff>295276</xdr:colOff>
      <xdr:row>132</xdr:row>
      <xdr:rowOff>167068</xdr:rowOff>
    </xdr:to>
    <xdr:sp macro="" textlink="">
      <xdr:nvSpPr>
        <xdr:cNvPr id="5" name="bar_LUS" hidden="1"/>
        <xdr:cNvSpPr/>
      </xdr:nvSpPr>
      <xdr:spPr bwMode="auto">
        <a:xfrm>
          <a:off x="8677276" y="8047039"/>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593272</xdr:colOff>
      <xdr:row>132</xdr:row>
      <xdr:rowOff>0</xdr:rowOff>
    </xdr:from>
    <xdr:to>
      <xdr:col>5</xdr:col>
      <xdr:colOff>66676</xdr:colOff>
      <xdr:row>132</xdr:row>
      <xdr:rowOff>0</xdr:rowOff>
    </xdr:to>
    <xdr:sp macro="" textlink="">
      <xdr:nvSpPr>
        <xdr:cNvPr id="6" name="bar_MAP" hidden="1"/>
        <xdr:cNvSpPr/>
      </xdr:nvSpPr>
      <xdr:spPr bwMode="auto">
        <a:xfrm>
          <a:off x="9060997" y="7813935"/>
          <a:ext cx="1016454" cy="6158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345622</xdr:colOff>
      <xdr:row>132</xdr:row>
      <xdr:rowOff>135602</xdr:rowOff>
    </xdr:from>
    <xdr:to>
      <xdr:col>2</xdr:col>
      <xdr:colOff>431347</xdr:colOff>
      <xdr:row>133</xdr:row>
      <xdr:rowOff>0</xdr:rowOff>
    </xdr:to>
    <xdr:sp macro="" textlink="">
      <xdr:nvSpPr>
        <xdr:cNvPr id="7" name="bar_DUR" hidden="1"/>
        <xdr:cNvSpPr/>
      </xdr:nvSpPr>
      <xdr:spPr bwMode="auto">
        <a:xfrm>
          <a:off x="5717722" y="24424352"/>
          <a:ext cx="85725" cy="5489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429986</xdr:colOff>
      <xdr:row>133</xdr:row>
      <xdr:rowOff>105594</xdr:rowOff>
    </xdr:from>
    <xdr:to>
      <xdr:col>2</xdr:col>
      <xdr:colOff>515711</xdr:colOff>
      <xdr:row>134</xdr:row>
      <xdr:rowOff>33718</xdr:rowOff>
    </xdr:to>
    <xdr:sp macro="" textlink="">
      <xdr:nvSpPr>
        <xdr:cNvPr id="8" name="bar_HRE" hidden="1"/>
        <xdr:cNvSpPr/>
      </xdr:nvSpPr>
      <xdr:spPr bwMode="auto">
        <a:xfrm>
          <a:off x="5802086" y="24584844"/>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190501</xdr:colOff>
      <xdr:row>131</xdr:row>
      <xdr:rowOff>0</xdr:rowOff>
    </xdr:from>
    <xdr:to>
      <xdr:col>2</xdr:col>
      <xdr:colOff>276226</xdr:colOff>
      <xdr:row>132</xdr:row>
      <xdr:rowOff>66374</xdr:rowOff>
    </xdr:to>
    <xdr:sp macro="" textlink="">
      <xdr:nvSpPr>
        <xdr:cNvPr id="9" name="bar_JOH" hidden="1"/>
        <xdr:cNvSpPr/>
      </xdr:nvSpPr>
      <xdr:spPr bwMode="auto">
        <a:xfrm>
          <a:off x="5562601" y="24098250"/>
          <a:ext cx="85725" cy="25687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209551</xdr:colOff>
      <xdr:row>132</xdr:row>
      <xdr:rowOff>55564</xdr:rowOff>
    </xdr:from>
    <xdr:to>
      <xdr:col>2</xdr:col>
      <xdr:colOff>295276</xdr:colOff>
      <xdr:row>132</xdr:row>
      <xdr:rowOff>167068</xdr:rowOff>
    </xdr:to>
    <xdr:sp macro="" textlink="">
      <xdr:nvSpPr>
        <xdr:cNvPr id="10" name="bar_LUS" hidden="1"/>
        <xdr:cNvSpPr/>
      </xdr:nvSpPr>
      <xdr:spPr bwMode="auto">
        <a:xfrm>
          <a:off x="5581651" y="24344314"/>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593272</xdr:colOff>
      <xdr:row>132</xdr:row>
      <xdr:rowOff>0</xdr:rowOff>
    </xdr:from>
    <xdr:to>
      <xdr:col>3</xdr:col>
      <xdr:colOff>66676</xdr:colOff>
      <xdr:row>132</xdr:row>
      <xdr:rowOff>0</xdr:rowOff>
    </xdr:to>
    <xdr:sp macro="" textlink="">
      <xdr:nvSpPr>
        <xdr:cNvPr id="11" name="bar_MAP" hidden="1"/>
        <xdr:cNvSpPr/>
      </xdr:nvSpPr>
      <xdr:spPr bwMode="auto">
        <a:xfrm>
          <a:off x="5965372" y="24288750"/>
          <a:ext cx="2892879" cy="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xdr:col>
      <xdr:colOff>593272</xdr:colOff>
      <xdr:row>132</xdr:row>
      <xdr:rowOff>0</xdr:rowOff>
    </xdr:from>
    <xdr:to>
      <xdr:col>2</xdr:col>
      <xdr:colOff>66676</xdr:colOff>
      <xdr:row>132</xdr:row>
      <xdr:rowOff>0</xdr:rowOff>
    </xdr:to>
    <xdr:sp macro="" textlink="">
      <xdr:nvSpPr>
        <xdr:cNvPr id="12" name="bar_MAP" hidden="1"/>
        <xdr:cNvSpPr/>
      </xdr:nvSpPr>
      <xdr:spPr bwMode="auto">
        <a:xfrm>
          <a:off x="1202872" y="2095500"/>
          <a:ext cx="3578679" cy="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345622</xdr:colOff>
      <xdr:row>132</xdr:row>
      <xdr:rowOff>135602</xdr:rowOff>
    </xdr:from>
    <xdr:to>
      <xdr:col>4</xdr:col>
      <xdr:colOff>431347</xdr:colOff>
      <xdr:row>133</xdr:row>
      <xdr:rowOff>0</xdr:rowOff>
    </xdr:to>
    <xdr:sp macro="" textlink="">
      <xdr:nvSpPr>
        <xdr:cNvPr id="13" name="bar_DUR" hidden="1"/>
        <xdr:cNvSpPr/>
      </xdr:nvSpPr>
      <xdr:spPr bwMode="auto">
        <a:xfrm>
          <a:off x="955222" y="2231102"/>
          <a:ext cx="85725" cy="5489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429986</xdr:colOff>
      <xdr:row>133</xdr:row>
      <xdr:rowOff>105594</xdr:rowOff>
    </xdr:from>
    <xdr:to>
      <xdr:col>4</xdr:col>
      <xdr:colOff>515711</xdr:colOff>
      <xdr:row>134</xdr:row>
      <xdr:rowOff>33718</xdr:rowOff>
    </xdr:to>
    <xdr:sp macro="" textlink="">
      <xdr:nvSpPr>
        <xdr:cNvPr id="14" name="bar_HRE" hidden="1"/>
        <xdr:cNvSpPr/>
      </xdr:nvSpPr>
      <xdr:spPr bwMode="auto">
        <a:xfrm>
          <a:off x="1039586" y="2391594"/>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190501</xdr:colOff>
      <xdr:row>131</xdr:row>
      <xdr:rowOff>0</xdr:rowOff>
    </xdr:from>
    <xdr:to>
      <xdr:col>4</xdr:col>
      <xdr:colOff>276226</xdr:colOff>
      <xdr:row>132</xdr:row>
      <xdr:rowOff>66374</xdr:rowOff>
    </xdr:to>
    <xdr:sp macro="" textlink="">
      <xdr:nvSpPr>
        <xdr:cNvPr id="15" name="bar_JOH" hidden="1"/>
        <xdr:cNvSpPr/>
      </xdr:nvSpPr>
      <xdr:spPr bwMode="auto">
        <a:xfrm>
          <a:off x="800101" y="1905000"/>
          <a:ext cx="85725" cy="25687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209551</xdr:colOff>
      <xdr:row>132</xdr:row>
      <xdr:rowOff>55564</xdr:rowOff>
    </xdr:from>
    <xdr:to>
      <xdr:col>4</xdr:col>
      <xdr:colOff>295276</xdr:colOff>
      <xdr:row>132</xdr:row>
      <xdr:rowOff>167068</xdr:rowOff>
    </xdr:to>
    <xdr:sp macro="" textlink="">
      <xdr:nvSpPr>
        <xdr:cNvPr id="16" name="bar_LUS" hidden="1"/>
        <xdr:cNvSpPr/>
      </xdr:nvSpPr>
      <xdr:spPr bwMode="auto">
        <a:xfrm>
          <a:off x="819151" y="2151064"/>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593272</xdr:colOff>
      <xdr:row>132</xdr:row>
      <xdr:rowOff>0</xdr:rowOff>
    </xdr:from>
    <xdr:to>
      <xdr:col>5</xdr:col>
      <xdr:colOff>66676</xdr:colOff>
      <xdr:row>132</xdr:row>
      <xdr:rowOff>0</xdr:rowOff>
    </xdr:to>
    <xdr:sp macro="" textlink="">
      <xdr:nvSpPr>
        <xdr:cNvPr id="17" name="bar_MAP" hidden="1"/>
        <xdr:cNvSpPr/>
      </xdr:nvSpPr>
      <xdr:spPr bwMode="auto">
        <a:xfrm>
          <a:off x="1202872" y="2095500"/>
          <a:ext cx="3578679" cy="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18</xdr:col>
      <xdr:colOff>1028698</xdr:colOff>
      <xdr:row>58</xdr:row>
      <xdr:rowOff>28686</xdr:rowOff>
    </xdr:to>
    <xdr:grpSp>
      <xdr:nvGrpSpPr>
        <xdr:cNvPr id="23" name="MENU"/>
        <xdr:cNvGrpSpPr/>
      </xdr:nvGrpSpPr>
      <xdr:grpSpPr>
        <a:xfrm>
          <a:off x="0" y="0"/>
          <a:ext cx="17495042" cy="21114655"/>
          <a:chOff x="9527" y="9528"/>
          <a:chExt cx="17505890" cy="20830858"/>
        </a:xfrm>
      </xdr:grpSpPr>
      <xdr:sp macro="" textlink="">
        <xdr:nvSpPr>
          <xdr:cNvPr id="5" name="nav_controls"/>
          <xdr:cNvSpPr/>
        </xdr:nvSpPr>
        <xdr:spPr>
          <a:xfrm>
            <a:off x="9527" y="9528"/>
            <a:ext cx="17505890" cy="1516959"/>
          </a:xfrm>
          <a:prstGeom prst="rect">
            <a:avLst/>
          </a:prstGeom>
          <a:solidFill>
            <a:srgbClr val="004770">
              <a:alpha val="30196"/>
            </a:srgbClr>
          </a:solid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6" name="Summary"/>
          <xdr:cNvSpPr/>
        </xdr:nvSpPr>
        <xdr:spPr>
          <a:xfrm>
            <a:off x="876956" y="325371"/>
            <a:ext cx="3226904"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7" name="Home1"/>
          <xdr:cNvSpPr/>
        </xdr:nvSpPr>
        <xdr:spPr>
          <a:xfrm>
            <a:off x="13148" y="325371"/>
            <a:ext cx="866593" cy="366845"/>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8" name="Home" descr="Home.png"/>
          <xdr:cNvPicPr>
            <a:picLocks noChangeAspect="1"/>
          </xdr:cNvPicPr>
        </xdr:nvPicPr>
        <xdr:blipFill>
          <a:blip xmlns:r="http://schemas.openxmlformats.org/officeDocument/2006/relationships" r:embed="rId1" cstate="print"/>
          <a:stretch>
            <a:fillRect/>
          </a:stretch>
        </xdr:blipFill>
        <xdr:spPr>
          <a:xfrm>
            <a:off x="90978" y="332183"/>
            <a:ext cx="355816" cy="344806"/>
          </a:xfrm>
          <a:prstGeom prst="rect">
            <a:avLst/>
          </a:prstGeom>
        </xdr:spPr>
      </xdr:pic>
      <xdr:pic macro="[0]!Navigate_GoBack">
        <xdr:nvPicPr>
          <xdr:cNvPr id="9" name="Picture 8" descr="Silver-Back-Button.png"/>
          <xdr:cNvPicPr>
            <a:picLocks noChangeAspect="1"/>
          </xdr:cNvPicPr>
        </xdr:nvPicPr>
        <xdr:blipFill>
          <a:blip xmlns:r="http://schemas.openxmlformats.org/officeDocument/2006/relationships" r:embed="rId2" cstate="print"/>
          <a:stretch>
            <a:fillRect/>
          </a:stretch>
        </xdr:blipFill>
        <xdr:spPr>
          <a:xfrm>
            <a:off x="500182" y="332182"/>
            <a:ext cx="343106" cy="344033"/>
          </a:xfrm>
          <a:prstGeom prst="rect">
            <a:avLst/>
          </a:prstGeom>
        </xdr:spPr>
      </xdr:pic>
      <xdr:sp macro="[0]!LBChanger" textlink="lang!C33">
        <xdr:nvSpPr>
          <xdr:cNvPr id="17" name="Weights"/>
          <xdr:cNvSpPr/>
        </xdr:nvSpPr>
        <xdr:spPr>
          <a:xfrm>
            <a:off x="9439914" y="686590"/>
            <a:ext cx="2168609"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A7C079-626C-46EE-A45C-9C1CC10DDB1A}" type="TxLink">
              <a:rPr lang="en-US" sz="1100" b="1" i="0" u="none" strike="noStrike">
                <a:solidFill>
                  <a:srgbClr val="002451"/>
                </a:solidFill>
                <a:latin typeface="Calibri"/>
                <a:cs typeface="DilleniaUPC" pitchFamily="18" charset="-34"/>
              </a:rPr>
              <a:pPr algn="ctr"/>
              <a:t>PONDERACIONES</a:t>
            </a:fld>
            <a:endParaRPr lang="en-GB" sz="1400" b="1">
              <a:solidFill>
                <a:srgbClr val="002451"/>
              </a:solidFill>
              <a:latin typeface="+mn-lt"/>
              <a:cs typeface="DilleniaUPC" pitchFamily="18" charset="-34"/>
            </a:endParaRPr>
          </a:p>
        </xdr:txBody>
      </xdr:sp>
      <xdr:sp macro="[0]!LBChanger" textlink="lang!C35">
        <xdr:nvSpPr>
          <xdr:cNvPr id="18" name="UserDataIn"/>
          <xdr:cNvSpPr/>
        </xdr:nvSpPr>
        <xdr:spPr>
          <a:xfrm>
            <a:off x="11609456" y="686593"/>
            <a:ext cx="2168607" cy="26960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4A8E89-48A3-459B-8BF5-251095E9817C}" type="TxLink">
              <a:rPr lang="en-US" sz="1100" b="1" i="0" u="none" strike="noStrike">
                <a:solidFill>
                  <a:schemeClr val="bg1"/>
                </a:solidFill>
                <a:latin typeface="Calibri"/>
                <a:cs typeface="DilleniaUPC" pitchFamily="18" charset="-34"/>
              </a:rPr>
              <a:pPr algn="ctr"/>
              <a:t>AÑADIR CIUDADES</a:t>
            </a:fld>
            <a:endParaRPr lang="en-GB" sz="1400" b="1">
              <a:solidFill>
                <a:schemeClr val="bg1"/>
              </a:solidFill>
              <a:latin typeface="+mn-lt"/>
              <a:cs typeface="DilleniaUPC" pitchFamily="18" charset="-34"/>
            </a:endParaRPr>
          </a:p>
        </xdr:txBody>
      </xdr:sp>
      <xdr:pic macro="[0]!Generate_PDF">
        <xdr:nvPicPr>
          <xdr:cNvPr id="14"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49986" y="1133429"/>
            <a:ext cx="342190" cy="330939"/>
          </a:xfrm>
          <a:prstGeom prst="rect">
            <a:avLst/>
          </a:prstGeom>
          <a:noFill/>
          <a:ln w="9525">
            <a:noFill/>
            <a:miter lim="800000"/>
            <a:headEnd/>
            <a:tailEnd/>
          </a:ln>
        </xdr:spPr>
      </xdr:pic>
      <xdr:pic macro="[0]!Generate_XL">
        <xdr:nvPicPr>
          <xdr:cNvPr id="15"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90422" y="1052026"/>
            <a:ext cx="343060" cy="435815"/>
          </a:xfrm>
          <a:prstGeom prst="rect">
            <a:avLst/>
          </a:prstGeom>
        </xdr:spPr>
      </xdr:pic>
      <xdr:sp macro="[0]!LBChanger" textlink="lang!C32">
        <xdr:nvSpPr>
          <xdr:cNvPr id="16" name="DataDisplay"/>
          <xdr:cNvSpPr/>
        </xdr:nvSpPr>
        <xdr:spPr>
          <a:xfrm>
            <a:off x="7272355" y="685653"/>
            <a:ext cx="2167541"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DFC8FAE-4213-41D8-B3E3-ACDF4295E436}" type="TxLink">
              <a:rPr lang="en-US" sz="1100" b="1" i="0" u="none" strike="noStrike">
                <a:solidFill>
                  <a:srgbClr val="004770"/>
                </a:solidFill>
                <a:latin typeface="Calibri"/>
                <a:cs typeface="DilleniaUPC" pitchFamily="18" charset="-34"/>
              </a:rPr>
              <a:pPr algn="ctr"/>
              <a:t>DATOS &amp; PUNTAJE</a:t>
            </a:fld>
            <a:endParaRPr lang="en-GB" sz="1200" b="1">
              <a:solidFill>
                <a:srgbClr val="004770"/>
              </a:solidFill>
              <a:latin typeface="+mn-lt"/>
              <a:cs typeface="DilleniaUPC" pitchFamily="18" charset="-34"/>
            </a:endParaRPr>
          </a:p>
        </xdr:txBody>
      </xdr:sp>
      <xdr:sp macro="[0]!returntop" textlink="lang!C112">
        <xdr:nvSpPr>
          <xdr:cNvPr id="22" name="go_top"/>
          <xdr:cNvSpPr txBox="1"/>
        </xdr:nvSpPr>
        <xdr:spPr>
          <a:xfrm>
            <a:off x="191830" y="20659239"/>
            <a:ext cx="808912" cy="181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sp macro="[0]!LBChanger" textlink="lang!C7">
        <xdr:nvSpPr>
          <xdr:cNvPr id="11" name="1. Map"/>
          <xdr:cNvSpPr/>
        </xdr:nvSpPr>
        <xdr:spPr>
          <a:xfrm>
            <a:off x="7326303" y="328270"/>
            <a:ext cx="3233334"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12" name="DataDisplay2"/>
          <xdr:cNvSpPr/>
        </xdr:nvSpPr>
        <xdr:spPr>
          <a:xfrm>
            <a:off x="10555797" y="328270"/>
            <a:ext cx="3233334" cy="366845"/>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chemeClr val="bg1"/>
                </a:solidFill>
                <a:latin typeface="Arial" pitchFamily="34" charset="0"/>
                <a:ea typeface="Karla" pitchFamily="2" charset="0"/>
                <a:cs typeface="Arial" pitchFamily="34" charset="0"/>
              </a:rPr>
              <a:pPr algn="ctr"/>
              <a:t>DATOS</a:t>
            </a:fld>
            <a:endParaRPr lang="en-GB" sz="1800" b="1">
              <a:solidFill>
                <a:schemeClr val="bg1"/>
              </a:solidFill>
              <a:latin typeface="Arial" pitchFamily="34" charset="0"/>
              <a:ea typeface="Karla" pitchFamily="2" charset="0"/>
              <a:cs typeface="Arial" pitchFamily="34" charset="0"/>
            </a:endParaRPr>
          </a:p>
        </xdr:txBody>
      </xdr:sp>
      <xdr:sp macro="" textlink="lang!C3">
        <xdr:nvSpPr>
          <xdr:cNvPr id="13" name="header"/>
          <xdr:cNvSpPr/>
        </xdr:nvSpPr>
        <xdr:spPr>
          <a:xfrm>
            <a:off x="16553" y="15601"/>
            <a:ext cx="13779331" cy="31689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6">
        <xdr:nvSpPr>
          <xdr:cNvPr id="10" name="Definiciones"/>
          <xdr:cNvSpPr/>
        </xdr:nvSpPr>
        <xdr:spPr>
          <a:xfrm>
            <a:off x="4105532" y="328270"/>
            <a:ext cx="3229411"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grpSp>
    <xdr:clientData fPrintsWithSheet="0"/>
  </xdr:twoCellAnchor>
  <xdr:twoCellAnchor editAs="oneCell">
    <xdr:from>
      <xdr:col>9</xdr:col>
      <xdr:colOff>63509</xdr:colOff>
      <xdr:row>3</xdr:row>
      <xdr:rowOff>95246</xdr:rowOff>
    </xdr:from>
    <xdr:to>
      <xdr:col>10</xdr:col>
      <xdr:colOff>275170</xdr:colOff>
      <xdr:row>3</xdr:row>
      <xdr:rowOff>656162</xdr:rowOff>
    </xdr:to>
    <xdr:sp macro="" textlink="">
      <xdr:nvSpPr>
        <xdr:cNvPr id="19" name="Text Box 54"/>
        <xdr:cNvSpPr txBox="1">
          <a:spLocks noChangeArrowheads="1"/>
        </xdr:cNvSpPr>
      </xdr:nvSpPr>
      <xdr:spPr bwMode="auto">
        <a:xfrm>
          <a:off x="6921509" y="1608663"/>
          <a:ext cx="1534578" cy="560916"/>
        </a:xfrm>
        <a:prstGeom prst="rect">
          <a:avLst/>
        </a:prstGeom>
        <a:solidFill>
          <a:srgbClr val="ECEDEE"/>
        </a:solidFill>
        <a:ln w="9525">
          <a:noFill/>
          <a:miter lim="800000"/>
          <a:headEnd/>
          <a:tailEnd/>
        </a:ln>
      </xdr:spPr>
      <xdr:txBody>
        <a:bodyPr vertOverflow="clip" wrap="square" lIns="36000" tIns="36000" rIns="36000" bIns="36000" anchor="ctr" upright="1"/>
        <a:lstStyle/>
        <a:p>
          <a:pPr rtl="0"/>
          <a:r>
            <a:rPr lang="en-GB" sz="1100"/>
            <a:t>Azul = Datos completos</a:t>
          </a:r>
          <a:br>
            <a:rPr lang="en-GB" sz="1100"/>
          </a:br>
          <a:r>
            <a:rPr lang="en-GB" sz="1100"/>
            <a:t>Rojo = Datos incompletos</a:t>
          </a:r>
        </a:p>
      </xdr:txBody>
    </xdr:sp>
    <xdr:clientData/>
  </xdr:twoCellAnchor>
</xdr:wsDr>
</file>

<file path=xl/tables/table1.xml><?xml version="1.0" encoding="utf-8"?>
<table xmlns="http://schemas.openxmlformats.org/spreadsheetml/2006/main" id="1" name="scatterlist" displayName="scatterlist" ref="B32:R54" totalsRowShown="0" headerRowDxfId="53" dataDxfId="52">
  <tableColumns count="17">
    <tableColumn id="1" name="labels" dataDxfId="51">
      <calculatedColumnFormula>IF(B58=1,tblTerritories!C3,"")</calculatedColumnFormula>
    </tableColumn>
    <tableColumn id="2" name="x-value" dataDxfId="50" dataCellStyle="Normal 18">
      <calculatedColumnFormula>IF(C58=1,INDEX(aScores,$B$1,$A33),"")</calculatedColumnFormula>
    </tableColumn>
    <tableColumn id="3" name="y-value" dataDxfId="49" dataCellStyle="Normal 18">
      <calculatedColumnFormula>IF(D58=1,INDEX(aScores,$B$2,$A33),"")</calculatedColumnFormula>
    </tableColumn>
    <tableColumn id="4" name="z-value" dataDxfId="48" dataCellStyle="Normal 18">
      <calculatedColumnFormula>IF(E58=1,INDEX(aScores,$B$3,$A33),"")</calculatedColumnFormula>
    </tableColumn>
    <tableColumn id="5" name="4th dimension" dataDxfId="47">
      <calculatedColumnFormula>tblTerritories!G3</calculatedColumnFormula>
    </tableColumn>
    <tableColumn id="6" name="z drop lines" dataDxfId="46">
      <calculatedColumnFormula>D$19*(L33-R33)</calculatedColumnFormula>
    </tableColumn>
    <tableColumn id="7" name="x norm" dataDxfId="45">
      <calculatedColumnFormula>(C33-H$16)/H$17-0.5</calculatedColumnFormula>
    </tableColumn>
    <tableColumn id="8" name="y norm" dataDxfId="44">
      <calculatedColumnFormula>(D33-I$16)/I$17-0.5</calculatedColumnFormula>
    </tableColumn>
    <tableColumn id="9" name="z norm" dataDxfId="43">
      <calculatedColumnFormula>(E33-J$16)/J$17-0.5</calculatedColumnFormula>
    </tableColumn>
    <tableColumn id="10" name="xs" dataDxfId="42">
      <calculatedColumnFormula>(H33*$H$13+I33*$I$13+J33*$J$13+$D$27)*$C$27</calculatedColumnFormula>
    </tableColumn>
    <tableColumn id="11" name="ys" dataDxfId="41">
      <calculatedColumnFormula>(H33*$H$14+I33*$I$14+J33*$J$14+$E$27)*$C$27</calculatedColumnFormula>
    </tableColumn>
    <tableColumn id="12" name="_xs_cpx" dataDxfId="40">
      <calculatedColumnFormula>(H$27*$H$13+I33*$I$13+J33*$J$13+$D$27)*$C$27</calculatedColumnFormula>
    </tableColumn>
    <tableColumn id="13" name="_ys_cpx" dataDxfId="39">
      <calculatedColumnFormula>(H$27*$H$14+I33*$I$14+J33*$J$14+$E$27)*$C$27</calculatedColumnFormula>
    </tableColumn>
    <tableColumn id="14" name="_xs_cpy" dataDxfId="38">
      <calculatedColumnFormula>(H33*$H$13+I$27*$I$13+J33*$J$13+$D$27)*$C$27</calculatedColumnFormula>
    </tableColumn>
    <tableColumn id="15" name="_ys_cpy" dataDxfId="37">
      <calculatedColumnFormula>(H33*$H$14+I$27*$I$14+J33*$J$14+$E$27)*$C$27</calculatedColumnFormula>
    </tableColumn>
    <tableColumn id="16" name="_xs_cpz" dataDxfId="36">
      <calculatedColumnFormula>(H33*$H$13+I33*$I$13+J$27*$J$13+$D$27)*$C$27</calculatedColumnFormula>
    </tableColumn>
    <tableColumn id="17" name="_ys_cpz" dataDxfId="35">
      <calculatedColumnFormula>(H33*$H$14+I33*$I$14+J$27*$J$14+$E$27)*$C$27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spPr>
      <a:bodyPr vertOverflow="clip" rtlCol="0" anchor="ctr"/>
      <a:lstStyle>
        <a:defPPr algn="ctr">
          <a:defRPr sz="1100">
            <a:solidFill>
              <a:sysClr val="windowText" lastClr="000000"/>
            </a:solidFill>
          </a:defRPr>
        </a:defP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2.vml"/><Relationship Id="rId7" Type="http://schemas.openxmlformats.org/officeDocument/2006/relationships/ctrlProp" Target="../ctrlProps/ctrlProp41.xml"/><Relationship Id="rId2" Type="http://schemas.openxmlformats.org/officeDocument/2006/relationships/drawing" Target="../drawings/drawing3.xml"/><Relationship Id="rId1" Type="http://schemas.openxmlformats.org/officeDocument/2006/relationships/printerSettings" Target="../printerSettings/printerSettings13.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6.xml"/><Relationship Id="rId2" Type="http://schemas.openxmlformats.org/officeDocument/2006/relationships/drawing" Target="../drawings/drawing4.xml"/><Relationship Id="rId1" Type="http://schemas.openxmlformats.org/officeDocument/2006/relationships/printerSettings" Target="../printerSettings/printerSettings14.bin"/><Relationship Id="rId6" Type="http://schemas.openxmlformats.org/officeDocument/2006/relationships/ctrlProp" Target="../ctrlProps/ctrlProp65.xml"/><Relationship Id="rId5" Type="http://schemas.openxmlformats.org/officeDocument/2006/relationships/ctrlProp" Target="../ctrlProps/ctrlProp64.xml"/><Relationship Id="rId10" Type="http://schemas.openxmlformats.org/officeDocument/2006/relationships/ctrlProp" Target="../ctrlProps/ctrlProp69.xml"/><Relationship Id="rId4" Type="http://schemas.openxmlformats.org/officeDocument/2006/relationships/ctrlProp" Target="../ctrlProps/ctrlProp63.xml"/><Relationship Id="rId9" Type="http://schemas.openxmlformats.org/officeDocument/2006/relationships/ctrlProp" Target="../ctrlProps/ctrlProp6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4.vml"/><Relationship Id="rId7" Type="http://schemas.openxmlformats.org/officeDocument/2006/relationships/ctrlProp" Target="../ctrlProps/ctrlProp35.xml"/><Relationship Id="rId2" Type="http://schemas.openxmlformats.org/officeDocument/2006/relationships/drawing" Target="../drawings/drawing5.xml"/><Relationship Id="rId1" Type="http://schemas.openxmlformats.org/officeDocument/2006/relationships/printerSettings" Target="../printerSettings/printerSettings15.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3" Type="http://schemas.openxmlformats.org/officeDocument/2006/relationships/vmlDrawing" Target="../drawings/vmlDrawing5.vml"/><Relationship Id="rId21" Type="http://schemas.openxmlformats.org/officeDocument/2006/relationships/ctrlProp" Target="../ctrlProps/ctrlProp30.x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6.xml"/><Relationship Id="rId16" Type="http://schemas.openxmlformats.org/officeDocument/2006/relationships/ctrlProp" Target="../ctrlProps/ctrlProp25.xml"/><Relationship Id="rId20" Type="http://schemas.openxmlformats.org/officeDocument/2006/relationships/ctrlProp" Target="../ctrlProps/ctrlProp29.xml"/><Relationship Id="rId1" Type="http://schemas.openxmlformats.org/officeDocument/2006/relationships/printerSettings" Target="../printerSettings/printerSettings16.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 Id="rId22"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12.xml"/><Relationship Id="rId1" Type="http://schemas.openxmlformats.org/officeDocument/2006/relationships/printerSettings" Target="../printerSettings/printerSettings21.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3.xml"/><Relationship Id="rId10" Type="http://schemas.openxmlformats.org/officeDocument/2006/relationships/ctrlProp" Target="../ctrlProps/ctrlProp9.xml"/><Relationship Id="rId4" Type="http://schemas.openxmlformats.org/officeDocument/2006/relationships/table" Target="../tables/table1.xml"/><Relationship Id="rId14" Type="http://schemas.openxmlformats.org/officeDocument/2006/relationships/ctrlProp" Target="../ctrlProps/ctrlProp2.xml"/><Relationship Id="rId9" Type="http://schemas.openxmlformats.org/officeDocument/2006/relationships/ctrlProp" Target="../ctrlProps/ctrlProp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3.v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drawing" Target="../drawings/drawing15.xml"/><Relationship Id="rId1" Type="http://schemas.openxmlformats.org/officeDocument/2006/relationships/printerSettings" Target="../printerSettings/printerSettings28.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9.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31.bin"/><Relationship Id="rId4" Type="http://schemas.openxmlformats.org/officeDocument/2006/relationships/ctrlProp" Target="../ctrlProps/ctrlProp7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0.xml"/><Relationship Id="rId1" Type="http://schemas.openxmlformats.org/officeDocument/2006/relationships/printerSettings" Target="../printerSettings/printerSettings38.bin"/><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hyperlink" Target="http://www.buenosaires.gob.ar/gobiernodelaciudad" TargetMode="External"/></Relationships>
</file>

<file path=xl/worksheets/sheet1.xml><?xml version="1.0" encoding="utf-8"?>
<worksheet xmlns="http://schemas.openxmlformats.org/spreadsheetml/2006/main" xmlns:r="http://schemas.openxmlformats.org/officeDocument/2006/relationships">
  <sheetPr codeName="Sheet41">
    <pageSetUpPr fitToPage="1"/>
  </sheetPr>
  <dimension ref="A1:BB52"/>
  <sheetViews>
    <sheetView showGridLines="0" showRowColHeaders="0" tabSelected="1" zoomScale="80" zoomScaleNormal="80" workbookViewId="0">
      <pane ySplit="3" topLeftCell="A4" activePane="bottomLeft" state="frozen"/>
      <selection activeCell="W14" sqref="W14"/>
      <selection pane="bottomLeft"/>
    </sheetView>
  </sheetViews>
  <sheetFormatPr defaultColWidth="9.140625" defaultRowHeight="12.75" zeroHeight="1"/>
  <cols>
    <col min="1" max="1" width="2" style="213" customWidth="1"/>
    <col min="2" max="2" width="10.28515625" style="213" customWidth="1"/>
    <col min="3" max="6" width="9.140625" style="213"/>
    <col min="7" max="7" width="13.85546875" style="213" bestFit="1" customWidth="1"/>
    <col min="8" max="10" width="9.140625" style="213"/>
    <col min="11" max="11" width="9.42578125" style="213" customWidth="1"/>
    <col min="12" max="14" width="9.140625" style="213"/>
    <col min="15" max="15" width="11.28515625" style="213" customWidth="1"/>
    <col min="16" max="16" width="9.140625" style="212"/>
    <col min="17" max="17" width="20.5703125" style="213" customWidth="1"/>
    <col min="18" max="18" width="2" style="214" customWidth="1"/>
    <col min="19" max="19" width="9.140625" style="214"/>
    <col min="20" max="20" width="9.140625" style="213"/>
    <col min="21" max="21" width="10.7109375" style="213" customWidth="1"/>
    <col min="22" max="22" width="6.140625" style="214" customWidth="1"/>
    <col min="23" max="16384" width="9.140625" style="213"/>
  </cols>
  <sheetData>
    <row r="1" spans="1:54" ht="26.1" customHeight="1">
      <c r="A1" s="563" t="str">
        <f>lang!C3</f>
        <v>Reciclaje Inclusivo: Modelo Interactivo de Excel</v>
      </c>
      <c r="B1" s="212"/>
      <c r="C1" s="212"/>
      <c r="D1" s="212"/>
      <c r="E1" s="212"/>
      <c r="F1" s="212"/>
      <c r="G1" s="212"/>
      <c r="H1" s="212"/>
      <c r="I1" s="212"/>
      <c r="J1" s="212"/>
      <c r="K1" s="212"/>
      <c r="L1" s="212"/>
      <c r="BA1" s="329">
        <v>0</v>
      </c>
      <c r="BB1" s="329">
        <v>0</v>
      </c>
    </row>
    <row r="2" spans="1:54" ht="30" customHeight="1">
      <c r="A2" s="211"/>
      <c r="B2" s="212"/>
      <c r="C2" s="212"/>
      <c r="D2" s="212"/>
      <c r="E2" s="212"/>
      <c r="F2" s="212"/>
      <c r="G2" s="212"/>
      <c r="H2" s="212"/>
      <c r="I2" s="212"/>
      <c r="J2" s="212"/>
      <c r="K2" s="212"/>
      <c r="L2" s="212"/>
      <c r="BA2" s="329"/>
      <c r="BB2" s="329"/>
    </row>
    <row r="3" spans="1:54" s="214" customFormat="1" ht="65.099999999999994" customHeight="1">
      <c r="A3" s="215"/>
      <c r="B3" s="215"/>
      <c r="C3" s="215"/>
      <c r="D3" s="215"/>
      <c r="E3" s="215"/>
      <c r="F3" s="215"/>
      <c r="G3" s="215"/>
      <c r="H3" s="215"/>
      <c r="I3" s="215"/>
      <c r="J3" s="215"/>
      <c r="K3" s="215"/>
      <c r="L3" s="215"/>
      <c r="P3" s="215"/>
    </row>
    <row r="4" spans="1:54" s="214" customFormat="1" ht="4.5" customHeight="1">
      <c r="B4" s="215"/>
      <c r="C4" s="215"/>
      <c r="D4" s="215"/>
      <c r="E4" s="215"/>
      <c r="F4" s="215"/>
      <c r="G4" s="215"/>
      <c r="H4" s="215"/>
      <c r="I4" s="215"/>
      <c r="J4" s="215"/>
      <c r="K4" s="215"/>
      <c r="L4" s="215"/>
      <c r="P4" s="215"/>
    </row>
    <row r="5" spans="1:54" s="214" customFormat="1" ht="12.75" customHeight="1">
      <c r="A5" s="215"/>
      <c r="B5" s="215"/>
      <c r="C5" s="216"/>
      <c r="D5" s="215"/>
      <c r="E5" s="215"/>
      <c r="F5" s="215"/>
      <c r="G5" s="215"/>
      <c r="H5" s="215"/>
      <c r="I5" s="215"/>
      <c r="J5" s="215"/>
      <c r="K5" s="215"/>
      <c r="L5" s="215"/>
      <c r="M5" s="215"/>
      <c r="N5" s="215"/>
      <c r="O5" s="215"/>
      <c r="P5" s="215"/>
      <c r="Q5" s="215"/>
      <c r="R5" s="215"/>
    </row>
    <row r="6" spans="1:54" ht="12.75" customHeight="1">
      <c r="A6" s="212"/>
      <c r="B6" s="212"/>
      <c r="C6" s="217"/>
      <c r="D6" s="212"/>
      <c r="E6" s="212"/>
      <c r="F6" s="212"/>
      <c r="G6" s="212"/>
      <c r="H6" s="212"/>
      <c r="I6" s="212"/>
      <c r="J6" s="212"/>
      <c r="K6" s="212"/>
      <c r="L6" s="212"/>
      <c r="M6" s="212"/>
      <c r="N6" s="212"/>
      <c r="O6" s="212"/>
      <c r="Q6" s="212"/>
      <c r="R6" s="215"/>
    </row>
    <row r="7" spans="1:54" ht="12.75" customHeight="1">
      <c r="A7" s="212"/>
      <c r="B7" s="212"/>
      <c r="C7" s="217"/>
      <c r="D7" s="212"/>
      <c r="E7" s="212"/>
      <c r="F7" s="212"/>
      <c r="G7" s="212"/>
      <c r="H7" s="212"/>
      <c r="I7" s="212"/>
      <c r="J7" s="212"/>
      <c r="K7" s="212"/>
      <c r="L7" s="212"/>
      <c r="M7" s="212"/>
      <c r="N7" s="212"/>
      <c r="O7" s="212"/>
      <c r="Q7" s="212"/>
      <c r="R7" s="215"/>
    </row>
    <row r="8" spans="1:54" ht="75" customHeight="1">
      <c r="A8" s="212"/>
      <c r="B8" s="212"/>
      <c r="C8" s="218"/>
      <c r="D8" s="212"/>
      <c r="E8" s="212"/>
      <c r="F8" s="212"/>
      <c r="G8" s="212"/>
      <c r="H8" s="212"/>
      <c r="I8" s="212"/>
      <c r="J8" s="212"/>
      <c r="K8" s="212"/>
      <c r="L8" s="212"/>
      <c r="M8" s="212"/>
      <c r="N8" s="212"/>
      <c r="O8" s="212"/>
      <c r="Q8" s="212"/>
      <c r="R8" s="215"/>
    </row>
    <row r="9" spans="1:54" ht="15.75" hidden="1">
      <c r="A9" s="212"/>
      <c r="B9" s="212"/>
      <c r="C9" s="219"/>
      <c r="D9" s="212"/>
      <c r="E9" s="212"/>
      <c r="F9" s="212"/>
      <c r="G9" s="212"/>
      <c r="H9" s="212"/>
      <c r="I9" s="212"/>
      <c r="J9" s="212"/>
      <c r="K9" s="220"/>
      <c r="L9" s="212"/>
      <c r="M9" s="212"/>
      <c r="N9" s="212"/>
      <c r="O9" s="212"/>
      <c r="Q9" s="212"/>
      <c r="R9" s="215"/>
    </row>
    <row r="10" spans="1:54" hidden="1">
      <c r="A10" s="212"/>
      <c r="B10" s="212"/>
      <c r="C10" s="212"/>
      <c r="D10" s="212"/>
      <c r="E10" s="212"/>
      <c r="F10" s="212"/>
      <c r="G10" s="212"/>
      <c r="H10" s="212"/>
      <c r="I10" s="212"/>
      <c r="J10" s="212"/>
      <c r="K10" s="212"/>
      <c r="L10" s="212"/>
      <c r="M10" s="212"/>
      <c r="N10" s="212"/>
      <c r="O10" s="212"/>
      <c r="Q10" s="212"/>
      <c r="R10" s="215"/>
    </row>
    <row r="11" spans="1:54" ht="72" customHeight="1">
      <c r="A11" s="212"/>
      <c r="B11" s="212"/>
      <c r="C11" s="212"/>
      <c r="D11" s="212"/>
      <c r="E11" s="212"/>
      <c r="F11" s="212"/>
      <c r="G11" s="212"/>
      <c r="H11" s="212"/>
      <c r="I11" s="212"/>
      <c r="J11" s="212"/>
      <c r="K11" s="221"/>
      <c r="L11" s="212"/>
      <c r="M11" s="212"/>
      <c r="N11" s="212"/>
      <c r="O11" s="212"/>
      <c r="Q11" s="212"/>
      <c r="R11" s="215"/>
    </row>
    <row r="12" spans="1:54" ht="10.5" hidden="1" customHeight="1">
      <c r="A12" s="212"/>
      <c r="B12" s="212"/>
      <c r="C12" s="212"/>
      <c r="D12" s="212"/>
      <c r="E12" s="212"/>
      <c r="F12" s="212"/>
      <c r="G12" s="212"/>
      <c r="H12" s="212"/>
      <c r="I12" s="212"/>
      <c r="J12" s="212"/>
      <c r="K12" s="221"/>
      <c r="L12" s="212"/>
      <c r="M12" s="212"/>
      <c r="N12" s="212"/>
      <c r="O12" s="212"/>
      <c r="Q12" s="212"/>
      <c r="R12" s="215"/>
    </row>
    <row r="13" spans="1:54" ht="10.5" hidden="1" customHeight="1">
      <c r="A13" s="212"/>
      <c r="B13" s="212"/>
      <c r="C13" s="212"/>
      <c r="D13" s="212"/>
      <c r="E13" s="212"/>
      <c r="F13" s="212"/>
      <c r="G13" s="212"/>
      <c r="H13" s="212"/>
      <c r="I13" s="212"/>
      <c r="J13" s="212"/>
      <c r="K13" s="221"/>
      <c r="L13" s="212"/>
      <c r="M13" s="212"/>
      <c r="N13" s="212"/>
      <c r="O13" s="212"/>
      <c r="Q13" s="212"/>
      <c r="R13" s="215"/>
      <c r="S13" s="222"/>
    </row>
    <row r="14" spans="1:54" ht="10.5" hidden="1" customHeight="1">
      <c r="A14" s="212"/>
      <c r="B14" s="212"/>
      <c r="C14" s="212"/>
      <c r="D14" s="212"/>
      <c r="E14" s="212"/>
      <c r="F14" s="212"/>
      <c r="G14" s="212"/>
      <c r="H14" s="212"/>
      <c r="I14" s="212"/>
      <c r="J14" s="212"/>
      <c r="K14" s="221"/>
      <c r="L14" s="212"/>
      <c r="M14" s="212"/>
      <c r="N14" s="212"/>
      <c r="O14" s="212"/>
      <c r="Q14" s="212"/>
      <c r="R14" s="215"/>
    </row>
    <row r="15" spans="1:54" ht="10.5" hidden="1" customHeight="1">
      <c r="A15" s="212"/>
      <c r="B15" s="212"/>
      <c r="C15" s="212"/>
      <c r="D15" s="212"/>
      <c r="E15" s="212"/>
      <c r="F15" s="212"/>
      <c r="G15" s="212"/>
      <c r="H15" s="212"/>
      <c r="I15" s="212"/>
      <c r="J15" s="212"/>
      <c r="K15" s="221"/>
      <c r="L15" s="212"/>
      <c r="M15" s="212"/>
      <c r="N15" s="212"/>
      <c r="O15" s="212"/>
      <c r="Q15" s="212"/>
      <c r="R15" s="215"/>
    </row>
    <row r="16" spans="1:54" ht="13.5" hidden="1" customHeight="1">
      <c r="A16" s="212"/>
      <c r="B16" s="212"/>
      <c r="C16" s="212"/>
      <c r="D16" s="212"/>
      <c r="E16" s="212"/>
      <c r="F16" s="212"/>
      <c r="G16" s="212"/>
      <c r="H16" s="212"/>
      <c r="I16" s="212"/>
      <c r="J16" s="212"/>
      <c r="K16" s="221"/>
      <c r="L16" s="212"/>
      <c r="M16" s="212"/>
      <c r="N16" s="212"/>
      <c r="O16" s="212"/>
      <c r="Q16" s="212"/>
      <c r="R16" s="215"/>
    </row>
    <row r="17" spans="1:18" ht="10.5" hidden="1" customHeight="1">
      <c r="A17" s="212"/>
      <c r="B17" s="212"/>
      <c r="C17" s="212"/>
      <c r="D17" s="212"/>
      <c r="E17" s="212"/>
      <c r="F17" s="212"/>
      <c r="G17" s="212"/>
      <c r="H17" s="212"/>
      <c r="I17" s="212"/>
      <c r="J17" s="212"/>
      <c r="K17" s="221"/>
      <c r="L17" s="212"/>
      <c r="M17" s="212"/>
      <c r="N17" s="212"/>
      <c r="O17" s="212"/>
      <c r="Q17" s="212"/>
      <c r="R17" s="215"/>
    </row>
    <row r="18" spans="1:18" ht="10.5" hidden="1" customHeight="1">
      <c r="A18" s="212"/>
      <c r="B18" s="212"/>
      <c r="C18" s="212"/>
      <c r="D18" s="212"/>
      <c r="E18" s="212"/>
      <c r="F18" s="212"/>
      <c r="G18" s="212"/>
      <c r="H18" s="212"/>
      <c r="I18" s="212"/>
      <c r="J18" s="212"/>
      <c r="K18" s="221"/>
      <c r="L18" s="212"/>
      <c r="M18" s="212"/>
      <c r="N18" s="212"/>
      <c r="O18" s="212"/>
      <c r="Q18" s="212"/>
      <c r="R18" s="215"/>
    </row>
    <row r="19" spans="1:18" ht="10.5" hidden="1" customHeight="1">
      <c r="A19" s="212"/>
      <c r="B19" s="212"/>
      <c r="C19" s="212"/>
      <c r="D19" s="212"/>
      <c r="E19" s="212"/>
      <c r="F19" s="212"/>
      <c r="G19" s="212"/>
      <c r="H19" s="212"/>
      <c r="I19" s="212"/>
      <c r="J19" s="212"/>
      <c r="K19" s="221"/>
      <c r="L19" s="212"/>
      <c r="M19" s="212"/>
      <c r="N19" s="212"/>
      <c r="O19" s="212"/>
      <c r="Q19" s="212"/>
      <c r="R19" s="215"/>
    </row>
    <row r="20" spans="1:18" ht="10.5" hidden="1" customHeight="1">
      <c r="A20" s="212"/>
      <c r="B20" s="212"/>
      <c r="C20" s="212"/>
      <c r="D20" s="212"/>
      <c r="E20" s="212"/>
      <c r="F20" s="212"/>
      <c r="G20" s="212"/>
      <c r="H20" s="212"/>
      <c r="I20" s="212"/>
      <c r="J20" s="212"/>
      <c r="K20" s="221"/>
      <c r="L20" s="212"/>
      <c r="M20" s="212"/>
      <c r="N20" s="212"/>
      <c r="O20" s="212"/>
      <c r="Q20" s="212"/>
      <c r="R20" s="215"/>
    </row>
    <row r="21" spans="1:18" ht="12" hidden="1" customHeight="1">
      <c r="A21" s="212"/>
      <c r="B21" s="212"/>
      <c r="D21" s="212"/>
      <c r="E21" s="223"/>
      <c r="F21" s="223"/>
      <c r="G21" s="212"/>
      <c r="H21" s="212"/>
      <c r="I21" s="212"/>
      <c r="J21" s="212"/>
      <c r="K21" s="212"/>
      <c r="M21" s="212"/>
      <c r="N21" s="212"/>
      <c r="O21" s="212"/>
      <c r="Q21" s="212"/>
      <c r="R21" s="215"/>
    </row>
    <row r="22" spans="1:18" ht="16.5" customHeight="1">
      <c r="A22" s="212"/>
      <c r="B22" s="212"/>
      <c r="C22" s="224" t="str">
        <f>lang!C99</f>
        <v>Zoom</v>
      </c>
      <c r="D22" s="212"/>
      <c r="E22" s="223"/>
      <c r="F22" s="223"/>
      <c r="G22" s="212"/>
      <c r="H22" s="212"/>
      <c r="I22" s="225"/>
      <c r="J22" s="212"/>
      <c r="K22" s="212"/>
      <c r="M22" s="212"/>
      <c r="N22" s="226" t="str">
        <f>lang!C102</f>
        <v>Pantalla completa</v>
      </c>
      <c r="O22" s="212"/>
      <c r="Q22" s="212"/>
      <c r="R22" s="215"/>
    </row>
    <row r="23" spans="1:18" ht="16.5" customHeight="1">
      <c r="A23" s="212"/>
      <c r="B23" s="212"/>
      <c r="C23" s="223" t="str">
        <f>lang!C100</f>
        <v>Seleccione un nivel de graduación para su monitor.</v>
      </c>
      <c r="D23" s="212"/>
      <c r="E23" s="223"/>
      <c r="F23" s="223"/>
      <c r="G23" s="212"/>
      <c r="H23" s="212"/>
      <c r="I23" s="212"/>
      <c r="J23" s="212"/>
      <c r="K23" s="212"/>
      <c r="M23" s="212"/>
      <c r="N23" s="227" t="str">
        <f>lang!C103</f>
        <v>Para maximizar la visualización, seleccione "Pantalla completa".</v>
      </c>
      <c r="O23" s="212"/>
      <c r="Q23" s="212"/>
      <c r="R23" s="215"/>
    </row>
    <row r="24" spans="1:18" ht="16.5" customHeight="1">
      <c r="A24" s="212"/>
      <c r="B24" s="212"/>
      <c r="C24" s="212"/>
      <c r="D24" s="212"/>
      <c r="E24" s="223"/>
      <c r="F24" s="223"/>
      <c r="G24" s="212"/>
      <c r="H24" s="212"/>
      <c r="I24" s="212"/>
      <c r="J24" s="212"/>
      <c r="K24" s="212"/>
      <c r="M24" s="212"/>
      <c r="N24" s="227" t="str">
        <f>lang!C104</f>
        <v>Oprima "Escape" para volver al la visualización normal.</v>
      </c>
      <c r="O24" s="212"/>
      <c r="Q24" s="212"/>
      <c r="R24" s="215"/>
    </row>
    <row r="25" spans="1:18" ht="16.5" customHeight="1">
      <c r="A25" s="212"/>
      <c r="B25" s="212"/>
      <c r="D25" s="223"/>
      <c r="E25" s="223"/>
      <c r="F25" s="223"/>
      <c r="G25" s="212"/>
      <c r="H25" s="212"/>
      <c r="I25" s="212"/>
      <c r="J25" s="212"/>
      <c r="K25" s="212"/>
      <c r="M25" s="212"/>
      <c r="O25" s="212"/>
      <c r="Q25" s="212"/>
      <c r="R25" s="215"/>
    </row>
    <row r="26" spans="1:18" ht="16.5" customHeight="1">
      <c r="A26" s="212"/>
      <c r="B26" s="212"/>
      <c r="C26" s="223" t="str">
        <f>lang!C101</f>
        <v>El nivel de graduación será aplicado a todas las hojas.</v>
      </c>
      <c r="D26" s="223"/>
      <c r="E26" s="223"/>
      <c r="F26" s="223"/>
      <c r="G26" s="212"/>
      <c r="H26" s="212"/>
      <c r="I26" s="228"/>
      <c r="J26" s="212"/>
      <c r="K26" s="212"/>
      <c r="M26" s="212"/>
      <c r="O26" s="212"/>
      <c r="Q26" s="212"/>
      <c r="R26" s="215"/>
    </row>
    <row r="27" spans="1:18">
      <c r="A27" s="212"/>
      <c r="B27" s="212"/>
      <c r="C27" s="212"/>
      <c r="D27" s="212"/>
      <c r="E27" s="212"/>
      <c r="F27" s="212"/>
      <c r="G27" s="212"/>
      <c r="H27" s="212"/>
      <c r="I27" s="212"/>
      <c r="J27" s="212"/>
      <c r="K27" s="212"/>
      <c r="L27" s="212"/>
      <c r="M27" s="212"/>
      <c r="N27" s="212"/>
      <c r="O27" s="212"/>
      <c r="Q27" s="212"/>
      <c r="R27" s="215"/>
    </row>
    <row r="28" spans="1:18">
      <c r="A28" s="212"/>
      <c r="B28" s="212"/>
      <c r="C28" s="212"/>
      <c r="D28" s="212"/>
      <c r="E28" s="212"/>
      <c r="F28" s="212"/>
      <c r="G28" s="212"/>
      <c r="H28" s="212"/>
      <c r="I28" s="212"/>
      <c r="J28" s="212"/>
      <c r="K28" s="212"/>
      <c r="L28" s="212"/>
      <c r="M28" s="212"/>
      <c r="N28" s="212"/>
      <c r="O28" s="212"/>
      <c r="Q28" s="212"/>
      <c r="R28" s="215"/>
    </row>
    <row r="29" spans="1:18">
      <c r="A29" s="212"/>
      <c r="B29" s="212"/>
      <c r="C29" s="212"/>
      <c r="D29" s="212"/>
      <c r="E29" s="212"/>
      <c r="F29" s="212"/>
      <c r="G29" s="212"/>
      <c r="H29" s="212"/>
      <c r="I29" s="212"/>
      <c r="J29" s="212"/>
      <c r="K29" s="212"/>
      <c r="L29" s="212"/>
      <c r="M29" s="212"/>
      <c r="N29" s="212"/>
      <c r="O29" s="212"/>
      <c r="Q29" s="212"/>
      <c r="R29" s="215"/>
    </row>
    <row r="30" spans="1:18">
      <c r="A30" s="212"/>
      <c r="B30" s="212"/>
      <c r="C30" s="212"/>
      <c r="D30" s="212"/>
      <c r="E30" s="212"/>
      <c r="F30" s="212"/>
      <c r="G30" s="212"/>
      <c r="H30" s="212"/>
      <c r="I30" s="212"/>
      <c r="J30" s="212"/>
      <c r="K30" s="212"/>
      <c r="L30" s="212"/>
      <c r="M30" s="212"/>
      <c r="N30" s="212"/>
      <c r="O30" s="212"/>
      <c r="Q30" s="212"/>
      <c r="R30" s="215"/>
    </row>
    <row r="31" spans="1:18">
      <c r="A31" s="212"/>
      <c r="B31" s="212"/>
      <c r="C31" s="212"/>
      <c r="D31" s="212"/>
      <c r="E31" s="212"/>
      <c r="F31" s="212"/>
      <c r="G31" s="212"/>
      <c r="H31" s="212"/>
      <c r="I31" s="212"/>
      <c r="J31" s="212"/>
      <c r="K31" s="212"/>
      <c r="L31" s="212"/>
      <c r="M31" s="212"/>
      <c r="N31" s="212"/>
      <c r="O31" s="212"/>
      <c r="Q31" s="212"/>
      <c r="R31" s="215"/>
    </row>
    <row r="32" spans="1:18">
      <c r="A32" s="212"/>
      <c r="B32" s="212"/>
      <c r="C32" s="212"/>
      <c r="D32" s="212"/>
      <c r="E32" s="212"/>
      <c r="F32" s="212"/>
      <c r="G32" s="212"/>
      <c r="H32" s="212"/>
      <c r="I32" s="212"/>
      <c r="J32" s="212"/>
      <c r="K32" s="212"/>
      <c r="L32" s="212"/>
      <c r="M32" s="212"/>
      <c r="N32" s="212"/>
      <c r="O32" s="212"/>
      <c r="Q32" s="212"/>
      <c r="R32" s="215"/>
    </row>
    <row r="33" spans="1:18">
      <c r="A33" s="212"/>
      <c r="B33" s="212"/>
      <c r="C33" s="212"/>
      <c r="D33" s="212"/>
      <c r="E33" s="212"/>
      <c r="F33" s="212"/>
      <c r="G33" s="212"/>
      <c r="H33" s="212"/>
      <c r="I33" s="212"/>
      <c r="J33" s="212"/>
      <c r="K33" s="212"/>
      <c r="L33" s="212"/>
      <c r="M33" s="212"/>
      <c r="N33" s="212"/>
      <c r="O33" s="212"/>
      <c r="Q33" s="212"/>
      <c r="R33" s="215"/>
    </row>
    <row r="34" spans="1:18" ht="15.75">
      <c r="A34" s="212"/>
      <c r="B34" s="767"/>
      <c r="C34" s="767"/>
      <c r="D34" s="212"/>
      <c r="E34" s="212"/>
      <c r="F34" s="212"/>
      <c r="G34" s="212"/>
      <c r="H34" s="212"/>
      <c r="I34" s="212"/>
      <c r="J34" s="212"/>
      <c r="K34" s="212"/>
      <c r="L34" s="212"/>
      <c r="M34" s="212"/>
      <c r="N34" s="212"/>
      <c r="O34" s="212"/>
      <c r="Q34" s="212"/>
      <c r="R34" s="215"/>
    </row>
    <row r="35" spans="1:18">
      <c r="A35" s="212"/>
      <c r="B35" s="212"/>
      <c r="C35" s="212"/>
      <c r="D35" s="212"/>
      <c r="E35" s="212"/>
      <c r="F35" s="212"/>
      <c r="G35" s="212"/>
      <c r="H35" s="212"/>
      <c r="I35" s="212"/>
      <c r="J35" s="212"/>
      <c r="K35" s="212"/>
      <c r="L35" s="212"/>
      <c r="M35" s="212"/>
      <c r="N35" s="212"/>
      <c r="O35" s="212"/>
      <c r="Q35" s="212"/>
      <c r="R35" s="215"/>
    </row>
    <row r="36" spans="1:18">
      <c r="A36" s="212"/>
      <c r="B36" s="212"/>
      <c r="C36" s="212"/>
      <c r="D36" s="212"/>
      <c r="E36" s="212"/>
      <c r="F36" s="212"/>
      <c r="G36" s="212"/>
      <c r="H36" s="212"/>
      <c r="I36" s="212"/>
      <c r="J36" s="212"/>
      <c r="K36" s="212"/>
      <c r="L36" s="212"/>
      <c r="M36" s="212"/>
      <c r="N36" s="212"/>
      <c r="O36" s="212"/>
      <c r="Q36" s="212"/>
      <c r="R36" s="215"/>
    </row>
    <row r="37" spans="1:18" ht="15">
      <c r="A37" s="212"/>
      <c r="B37" s="223"/>
      <c r="C37" s="223"/>
      <c r="D37" s="223"/>
      <c r="E37" s="223"/>
      <c r="F37" s="223"/>
      <c r="G37" s="223"/>
      <c r="H37" s="223"/>
      <c r="I37" s="223"/>
      <c r="J37" s="212"/>
      <c r="K37" s="212"/>
      <c r="L37" s="212"/>
      <c r="M37" s="212"/>
      <c r="N37" s="212"/>
      <c r="O37" s="212"/>
      <c r="Q37" s="212"/>
      <c r="R37" s="215"/>
    </row>
    <row r="38" spans="1:18" ht="15">
      <c r="B38" s="229"/>
      <c r="C38" s="229"/>
      <c r="D38" s="229"/>
      <c r="E38" s="229"/>
      <c r="F38" s="229"/>
      <c r="G38" s="229"/>
      <c r="H38" s="229"/>
      <c r="I38" s="229"/>
    </row>
    <row r="39" spans="1:18" ht="15">
      <c r="B39" s="229"/>
      <c r="C39" s="229"/>
      <c r="D39" s="229"/>
      <c r="E39" s="229"/>
      <c r="F39" s="229"/>
      <c r="G39" s="229"/>
      <c r="H39" s="229"/>
      <c r="I39" s="229"/>
    </row>
    <row r="40" spans="1:18" ht="15">
      <c r="B40" s="229"/>
      <c r="C40" s="229"/>
      <c r="D40" s="229"/>
      <c r="E40" s="229"/>
      <c r="F40" s="229"/>
      <c r="G40" s="229"/>
      <c r="H40" s="229"/>
      <c r="I40" s="229"/>
    </row>
    <row r="41" spans="1:18" ht="15">
      <c r="B41" s="229"/>
      <c r="C41" s="229"/>
      <c r="D41" s="229"/>
      <c r="E41" s="229"/>
      <c r="F41" s="229"/>
      <c r="G41" s="229"/>
      <c r="H41" s="229"/>
      <c r="I41" s="229"/>
    </row>
    <row r="42" spans="1:18" ht="15">
      <c r="B42" s="229"/>
      <c r="C42" s="229"/>
      <c r="D42" s="229"/>
      <c r="E42" s="229"/>
      <c r="F42" s="229"/>
      <c r="G42" s="229"/>
      <c r="H42" s="229"/>
      <c r="I42" s="229"/>
    </row>
    <row r="43" spans="1:18" ht="15">
      <c r="B43" s="229"/>
      <c r="C43" s="229"/>
      <c r="D43" s="229"/>
      <c r="E43" s="229"/>
      <c r="F43" s="229"/>
      <c r="G43" s="229"/>
      <c r="H43" s="229"/>
      <c r="I43" s="229"/>
    </row>
    <row r="44" spans="1:18" ht="15">
      <c r="B44" s="229"/>
      <c r="C44" s="229"/>
      <c r="D44" s="229"/>
      <c r="E44" s="229"/>
      <c r="F44" s="229"/>
      <c r="G44" s="229"/>
      <c r="H44" s="229"/>
      <c r="I44" s="229"/>
    </row>
    <row r="45" spans="1:18" ht="15">
      <c r="B45" s="229"/>
      <c r="C45" s="229"/>
      <c r="D45" s="229"/>
      <c r="E45" s="229"/>
      <c r="F45" s="229"/>
      <c r="G45" s="229"/>
      <c r="H45" s="229"/>
      <c r="I45" s="229"/>
    </row>
    <row r="46" spans="1:18" ht="15">
      <c r="B46" s="229"/>
      <c r="C46" s="229"/>
      <c r="D46" s="229"/>
      <c r="E46" s="229"/>
      <c r="F46" s="229"/>
      <c r="G46" s="229"/>
      <c r="H46" s="229"/>
      <c r="I46" s="229"/>
    </row>
    <row r="47" spans="1:18"/>
    <row r="48" spans="1:18"/>
    <row r="49"/>
    <row r="50"/>
    <row r="51"/>
    <row r="52"/>
  </sheetData>
  <sheetProtection password="BF31" sheet="1" objects="1" scenarios="1"/>
  <mergeCells count="1">
    <mergeCell ref="B34:C34"/>
  </mergeCells>
  <pageMargins left="0.55118110236220474" right="0.55118110236220474" top="0.59055118110236227" bottom="0.78740157480314965" header="0.51181102362204722" footer="0.51181102362204722"/>
  <pageSetup paperSize="9" scale="26" orientation="landscape" verticalDpi="300" r:id="rId1"/>
  <headerFooter alignWithMargins="0">
    <oddHeader>&amp;RResultados del Modelo de Reciclaje Inclusivo</oddHeader>
  </headerFooter>
  <drawing r:id="rId2"/>
  <legacyDrawing r:id="rId3"/>
  <oleObjects>
    <oleObject progId="AcroExch.pdfxml.1" dvAspect="DVASPECT_ICON" shapeId="13088773" r:id="rId4"/>
  </oleObjects>
</worksheet>
</file>

<file path=xl/worksheets/sheet2.xml><?xml version="1.0" encoding="utf-8"?>
<worksheet xmlns="http://schemas.openxmlformats.org/spreadsheetml/2006/main" xmlns:r="http://schemas.openxmlformats.org/officeDocument/2006/relationships">
  <sheetPr codeName="Sheet11">
    <tabColor rgb="FF00B050"/>
    <pageSetUpPr fitToPage="1"/>
  </sheetPr>
  <dimension ref="A1:E5"/>
  <sheetViews>
    <sheetView showRowColHeaders="0" zoomScale="80" zoomScaleNormal="80" workbookViewId="0">
      <selection activeCell="B21" sqref="B21"/>
    </sheetView>
  </sheetViews>
  <sheetFormatPr defaultRowHeight="15"/>
  <cols>
    <col min="1" max="16384" width="9.140625" style="28"/>
  </cols>
  <sheetData>
    <row r="1" spans="1:5">
      <c r="A1" s="204" t="s">
        <v>289</v>
      </c>
      <c r="B1" s="204" t="s">
        <v>290</v>
      </c>
      <c r="C1" s="204" t="s">
        <v>291</v>
      </c>
      <c r="D1" s="205"/>
      <c r="E1" s="205"/>
    </row>
    <row r="2" spans="1:5">
      <c r="A2" s="28">
        <v>3</v>
      </c>
      <c r="B2" s="28">
        <v>0</v>
      </c>
    </row>
    <row r="3" spans="1:5">
      <c r="A3" s="28">
        <v>3</v>
      </c>
      <c r="B3" s="28">
        <v>2</v>
      </c>
    </row>
    <row r="4" spans="1:5">
      <c r="A4" s="28">
        <v>3</v>
      </c>
      <c r="B4" s="28">
        <v>4</v>
      </c>
    </row>
    <row r="5" spans="1:5">
      <c r="A5" s="28">
        <v>0</v>
      </c>
      <c r="B5" s="28">
        <v>0</v>
      </c>
    </row>
  </sheetData>
  <pageMargins left="0.55118110236220474" right="0.55118110236220474" top="0.59055118110236227" bottom="0.78740157480314965" header="0.51181102362204722" footer="0.51181102362204722"/>
  <pageSetup paperSize="9" orientation="landscape" r:id="rId1"/>
  <headerFooter alignWithMargins="0">
    <oddHeader>&amp;RResultados del Modelo de Reciclaje Inclusivo</oddHeader>
  </headerFooter>
</worksheet>
</file>

<file path=xl/worksheets/sheet3.xml><?xml version="1.0" encoding="utf-8"?>
<worksheet xmlns="http://schemas.openxmlformats.org/spreadsheetml/2006/main" xmlns:r="http://schemas.openxmlformats.org/officeDocument/2006/relationships">
  <sheetPr codeName="Sheet10">
    <tabColor rgb="FFFF0000"/>
    <pageSetUpPr fitToPage="1"/>
  </sheetPr>
  <dimension ref="A1:O41"/>
  <sheetViews>
    <sheetView showRowColHeaders="0" topLeftCell="A15" zoomScale="80" zoomScaleNormal="80" workbookViewId="0">
      <selection activeCell="A41" sqref="A41"/>
    </sheetView>
  </sheetViews>
  <sheetFormatPr defaultRowHeight="15"/>
  <cols>
    <col min="1" max="6" width="9.140625" style="28"/>
    <col min="8" max="8" width="9.140625" style="28"/>
  </cols>
  <sheetData>
    <row r="1" spans="1:15">
      <c r="A1" s="28" t="s">
        <v>256</v>
      </c>
      <c r="I1" s="28"/>
      <c r="K1" s="28"/>
    </row>
    <row r="2" spans="1:15">
      <c r="A2" s="28" t="s">
        <v>329</v>
      </c>
      <c r="I2" s="28"/>
      <c r="K2" s="28"/>
      <c r="O2" s="28"/>
    </row>
    <row r="3" spans="1:15">
      <c r="A3" s="28" t="s">
        <v>257</v>
      </c>
      <c r="I3" s="28"/>
      <c r="J3" s="28"/>
      <c r="K3" s="28"/>
      <c r="L3" s="28"/>
      <c r="M3" s="28"/>
      <c r="O3" s="28"/>
    </row>
    <row r="4" spans="1:15">
      <c r="A4" s="28" t="s">
        <v>258</v>
      </c>
      <c r="I4" s="28"/>
      <c r="J4" s="28"/>
      <c r="K4" s="28"/>
      <c r="L4" s="28"/>
      <c r="M4" s="28"/>
      <c r="O4" s="28"/>
    </row>
    <row r="5" spans="1:15">
      <c r="A5" s="28" t="s">
        <v>259</v>
      </c>
      <c r="I5" s="28"/>
      <c r="J5" s="28"/>
      <c r="K5" s="28"/>
      <c r="O5" s="28"/>
    </row>
    <row r="6" spans="1:15">
      <c r="A6" s="28" t="s">
        <v>260</v>
      </c>
    </row>
    <row r="7" spans="1:15">
      <c r="A7" s="28" t="s">
        <v>261</v>
      </c>
    </row>
    <row r="8" spans="1:15">
      <c r="A8" s="28" t="s">
        <v>262</v>
      </c>
    </row>
    <row r="9" spans="1:15">
      <c r="A9" s="28" t="s">
        <v>263</v>
      </c>
    </row>
    <row r="10" spans="1:15">
      <c r="A10" s="28" t="s">
        <v>2268</v>
      </c>
    </row>
    <row r="11" spans="1:15">
      <c r="A11" s="28" t="s">
        <v>267</v>
      </c>
    </row>
    <row r="12" spans="1:15">
      <c r="A12" s="28" t="s">
        <v>2267</v>
      </c>
    </row>
    <row r="13" spans="1:15">
      <c r="A13" s="28" t="s">
        <v>264</v>
      </c>
    </row>
    <row r="14" spans="1:15">
      <c r="A14" s="28" t="s">
        <v>265</v>
      </c>
    </row>
    <row r="15" spans="1:15">
      <c r="A15" s="28" t="s">
        <v>266</v>
      </c>
    </row>
    <row r="16" spans="1:15">
      <c r="A16" s="28" t="s">
        <v>2269</v>
      </c>
    </row>
    <row r="17" spans="1:1">
      <c r="A17" s="28" t="s">
        <v>2270</v>
      </c>
    </row>
    <row r="18" spans="1:1">
      <c r="A18" s="28" t="s">
        <v>268</v>
      </c>
    </row>
    <row r="19" spans="1:1">
      <c r="A19" s="28" t="s">
        <v>269</v>
      </c>
    </row>
    <row r="20" spans="1:1">
      <c r="A20" s="28" t="s">
        <v>2271</v>
      </c>
    </row>
    <row r="21" spans="1:1">
      <c r="A21" s="28" t="s">
        <v>270</v>
      </c>
    </row>
    <row r="22" spans="1:1">
      <c r="A22" s="28" t="s">
        <v>271</v>
      </c>
    </row>
    <row r="23" spans="1:1">
      <c r="A23" s="28" t="s">
        <v>272</v>
      </c>
    </row>
    <row r="24" spans="1:1">
      <c r="A24" s="28" t="s">
        <v>2272</v>
      </c>
    </row>
    <row r="25" spans="1:1">
      <c r="A25" s="28" t="s">
        <v>64</v>
      </c>
    </row>
    <row r="26" spans="1:1">
      <c r="A26" s="28" t="s">
        <v>2273</v>
      </c>
    </row>
    <row r="27" spans="1:1">
      <c r="A27" s="28" t="s">
        <v>2274</v>
      </c>
    </row>
    <row r="28" spans="1:1">
      <c r="A28" s="28" t="s">
        <v>2275</v>
      </c>
    </row>
    <row r="29" spans="1:1">
      <c r="A29" s="28" t="s">
        <v>273</v>
      </c>
    </row>
    <row r="30" spans="1:1">
      <c r="A30" s="28" t="s">
        <v>274</v>
      </c>
    </row>
    <row r="31" spans="1:1">
      <c r="A31" s="28" t="s">
        <v>906</v>
      </c>
    </row>
    <row r="32" spans="1:1">
      <c r="A32" s="28" t="s">
        <v>2276</v>
      </c>
    </row>
    <row r="33" spans="1:1">
      <c r="A33" s="28" t="s">
        <v>778</v>
      </c>
    </row>
    <row r="34" spans="1:1">
      <c r="A34" s="28" t="s">
        <v>2277</v>
      </c>
    </row>
    <row r="35" spans="1:1">
      <c r="A35" s="28" t="s">
        <v>2278</v>
      </c>
    </row>
    <row r="36" spans="1:1">
      <c r="A36" s="28" t="s">
        <v>2279</v>
      </c>
    </row>
    <row r="37" spans="1:1">
      <c r="A37" s="28" t="s">
        <v>136</v>
      </c>
    </row>
    <row r="38" spans="1:1">
      <c r="A38" s="28" t="s">
        <v>187</v>
      </c>
    </row>
    <row r="39" spans="1:1">
      <c r="A39" s="28" t="s">
        <v>2280</v>
      </c>
    </row>
    <row r="40" spans="1:1">
      <c r="A40" s="28" t="s">
        <v>2281</v>
      </c>
    </row>
    <row r="41" spans="1:1">
      <c r="A41" s="28" t="s">
        <v>2441</v>
      </c>
    </row>
  </sheetData>
  <pageMargins left="0.55118110236220474" right="0.55118110236220474" top="0.59055118110236227" bottom="0.78740157480314965" header="0.51181102362204722" footer="0.51181102362204722"/>
  <pageSetup paperSize="9" orientation="landscape" r:id="rId1"/>
  <headerFooter alignWithMargins="0">
    <oddHeader>&amp;RResultados del Modelo de Reciclaje Inclusivo</oddHeader>
  </headerFooter>
</worksheet>
</file>

<file path=xl/worksheets/sheet4.xml><?xml version="1.0" encoding="utf-8"?>
<worksheet xmlns="http://schemas.openxmlformats.org/spreadsheetml/2006/main" xmlns:r="http://schemas.openxmlformats.org/officeDocument/2006/relationships">
  <sheetPr codeName="Sheet2">
    <tabColor rgb="FF00B050"/>
    <pageSetUpPr fitToPage="1"/>
  </sheetPr>
  <dimension ref="A1:AK124"/>
  <sheetViews>
    <sheetView showRowColHeaders="0" zoomScale="80" zoomScaleNormal="80" workbookViewId="0">
      <selection activeCell="B4" sqref="B4"/>
    </sheetView>
  </sheetViews>
  <sheetFormatPr defaultRowHeight="11.25"/>
  <cols>
    <col min="1" max="1" width="30.7109375" style="104" bestFit="1" customWidth="1"/>
    <col min="2" max="2" width="11" style="104" customWidth="1"/>
    <col min="3" max="3" width="9.5703125" style="104" bestFit="1" customWidth="1"/>
    <col min="4" max="6" width="9.28515625" style="104" bestFit="1" customWidth="1"/>
    <col min="7" max="7" width="15" style="104" bestFit="1" customWidth="1"/>
    <col min="8" max="8" width="54.7109375" style="104" bestFit="1" customWidth="1"/>
    <col min="9" max="9" width="27.42578125" style="104" bestFit="1" customWidth="1"/>
    <col min="10" max="10" width="9.28515625" style="104" bestFit="1" customWidth="1"/>
    <col min="11" max="11" width="15.140625" style="104" customWidth="1"/>
    <col min="12" max="19" width="9.28515625" style="104" bestFit="1" customWidth="1"/>
    <col min="20" max="24" width="9.140625" style="104"/>
    <col min="25" max="25" width="18.5703125" style="104" bestFit="1" customWidth="1"/>
    <col min="26" max="16384" width="9.140625" style="104"/>
  </cols>
  <sheetData>
    <row r="1" spans="1:29">
      <c r="A1" s="106" t="s">
        <v>50</v>
      </c>
      <c r="B1" s="104">
        <v>12</v>
      </c>
      <c r="C1" s="104">
        <f>UserDataIn!I4</f>
        <v>0</v>
      </c>
      <c r="D1" s="104">
        <f>C1+B1</f>
        <v>12</v>
      </c>
    </row>
    <row r="2" spans="1:29">
      <c r="A2" s="106" t="s">
        <v>234</v>
      </c>
      <c r="B2" s="104">
        <v>10</v>
      </c>
    </row>
    <row r="3" spans="1:29">
      <c r="A3" s="104" t="s">
        <v>13</v>
      </c>
      <c r="B3" s="104">
        <v>0</v>
      </c>
    </row>
    <row r="4" spans="1:29">
      <c r="A4" s="106" t="s">
        <v>31</v>
      </c>
      <c r="B4" s="105">
        <v>1</v>
      </c>
    </row>
    <row r="5" spans="1:29">
      <c r="A5" s="106" t="s">
        <v>247</v>
      </c>
      <c r="B5" s="105">
        <v>3</v>
      </c>
      <c r="C5" s="106" t="s">
        <v>60</v>
      </c>
      <c r="D5" s="106" t="s">
        <v>61</v>
      </c>
      <c r="E5" s="107" t="s">
        <v>147</v>
      </c>
      <c r="F5" s="107" t="s">
        <v>148</v>
      </c>
      <c r="J5" s="106" t="s">
        <v>2698</v>
      </c>
    </row>
    <row r="6" spans="1:29">
      <c r="A6" s="106" t="s">
        <v>130</v>
      </c>
      <c r="B6" s="105">
        <v>1</v>
      </c>
      <c r="C6" s="104" t="str">
        <f ca="1">INDEX(luCityPlusNone,B6)</f>
        <v>&lt;ninguno&gt;</v>
      </c>
      <c r="D6" s="104" t="str">
        <f ca="1">INDEX(luCities,B6)</f>
        <v>Asunción</v>
      </c>
      <c r="E6" s="107" t="s">
        <v>324</v>
      </c>
      <c r="F6" s="107" t="e">
        <f>MATCH($E6,uxb_regions!$B$3:$B$14,0)+1</f>
        <v>#N/A</v>
      </c>
      <c r="G6" s="110">
        <f ca="1">IF(ISERROR(C6),$B$1+$C$1+H6,B6)</f>
        <v>1</v>
      </c>
      <c r="H6" s="106">
        <v>1</v>
      </c>
      <c r="J6" s="104">
        <v>3</v>
      </c>
    </row>
    <row r="7" spans="1:29">
      <c r="A7" s="106" t="s">
        <v>131</v>
      </c>
      <c r="B7" s="108">
        <f>B6-1</f>
        <v>0</v>
      </c>
    </row>
    <row r="8" spans="1:29">
      <c r="A8" s="106" t="s">
        <v>233</v>
      </c>
      <c r="B8" s="105">
        <v>1</v>
      </c>
      <c r="C8" s="104" t="str">
        <f>INDEX(tblTerritories!$AM$3:$AM$7,B8)</f>
        <v>Todas las regiones/Grupos</v>
      </c>
    </row>
    <row r="9" spans="1:29">
      <c r="A9" s="106" t="s">
        <v>20</v>
      </c>
      <c r="B9" s="108">
        <v>1</v>
      </c>
      <c r="C9" s="104" t="str">
        <f>INDEX(tblTerritories!BH3:BH15,B9)</f>
        <v>All Country Average</v>
      </c>
    </row>
    <row r="10" spans="1:29">
      <c r="A10" s="106" t="s">
        <v>224</v>
      </c>
      <c r="B10" s="105">
        <v>1</v>
      </c>
    </row>
    <row r="11" spans="1:29">
      <c r="A11" s="106"/>
      <c r="B11" s="108">
        <f>B10-1</f>
        <v>0</v>
      </c>
      <c r="AC11" s="170" t="s">
        <v>72</v>
      </c>
    </row>
    <row r="12" spans="1:29">
      <c r="A12" s="106" t="s">
        <v>225</v>
      </c>
      <c r="B12" s="105">
        <v>1</v>
      </c>
      <c r="AC12" s="170"/>
    </row>
    <row r="13" spans="1:29">
      <c r="A13" s="106"/>
      <c r="B13" s="108">
        <f>B12-1</f>
        <v>0</v>
      </c>
      <c r="AC13" s="170"/>
    </row>
    <row r="14" spans="1:29">
      <c r="A14" s="106" t="s">
        <v>238</v>
      </c>
      <c r="B14" s="108">
        <v>1</v>
      </c>
      <c r="AC14" s="170"/>
    </row>
    <row r="15" spans="1:29">
      <c r="A15" s="106"/>
      <c r="B15" s="108"/>
      <c r="AC15" s="170"/>
    </row>
    <row r="16" spans="1:29">
      <c r="A16" s="106" t="s">
        <v>240</v>
      </c>
      <c r="B16" s="108">
        <f>COUNT(tblIndiSets!B13:B62)</f>
        <v>50</v>
      </c>
      <c r="AC16" s="170"/>
    </row>
    <row r="17" spans="1:37">
      <c r="A17" s="106" t="s">
        <v>167</v>
      </c>
      <c r="B17" s="104">
        <f>COUNT(tblIndiSets!B68:B81)</f>
        <v>14</v>
      </c>
    </row>
    <row r="18" spans="1:37">
      <c r="A18" s="171" t="s">
        <v>14</v>
      </c>
      <c r="C18" s="109" t="str">
        <f>tblIndicators!B1</f>
        <v>IS_BG</v>
      </c>
      <c r="D18" s="109" t="str">
        <f>tblIndicators!C1</f>
        <v>Question_Number</v>
      </c>
      <c r="E18" s="109" t="str">
        <f>tblIndicators!D1</f>
        <v>INDI_CODE</v>
      </c>
      <c r="F18" s="109" t="str">
        <f>tblIndicators!E1</f>
        <v>PARENT_CODE</v>
      </c>
      <c r="G18" s="109" t="str">
        <f>tblIndicators!F1</f>
        <v>DEPTH</v>
      </c>
      <c r="H18" s="109"/>
      <c r="I18" s="109" t="str">
        <f>tblIndicators!H1</f>
        <v>NDICATOR_SHORT</v>
      </c>
      <c r="J18" s="109" t="str">
        <f>tblIndicators!I1</f>
        <v>Question</v>
      </c>
      <c r="K18" s="109" t="str">
        <f>tblIndicators!N1</f>
        <v>INDICATOR_UNIT_1</v>
      </c>
      <c r="L18" s="109" t="str">
        <f>tblIndicators!Q1</f>
        <v>Unit-Short</v>
      </c>
      <c r="M18" s="109" t="str">
        <f>tblIndicators!R1</f>
        <v>SOURCE</v>
      </c>
      <c r="N18" s="109" t="str">
        <f>tblIndicators!S1</f>
        <v>YEAR</v>
      </c>
      <c r="O18" s="109" t="str">
        <f>tblIndicators!T1</f>
        <v>Justifications</v>
      </c>
      <c r="P18" s="109" t="str">
        <f>tblIndicators!U1</f>
        <v>HIGH=Good</v>
      </c>
      <c r="Q18" s="109" t="str">
        <f>tblIndicators!V1</f>
        <v>Format</v>
      </c>
      <c r="R18" s="109">
        <f>tblIndicators!W1</f>
        <v>0</v>
      </c>
      <c r="S18" s="109">
        <f>tblIndicators!X1</f>
        <v>0</v>
      </c>
      <c r="T18" s="109" t="str">
        <f>tblIndicators!Y1</f>
        <v>HIGH_IS</v>
      </c>
      <c r="U18" s="109" t="str">
        <f>tblIndicators!Z1</f>
        <v>NORM_ID (1=sumproduct, 3=min max set by data values, 3=min max set by user here)</v>
      </c>
      <c r="V18" s="109" t="str">
        <f>tblIndicators!AA1</f>
        <v>If NORM = 3 Set Min</v>
      </c>
      <c r="W18" s="109" t="str">
        <f>tblIndicators!AB1</f>
        <v>If NORM = 3 Set Max</v>
      </c>
      <c r="X18" s="109" t="str">
        <f>tblIndicators!AC1</f>
        <v>WEIGHT_NOM</v>
      </c>
      <c r="Y18" s="109" t="str">
        <f>tblIndicators!AD1</f>
        <v>WEIGHT_PERC</v>
      </c>
      <c r="Z18" s="109" t="str">
        <f>tblIndicators!AE1</f>
        <v>REF_INDI</v>
      </c>
      <c r="AA18" s="109" t="str">
        <f>tblIndicators!AF1</f>
        <v>PARENT_COAEE</v>
      </c>
      <c r="AB18" s="109" t="str">
        <f>tblIndicators!AG1</f>
        <v>Weight_row</v>
      </c>
      <c r="AC18" s="109" t="str">
        <f>tblIndicators!AH1</f>
        <v>Weight_nom</v>
      </c>
      <c r="AD18" s="109" t="str">
        <f>tblIndicators!AI1</f>
        <v>Weight-%</v>
      </c>
      <c r="AE18" s="109">
        <f>tblIndicators!AJ1</f>
        <v>0</v>
      </c>
      <c r="AF18" s="109">
        <f>tblIndicators!AK1</f>
        <v>0</v>
      </c>
      <c r="AG18" s="109">
        <f>tblIndicators!AL1</f>
        <v>0</v>
      </c>
      <c r="AH18" s="109">
        <f>tblIndicators!AM1</f>
        <v>0</v>
      </c>
      <c r="AI18" s="109">
        <f>tblIndicators!AN1</f>
        <v>0</v>
      </c>
      <c r="AJ18" s="109">
        <f>tblIndicators!AO1</f>
        <v>0</v>
      </c>
      <c r="AK18" s="172">
        <f>tblIndicators!AO1</f>
        <v>0</v>
      </c>
    </row>
    <row r="19" spans="1:37">
      <c r="A19" s="106" t="s">
        <v>252</v>
      </c>
      <c r="B19" s="105">
        <f>B21</f>
        <v>27</v>
      </c>
      <c r="C19" s="104">
        <f>IF(INDEX(tblIndicators!B$2:B$52,$B19)="","",INDEX(tblIndicators!B$2:B$52,$B19))</f>
        <v>0</v>
      </c>
      <c r="D19" s="104">
        <f>IF(INDEX(tblIndicators!C$2:C$52,$B19)="","",INDEX(tblIndicators!C$2:C$52,$B19))</f>
        <v>19</v>
      </c>
      <c r="E19" s="104" t="str">
        <f>IF(INDEX(tblIndicators!D$2:D$52,$B19)="","",INDEX(tblIndicators!D$2:D$52,$B19))</f>
        <v>ORG2.1.4</v>
      </c>
      <c r="F19" s="104" t="str">
        <f>IF(INDEX(tblIndicators!E$2:E$52,$B19)="","",INDEX(tblIndicators!E$2:E$52,$B19))</f>
        <v>ORG2.1</v>
      </c>
      <c r="G19" s="104">
        <f>IF(INDEX(tblIndicators!F$2:F$52,$B19)="","",INDEX(tblIndicators!F$2:F$52,$B19))</f>
        <v>3</v>
      </c>
      <c r="H19" s="104" t="str">
        <f>IF(INDEX(tblIndicators!G$2:G$52,$B19)="","",INDEX(tblIndicators!G$2:G$52,$B19))</f>
        <v>2.1.4</v>
      </c>
      <c r="I19" s="104" t="str">
        <f>IF(INDEX(tblIndicators!H$2:H$52,$B19)="","",INDEX(tblIndicators!H$2:H$52,$B19))</f>
        <v>19.¿Existen espacios de diálogo y coordinación entre diferentes actores de la cadena de valor del reciclaje?</v>
      </c>
      <c r="J19" s="104" t="str">
        <f>IF(INDEX(tblIndicators!L$2:L$52,$B19)="","",INDEX(tblIndicators!L$2:L$52,$B19))</f>
        <v>19.¿Existen espacios de diálogo y coordinación entre diferentes actores de la cadena de valor del reciclaje?</v>
      </c>
      <c r="K19" s="104" t="str">
        <f>IF(INDEX(tblIndicators!P$2:P$52,$B19)="","",INDEX(tblIndicators!P$2:P$52,$B19))</f>
        <v xml:space="preserve">0= No existen espacios de coordinación
1= Existen espacios a nivel nacional o municipal
2= Existen espacios a nivel municipal y nacional 
</v>
      </c>
      <c r="L19" s="104" t="str">
        <f>IF(INDEX(tblIndicators!Q$2:Q$52,$B19)="","",INDEX(tblIndicators!Q$2:Q$52,$B19))</f>
        <v>0 - 2</v>
      </c>
      <c r="M19" s="104" t="str">
        <f>IF(INDEX(tblIndicators!R$2:R$52,$B19)="","",INDEX(tblIndicators!R$2:R$52,$B19))</f>
        <v>[1]  Ortiz, Ricardo. Subdirector de Análisis y Proyectos Especiales de Semarnat. 26 de Agosto de 2016.
[2] Fernández, Jorge. Director de la Asociación Mexicana de Empresas Ambientales. 16 de Agosto de 2016.</v>
      </c>
      <c r="N19" s="104">
        <f>IF(INDEX(tblIndicators!S$2:S$52,$B19)="","",INDEX(tblIndicators!S$2:S$52,$B19))</f>
        <v>2016</v>
      </c>
      <c r="O19" s="104" t="str">
        <f>IF(INDEX(tblIndicators!T$2:T$52,$B19)="","",INDEX(tblIndicators!T$2:T$52,$B19))</f>
        <v>No existen espacios coordinados. Desde las entidades gubernamentales no se han propiciado espacios para la coordinación de los actores, principalmente porque ninguna de las instancias ha liderado el tema debido a que se trata de un tema multisectorial (Desarrollo Social, Salud y Ambiente) [1] . En contraste, existen diferencias entre los distintos actores de la cadena e incluso las empresas prestadoras de los servicios de manejo de residuos sólidos [2].</v>
      </c>
      <c r="P19" s="104" t="str">
        <f>IF(INDEX(tblIndicators!U$2:U$52,$B19)="","",INDEX(tblIndicators!U$2:U$52,$B19))</f>
        <v>Good</v>
      </c>
      <c r="Q19" s="104">
        <f>IF(INDEX(tblIndicators!V$2:V$52,$B19)="","",INDEX(tblIndicators!V$2:V$52,$B19))</f>
        <v>0</v>
      </c>
      <c r="R19" s="104" t="str">
        <f>IF(INDEX(tblIndicators!W$2:W$52,$B19)="","",INDEX(tblIndicators!W$2:W$52,$B19))</f>
        <v/>
      </c>
      <c r="S19" s="104" t="str">
        <f>IF(INDEX(tblIndicators!X$2:X$52,$B19)="","",INDEX(tblIndicators!X$2:X$52,$B19))</f>
        <v/>
      </c>
      <c r="T19" s="104">
        <f>IF(INDEX(tblIndicators!Y$2:Y$52,$B19)="","",INDEX(tblIndicators!Y$2:Y$52,$B19))</f>
        <v>0</v>
      </c>
      <c r="U19" s="104">
        <f>IF(INDEX(tblIndicators!Z$2:Z$52,$B19)="","",INDEX(tblIndicators!Z$2:Z$52,$B19))</f>
        <v>3</v>
      </c>
      <c r="V19" s="104">
        <f>IF(INDEX(tblIndicators!AA$2:AA$52,$B19)="","",INDEX(tblIndicators!AA$2:AA$52,$B19))</f>
        <v>0</v>
      </c>
      <c r="W19" s="104">
        <f>IF(INDEX(tblIndicators!AB$2:AB$52,$B19)="","",INDEX(tblIndicators!AB$2:AB$52,$B19))</f>
        <v>2</v>
      </c>
      <c r="X19" s="104">
        <f>IF(INDEX(tblIndicators!AC$2:AC$52,$B19)="","",INDEX(tblIndicators!AC$2:AC$52,$B19))</f>
        <v>0.2</v>
      </c>
      <c r="Y19" s="104">
        <f>IF(INDEX(tblIndicators!AD$2:AD$52,$B19)="","",INDEX(tblIndicators!AD$2:AD$52,$B19))</f>
        <v>0.2</v>
      </c>
      <c r="Z19" s="104" t="str">
        <f>IF(INDEX(tblIndicators!AE$2:AE$52,$B19)="","",INDEX(tblIndicators!AE$2:AE$52,$B19))</f>
        <v>2.1.4) 19.¿Existen espacios de diálogo y coordinación entre diferentes actores de la cadena de valor del reciclaje?</v>
      </c>
      <c r="AA19" s="104" t="str">
        <f>IF(INDEX(tblIndicators!AF$2:AF$52,$B19)="","",INDEX(tblIndicators!AF$2:AF$52,$B19))</f>
        <v>2.1) Asociatividad</v>
      </c>
      <c r="AB19" s="104">
        <f>IF(INDEX(tblIndicators!AG$2:AG$52,$B19)="","",INDEX(tblIndicators!AG$2:AG$52,$B19))</f>
        <v>47</v>
      </c>
      <c r="AC19" s="104">
        <f>IF(INDEX(tblIndicators!AH$2:AH$52,$B19)="","",INDEX(tblIndicators!AH$2:AH$52,$B19))</f>
        <v>1</v>
      </c>
      <c r="AD19" s="104">
        <f>IF(INDEX(tblIndicators!AI$2:AI$52,$B19)="","",INDEX(tblIndicators!AI$2:AI$52,$B19))</f>
        <v>0.2</v>
      </c>
      <c r="AE19" s="104" t="str">
        <f>IF(INDEX(tblIndicators!AJ$2:AJ$52,$B19)="","",INDEX(tblIndicators!AJ$2:AJ$52,$B19))</f>
        <v/>
      </c>
      <c r="AF19" s="104" t="str">
        <f>IF(INDEX(tblIndicators!AK$2:AK$52,$B19)="","",INDEX(tblIndicators!AK$2:AK$52,$B19))</f>
        <v/>
      </c>
      <c r="AG19" s="104" t="str">
        <f>IF(INDEX(tblIndicators!AL$2:AL$52,$B19)="","",INDEX(tblIndicators!AL$2:AL$52,$B19))</f>
        <v/>
      </c>
      <c r="AH19" s="104" t="str">
        <f>IF(INDEX(tblIndicators!AM$2:AM$52,$B19)="","",INDEX(tblIndicators!AM$2:AM$52,$B19))</f>
        <v/>
      </c>
      <c r="AI19" s="104" t="str">
        <f>IF(INDEX(tblIndicators!AN$2:AN$52,$B19)="","",INDEX(tblIndicators!AN$2:AN$52,$B19))</f>
        <v/>
      </c>
      <c r="AJ19" s="104" t="str">
        <f>IF(INDEX(tblIndicators!AO$2:AO$52,$B19)="","",INDEX(tblIndicators!AO$2:AO$52,$B19))</f>
        <v/>
      </c>
      <c r="AK19" s="104" t="str">
        <f>IF(INDEX(tblIndicators!AO$2:AO$52,$B19)="","",INDEX(tblIndicators!AO$2:AO$52,$B19))</f>
        <v/>
      </c>
    </row>
    <row r="20" spans="1:37">
      <c r="A20" s="106" t="s">
        <v>213</v>
      </c>
      <c r="B20" s="105">
        <f>B21+1</f>
        <v>28</v>
      </c>
      <c r="C20" s="104">
        <f>IF(INDEX(tblIndicators!B$2:B$52,$B20)="","",INDEX(tblIndicators!B$2:B$52,$B20))</f>
        <v>0</v>
      </c>
      <c r="D20" s="104">
        <f>IF(INDEX(tblIndicators!C$2:C$52,$B20)="","",INDEX(tblIndicators!C$2:C$52,$B20))</f>
        <v>20</v>
      </c>
      <c r="E20" s="104" t="str">
        <f>IF(INDEX(tblIndicators!D$2:D$52,$B20)="","",INDEX(tblIndicators!D$2:D$52,$B20))</f>
        <v>ORG2.1.5</v>
      </c>
      <c r="F20" s="104" t="str">
        <f>IF(INDEX(tblIndicators!E$2:E$52,$B20)="","",INDEX(tblIndicators!E$2:E$52,$B20))</f>
        <v>ORG2.1</v>
      </c>
      <c r="G20" s="104">
        <f>IF(INDEX(tblIndicators!F$2:F$52,$B20)="","",INDEX(tblIndicators!F$2:F$52,$B20))</f>
        <v>3</v>
      </c>
      <c r="H20" s="104" t="str">
        <f>IF(INDEX(tblIndicators!G$2:G$52,$B20)="","",INDEX(tblIndicators!G$2:G$52,$B20))</f>
        <v>2.1.5</v>
      </c>
      <c r="I20" s="104" t="str">
        <f>IF(INDEX(tblIndicators!H$2:H$52,$B20)="","",INDEX(tblIndicators!H$2:H$52,$B20))</f>
        <v>20.¿Cuál es el nivel de representación de las mujeres en las asociaciones?</v>
      </c>
      <c r="J20" s="104" t="str">
        <f>IF(INDEX(tblIndicators!I$2:I$52,$B20)="","",INDEX(tblIndicators!I$2:I$52,$B20))</f>
        <v>20.¿Cuál es el nivel de representación de las mujeres en las asociaciones?</v>
      </c>
      <c r="K20" s="104" t="str">
        <f>IF(INDEX(tblIndicators!P$2:P$52,$B20)="","",INDEX(tblIndicators!P$2:P$52,$B20))</f>
        <v xml:space="preserve">0= Existe un bajo nivel de representación (ningún criterio)
1= Existe un nivel medio de representación (1-2 criterios)
2= Existe un nivel superior de representación (3 o más criterios)
</v>
      </c>
      <c r="L20" s="104" t="str">
        <f>IF(INDEX(tblIndicators!Q$2:Q$52,$B20)="","",INDEX(tblIndicators!Q$2:Q$52,$B20))</f>
        <v>0 - 2</v>
      </c>
      <c r="M20" s="104" t="str">
        <f>IF(INDEX(tblIndicators!R$2:R$52,$B20)="","",INDEX(tblIndicators!R$2:R$52,$B20))</f>
        <v>[1] El Universal. "Guillermina de la Torre dueña del PRI", publicado el 09 de marzo de 2015 [http://www.eluniversalmas.com.mx/columnas/2015/03/111549.php]
[2] Berthier Castillo, Héctor. Coordinador de la Unidad de Estudios Sobre la Juventud de la Universidad Nacional Autónoma de México. 29 de agosto de 2016.</v>
      </c>
      <c r="N20" s="104">
        <f>IF(INDEX(tblIndicators!S$2:S$52,$B20)="","",INDEX(tblIndicators!S$2:S$52,$B20))</f>
        <v>2016</v>
      </c>
      <c r="O20" s="104" t="str">
        <f>IF(INDEX(tblIndicators!T$2:T$52,$B20)="","",INDEX(tblIndicators!T$2:T$52,$B20))</f>
        <v>Existe un nivel medio de representación de las mujeres. Guillermina de la Torre es la líder del Unión de Recicladores informales del Distrito Federal Rafael Gutiérrez Moreno [1], sin embargo en los grupos de recicladores no hay metas de involucramiento de mujeres  [2] y, dada la inexistencia de los estatutos, no hay lineamientos para la promoción de la participación de las mujeres. Por último, se desconoce la proporción entre hombres y mujeres en las organizaciones de recicladores.</v>
      </c>
      <c r="P20" s="104" t="str">
        <f>IF(INDEX(tblIndicators!U$2:U$52,$B20)="","",INDEX(tblIndicators!U$2:U$52,$B20))</f>
        <v>Good</v>
      </c>
      <c r="Q20" s="104">
        <f>IF(INDEX(tblIndicators!V$2:V$52,$B20)="","",INDEX(tblIndicators!V$2:V$52,$B20))</f>
        <v>0</v>
      </c>
      <c r="R20" s="104" t="str">
        <f>IF(INDEX(tblIndicators!W$2:W$52,$B20)="","",INDEX(tblIndicators!W$2:W$52,$B20))</f>
        <v/>
      </c>
      <c r="S20" s="104" t="str">
        <f>IF(INDEX(tblIndicators!X$2:X$52,$B20)="","",INDEX(tblIndicators!X$2:X$52,$B20))</f>
        <v/>
      </c>
      <c r="T20" s="104">
        <f>IF(INDEX(tblIndicators!Y$2:Y$52,$B20)="","",INDEX(tblIndicators!Y$2:Y$52,$B20))</f>
        <v>0</v>
      </c>
      <c r="U20" s="104">
        <f>IF(INDEX(tblIndicators!Z$2:Z$52,$B20)="","",INDEX(tblIndicators!Z$2:Z$52,$B20))</f>
        <v>3</v>
      </c>
      <c r="V20" s="104">
        <f>IF(INDEX(tblIndicators!AA$2:AA$52,$B20)="","",INDEX(tblIndicators!AA$2:AA$52,$B20))</f>
        <v>0</v>
      </c>
      <c r="W20" s="104">
        <f>IF(INDEX(tblIndicators!AB$2:AB$52,$B20)="","",INDEX(tblIndicators!AB$2:AB$52,$B20))</f>
        <v>2</v>
      </c>
      <c r="X20" s="104">
        <f>IF(INDEX(tblIndicators!AC$2:AC$52,$B20)="","",INDEX(tblIndicators!AC$2:AC$52,$B20))</f>
        <v>0.2</v>
      </c>
      <c r="Y20" s="104">
        <f>IF(INDEX(tblIndicators!AD$2:AD$52,$B20)="","",INDEX(tblIndicators!AD$2:AD$52,$B20))</f>
        <v>0.2</v>
      </c>
      <c r="Z20" s="104" t="str">
        <f>IF(INDEX(tblIndicators!AE$2:AE$52,$B20)="","",INDEX(tblIndicators!AE$2:AE$52,$B20))</f>
        <v>2.1.5) 20.¿Cuál es el nivel de representación de las mujeres en las asociaciones?</v>
      </c>
      <c r="AA20" s="104" t="str">
        <f>IF(INDEX(tblIndicators!AF$2:AF$52,$B20)="","",INDEX(tblIndicators!AF$2:AF$52,$B20))</f>
        <v>2.1) Asociatividad</v>
      </c>
      <c r="AB20" s="104">
        <f>IF(INDEX(tblIndicators!AG$2:AG$52,$B20)="","",INDEX(tblIndicators!AG$2:AG$52,$B20))</f>
        <v>48</v>
      </c>
      <c r="AC20" s="104">
        <f>IF(INDEX(tblIndicators!AH$2:AH$52,$B20)="","",INDEX(tblIndicators!AH$2:AH$52,$B20))</f>
        <v>1</v>
      </c>
      <c r="AD20" s="104">
        <f>IF(INDEX(tblIndicators!AI$2:AI$52,$B20)="","",INDEX(tblIndicators!AI$2:AI$52,$B20))</f>
        <v>0.2</v>
      </c>
      <c r="AE20" s="104" t="str">
        <f>IF(INDEX(tblIndicators!AJ$2:AJ$52,$B20)="","",INDEX(tblIndicators!AJ$2:AJ$52,$B20))</f>
        <v/>
      </c>
      <c r="AF20" s="104" t="str">
        <f>IF(INDEX(tblIndicators!AK$2:AK$52,$B20)="","",INDEX(tblIndicators!AK$2:AK$52,$B20))</f>
        <v/>
      </c>
      <c r="AG20" s="104" t="str">
        <f>IF(INDEX(tblIndicators!AL$2:AL$52,$B20)="","",INDEX(tblIndicators!AL$2:AL$52,$B20))</f>
        <v/>
      </c>
      <c r="AH20" s="104" t="str">
        <f>IF(INDEX(tblIndicators!AM$2:AM$52,$B20)="","",INDEX(tblIndicators!AM$2:AM$52,$B20))</f>
        <v/>
      </c>
      <c r="AI20" s="104" t="str">
        <f>IF(INDEX(tblIndicators!AN$2:AN$52,$B20)="","",INDEX(tblIndicators!AN$2:AN$52,$B20))</f>
        <v/>
      </c>
      <c r="AJ20" s="104" t="str">
        <f>IF(INDEX(tblIndicators!AO$2:AO$52,$B20)="","",INDEX(tblIndicators!AO$2:AO$52,$B20))</f>
        <v/>
      </c>
      <c r="AK20" s="104" t="str">
        <f>IF(INDEX(tblIndicators!AO$2:AO$52,$B20)="","",INDEX(tblIndicators!AO$2:AO$52,$B20))</f>
        <v/>
      </c>
    </row>
    <row r="21" spans="1:37">
      <c r="A21" s="106" t="s">
        <v>241</v>
      </c>
      <c r="B21" s="105">
        <v>27</v>
      </c>
    </row>
    <row r="23" spans="1:37" s="111" customFormat="1" ht="15">
      <c r="A23" s="173" t="s">
        <v>149</v>
      </c>
      <c r="B23" s="106"/>
      <c r="C23" s="106" t="s">
        <v>56</v>
      </c>
      <c r="D23" s="106" t="s">
        <v>23</v>
      </c>
      <c r="E23" s="106" t="s">
        <v>65</v>
      </c>
      <c r="F23" s="106"/>
      <c r="G23" s="106"/>
      <c r="H23" s="106"/>
      <c r="I23" s="106" t="s">
        <v>2360</v>
      </c>
      <c r="J23" s="106"/>
    </row>
    <row r="24" spans="1:37" s="111" customFormat="1" ht="15">
      <c r="A24" s="106" t="s">
        <v>132</v>
      </c>
      <c r="B24" s="106">
        <v>1</v>
      </c>
      <c r="C24" s="106" t="str">
        <f ca="1">INDEX(luCities,B24)</f>
        <v>Asunción</v>
      </c>
      <c r="D24" s="106"/>
      <c r="E24" s="106">
        <f ca="1">INDEX(OFFSET(luCities,0,3),B24)</f>
        <v>1</v>
      </c>
      <c r="F24" s="110" t="str">
        <f>INDEX(tblTerritories!$C$30:$C$41,uxb_works!B24)</f>
        <v xml:space="preserve"> Paraguay</v>
      </c>
      <c r="G24" s="110">
        <f>IF(ISERROR(F24),$B$1,B24)</f>
        <v>1</v>
      </c>
      <c r="H24" s="106">
        <v>0</v>
      </c>
      <c r="I24" s="106">
        <f>IF(ISERROR(F24),1,0)</f>
        <v>0</v>
      </c>
      <c r="J24" s="106"/>
    </row>
    <row r="25" spans="1:37" s="111" customFormat="1" ht="15">
      <c r="A25" s="106" t="s">
        <v>133</v>
      </c>
      <c r="B25" s="106">
        <v>12</v>
      </c>
      <c r="C25" s="106" t="str">
        <f ca="1">INDEX(luCities,B25)</f>
        <v>Santiago de Chile</v>
      </c>
      <c r="D25" s="106"/>
      <c r="E25" s="106">
        <f ca="1">INDEX(OFFSET(luCities,0,3),B25)</f>
        <v>1</v>
      </c>
      <c r="F25" s="110"/>
      <c r="G25" s="110">
        <f t="shared" ref="G25:G27" ca="1" si="0">IF(ISERROR(C25),$B$1+$C$1+H25,B25)</f>
        <v>12</v>
      </c>
      <c r="H25" s="106">
        <v>0</v>
      </c>
      <c r="I25" s="106"/>
      <c r="J25" s="106"/>
    </row>
    <row r="26" spans="1:37" s="111" customFormat="1" ht="15">
      <c r="A26" s="106" t="s">
        <v>134</v>
      </c>
      <c r="B26" s="106">
        <v>1</v>
      </c>
      <c r="C26" s="106" t="str">
        <f ca="1">INDEX(luCityPlusNone,B26)</f>
        <v>&lt;ninguno&gt;</v>
      </c>
      <c r="D26" s="106"/>
      <c r="E26" s="106"/>
      <c r="F26" s="110"/>
      <c r="G26" s="110">
        <f t="shared" ca="1" si="0"/>
        <v>1</v>
      </c>
      <c r="H26" s="106">
        <v>1</v>
      </c>
      <c r="I26" s="106"/>
      <c r="J26" s="106"/>
    </row>
    <row r="27" spans="1:37" s="111" customFormat="1" ht="15">
      <c r="A27" s="106" t="s">
        <v>133</v>
      </c>
      <c r="B27" s="106">
        <v>1</v>
      </c>
      <c r="C27" s="106" t="str">
        <f ca="1">INDEX(luCityPlusNone,B27)</f>
        <v>&lt;ninguno&gt;</v>
      </c>
      <c r="D27" s="106"/>
      <c r="E27" s="106"/>
      <c r="F27" s="110"/>
      <c r="G27" s="110">
        <f t="shared" ca="1" si="0"/>
        <v>1</v>
      </c>
      <c r="H27" s="106">
        <v>1</v>
      </c>
      <c r="I27" s="106"/>
      <c r="J27" s="106"/>
    </row>
    <row r="28" spans="1:37" s="111" customFormat="1" ht="15">
      <c r="A28" s="106" t="s">
        <v>313</v>
      </c>
      <c r="B28" s="106"/>
      <c r="C28" s="106"/>
      <c r="D28" s="106"/>
      <c r="E28" s="106"/>
      <c r="F28" s="110"/>
      <c r="G28" s="110"/>
      <c r="H28" s="106"/>
      <c r="I28" s="106"/>
      <c r="J28" s="106"/>
    </row>
    <row r="29" spans="1:37" s="111" customFormat="1" ht="15">
      <c r="A29" s="106" t="s">
        <v>217</v>
      </c>
      <c r="B29" s="106" t="b">
        <v>0</v>
      </c>
      <c r="C29" s="106"/>
      <c r="D29" s="106"/>
      <c r="E29" s="106"/>
      <c r="F29" s="110"/>
      <c r="G29" s="110"/>
      <c r="H29" s="106"/>
      <c r="I29" s="106"/>
      <c r="J29" s="106"/>
    </row>
    <row r="30" spans="1:37" s="111" customFormat="1" ht="15">
      <c r="B30" s="111">
        <v>5</v>
      </c>
      <c r="C30" s="111">
        <v>1</v>
      </c>
      <c r="D30" s="111">
        <v>2</v>
      </c>
      <c r="E30" s="111">
        <v>3</v>
      </c>
      <c r="F30" s="111">
        <v>4</v>
      </c>
      <c r="G30" s="111">
        <v>5</v>
      </c>
      <c r="H30" s="111">
        <v>9</v>
      </c>
      <c r="I30" s="111">
        <v>17</v>
      </c>
      <c r="J30" s="111">
        <v>8</v>
      </c>
      <c r="K30" s="111">
        <v>9</v>
      </c>
      <c r="L30" s="111">
        <v>10</v>
      </c>
      <c r="M30" s="111">
        <v>11</v>
      </c>
      <c r="N30" s="111">
        <v>12</v>
      </c>
      <c r="O30" s="111">
        <v>13</v>
      </c>
      <c r="P30" s="111">
        <v>14</v>
      </c>
      <c r="Q30" s="111">
        <v>15</v>
      </c>
      <c r="R30" s="111">
        <v>16</v>
      </c>
      <c r="S30" s="111">
        <v>17</v>
      </c>
      <c r="T30" s="111">
        <v>18</v>
      </c>
      <c r="U30" s="111">
        <v>19</v>
      </c>
    </row>
    <row r="31" spans="1:37" s="111" customFormat="1" ht="15">
      <c r="A31" s="106" t="s">
        <v>124</v>
      </c>
      <c r="C31" s="111" t="s">
        <v>285</v>
      </c>
      <c r="D31" s="111" t="str">
        <f>INDEX(tblIndicators!$D$1:$AL$1,D30)</f>
        <v>PARENT_CODE</v>
      </c>
      <c r="E31" s="111" t="str">
        <f>INDEX(tblIndicators!$D$1:$AL$1,E30)</f>
        <v>DEPTH</v>
      </c>
      <c r="F31" s="111" t="str">
        <f>INDEX(tblIndicators!$D$1:$AL$1,F30)</f>
        <v>REF</v>
      </c>
      <c r="G31" s="111" t="str">
        <f>INDEX(tblIndicators!$D$1:$AL$1,G30)</f>
        <v>NDICATOR_SHORT</v>
      </c>
      <c r="H31" s="111" t="str">
        <f>INDEX(tblIndicators!$D$1:$AL$1,H30)</f>
        <v>Compound description</v>
      </c>
      <c r="I31" s="111" t="str">
        <f>INDEX(tblIndicators!$D$1:$AL$1,I30)</f>
        <v>Justifications</v>
      </c>
      <c r="J31" s="111">
        <f>INDEX(tblIndicators!$D$1:$AL$1,J30)</f>
        <v>0</v>
      </c>
      <c r="K31" s="111" t="str">
        <f>INDEX(tblIndicators!$D$1:$AL$1,K30)</f>
        <v>Compound description</v>
      </c>
      <c r="L31" s="111">
        <f>INDEX(tblIndicators!$D$1:$AL$1,L30)</f>
        <v>0</v>
      </c>
      <c r="M31" s="111" t="str">
        <f>INDEX(tblIndicators!$D$1:$AL$1,M30)</f>
        <v>INDICATOR_UNIT_1</v>
      </c>
      <c r="N31" s="111" t="str">
        <f>INDEX(tblIndicators!$D$1:$AL$1,N30)</f>
        <v>INDICATOR_UNIT</v>
      </c>
      <c r="O31" s="111" t="str">
        <f>INDEX(tblIndicators!$D$1:$AL$1,O30)</f>
        <v>INDICATOR_UNIT_2</v>
      </c>
      <c r="P31" s="111" t="str">
        <f>INDEX(tblIndicators!$D$1:$AL$1,P30)</f>
        <v>Unit-Short</v>
      </c>
      <c r="Q31" s="111" t="str">
        <f>INDEX(tblIndicators!$D$1:$AL$1,Q30)</f>
        <v>SOURCE</v>
      </c>
      <c r="R31" s="111" t="str">
        <f>INDEX(tblIndicators!$D$1:$AL$1,R30)</f>
        <v>YEAR</v>
      </c>
      <c r="S31" s="111" t="str">
        <f>INDEX(tblIndicators!$D$1:$AL$1,S30)</f>
        <v>Justifications</v>
      </c>
      <c r="T31" s="111" t="str">
        <f>INDEX(tblIndicators!$D$1:$AL$1,T30)</f>
        <v>HIGH=Good</v>
      </c>
      <c r="U31" s="111" t="str">
        <f>INDEX(tblIndicators!$D$1:$AL$1,U30)</f>
        <v>Format</v>
      </c>
    </row>
    <row r="32" spans="1:37" s="111" customFormat="1" ht="15">
      <c r="A32" s="106" t="s">
        <v>125</v>
      </c>
      <c r="B32" s="111">
        <v>1</v>
      </c>
      <c r="C32" s="111">
        <f>COUNTA(luIndicators)-1</f>
        <v>0</v>
      </c>
      <c r="D32" s="111" t="str">
        <f>INDEX(tblIndicators!$D$2:$AE$52,uxb_works!$B32,D$30)</f>
        <v>OVERALL SCORE</v>
      </c>
      <c r="E32" s="111">
        <f>INDEX(tblIndicators!$D$2:$AE$52,uxb_works!$B32,E$30)</f>
        <v>0</v>
      </c>
      <c r="F32" s="111">
        <f>INDEX(tblIndicators!$D$2:$AE$52,uxb_works!$B32,F$30)</f>
        <v>0</v>
      </c>
      <c r="G32" s="111" t="str">
        <f>INDEX(tblIndicators!$D$2:$AE$52,uxb_works!$B32,G$30)</f>
        <v>CATEGORÍA</v>
      </c>
      <c r="H32" s="111" t="str">
        <f>INDEX(tblIndicators!$D$2:$AE$52,uxb_works!$B32,H$30)</f>
        <v>The overall score is the weighted sum of the following category scores:
1) NORMATIVA
2) ORGANIZATIVA
3) MERCADO</v>
      </c>
      <c r="I32" s="111">
        <f>INDEX(tblIndicators!$D$2:$AE$52,uxb_works!$B32,I$30)</f>
        <v>0</v>
      </c>
      <c r="J32" s="111" t="str">
        <f>INDEX(tblIndicators!$D$2:$AE$52,uxb_works!$B32,J$30)</f>
        <v>The overall score is the weighted sum of the following category scores:
1) NORMATIVA
2) ORGANIZATIVA
3) MERCADO</v>
      </c>
      <c r="K32" s="111" t="str">
        <f>INDEX(tblIndicators!$D$2:$AE$52,uxb_works!$B32,K$30)</f>
        <v>The overall score is the weighted sum of the following category scores:
1) NORMATIVA
2) ORGANIZATIVA
3) MERCADO</v>
      </c>
      <c r="L32" s="111">
        <f>INDEX(tblIndicators!$D$2:$AE$52,uxb_works!$B32,L$30)</f>
        <v>0</v>
      </c>
      <c r="M32" s="111" t="str">
        <f>INDEX(tblIndicators!$D$2:$AE$52,uxb_works!$B32,M$30)</f>
        <v>Scored 0-100 where 100 = most capable</v>
      </c>
      <c r="N32" s="111">
        <f>INDEX(tblIndicators!$D$2:$AE$52,uxb_works!$B32,N$30)</f>
        <v>0</v>
      </c>
      <c r="O32" s="111" t="str">
        <f>INDEX(tblIndicators!$D$2:$AE$52,uxb_works!$B32,O$30)</f>
        <v>The overall score is the weighted sum of the following category scores:
1) NORMATIVA
2) ORGANIZATIVA
3) MERCADO</v>
      </c>
      <c r="P32" s="111">
        <f>INDEX(tblIndicators!$D$2:$AE$52,uxb_works!$B32,P$30)</f>
        <v>0</v>
      </c>
      <c r="Q32" s="111" t="str">
        <f>INDEX(tblIndicators!$D$2:$AE$52,uxb_works!$B32,Q$30)</f>
        <v>EIU Calculation</v>
      </c>
      <c r="R32" s="111" t="str">
        <f>INDEX(tblIndicators!$D$2:$AE$52,uxb_works!$B32,R$30)</f>
        <v>EIU Calculation</v>
      </c>
      <c r="S32" s="111">
        <f>INDEX(tblIndicators!$D$2:$AE$52,uxb_works!$B32,S$30)</f>
        <v>0</v>
      </c>
      <c r="T32" s="111">
        <f>INDEX(tblIndicators!$D$2:$AE$52,uxb_works!$B32,T$30)</f>
        <v>0</v>
      </c>
      <c r="U32" s="111" t="str">
        <f>INDEX(tblIndicators!$D$2:$AE$52,uxb_works!$B32,U$30)</f>
        <v>0.0</v>
      </c>
    </row>
    <row r="33" spans="1:21" s="111" customFormat="1" ht="15">
      <c r="A33" s="106" t="s">
        <v>126</v>
      </c>
      <c r="B33" s="111">
        <v>1</v>
      </c>
      <c r="C33" s="111">
        <f>COUNTA(luIndicators)-1</f>
        <v>0</v>
      </c>
      <c r="D33" s="111" t="str">
        <f>INDEX(tblIndicators!$D$2:$AE$52,uxb_works!$B33,D$30)</f>
        <v>OVERALL SCORE</v>
      </c>
      <c r="E33" s="111">
        <f>INDEX(tblIndicators!$D$2:$AE$52,uxb_works!$B33,E$30)</f>
        <v>0</v>
      </c>
      <c r="F33" s="111">
        <f>INDEX(tblIndicators!$D$2:$AE$52,uxb_works!$B33,F$30)</f>
        <v>0</v>
      </c>
      <c r="G33" s="111" t="str">
        <f>INDEX(tblIndicators!$D$2:$AE$52,uxb_works!$B33,G$30)</f>
        <v>CATEGORÍA</v>
      </c>
      <c r="H33" s="111" t="str">
        <f>INDEX(tblIndicators!$D$2:$AE$52,uxb_works!$B33,H$30)</f>
        <v>The overall score is the weighted sum of the following category scores:
1) NORMATIVA
2) ORGANIZATIVA
3) MERCADO</v>
      </c>
      <c r="I33" s="111">
        <f>INDEX(tblIndicators!$D$2:$AE$52,uxb_works!$B33,I$30)</f>
        <v>0</v>
      </c>
      <c r="J33" s="111" t="str">
        <f>INDEX(tblIndicators!$D$2:$AE$52,uxb_works!$B33,J$30)</f>
        <v>The overall score is the weighted sum of the following category scores:
1) NORMATIVA
2) ORGANIZATIVA
3) MERCADO</v>
      </c>
      <c r="K33" s="111" t="str">
        <f>INDEX(tblIndicators!$D$2:$AE$52,uxb_works!$B33,K$30)</f>
        <v>The overall score is the weighted sum of the following category scores:
1) NORMATIVA
2) ORGANIZATIVA
3) MERCADO</v>
      </c>
      <c r="L33" s="111">
        <f>INDEX(tblIndicators!$D$2:$AE$52,uxb_works!$B33,L$30)</f>
        <v>0</v>
      </c>
      <c r="M33" s="111" t="str">
        <f>INDEX(tblIndicators!$D$2:$AE$52,uxb_works!$B33,M$30)</f>
        <v>Scored 0-100 where 100 = most capable</v>
      </c>
      <c r="N33" s="111">
        <f>INDEX(tblIndicators!$D$2:$AE$52,uxb_works!$B33,N$30)</f>
        <v>0</v>
      </c>
      <c r="O33" s="111" t="str">
        <f>INDEX(tblIndicators!$D$2:$AE$52,uxb_works!$B33,O$30)</f>
        <v>The overall score is the weighted sum of the following category scores:
1) NORMATIVA
2) ORGANIZATIVA
3) MERCADO</v>
      </c>
      <c r="P33" s="111">
        <f>INDEX(tblIndicators!$D$2:$AE$52,uxb_works!$B33,P$30)</f>
        <v>0</v>
      </c>
      <c r="Q33" s="111" t="str">
        <f>INDEX(tblIndicators!$D$2:$AE$52,uxb_works!$B33,Q$30)</f>
        <v>EIU Calculation</v>
      </c>
      <c r="R33" s="111" t="str">
        <f>INDEX(tblIndicators!$D$2:$AE$52,uxb_works!$B33,R$30)</f>
        <v>EIU Calculation</v>
      </c>
      <c r="S33" s="111">
        <f>INDEX(tblIndicators!$D$2:$AE$52,uxb_works!$B33,S$30)</f>
        <v>0</v>
      </c>
      <c r="T33" s="111">
        <f>INDEX(tblIndicators!$D$2:$AE$52,uxb_works!$B33,T$30)</f>
        <v>0</v>
      </c>
      <c r="U33" s="111" t="str">
        <f>INDEX(tblIndicators!$D$2:$AE$52,uxb_works!$B33,U$30)</f>
        <v>0.0</v>
      </c>
    </row>
    <row r="34" spans="1:21" s="111" customFormat="1" ht="15">
      <c r="A34" s="106" t="s">
        <v>2166</v>
      </c>
      <c r="B34" s="111">
        <v>1</v>
      </c>
      <c r="C34" s="111">
        <f>COUNTA(luIndicators)-1</f>
        <v>0</v>
      </c>
      <c r="D34" s="111" t="str">
        <f>INDEX(tblIndicators!$D$2:$AE$52,uxb_works!$B34,D$30)</f>
        <v>OVERALL SCORE</v>
      </c>
      <c r="E34" s="111">
        <f>INDEX(tblIndicators!$D$2:$AE$52,uxb_works!$B34,E$30)</f>
        <v>0</v>
      </c>
      <c r="F34" s="111">
        <f>INDEX(tblIndicators!$D$2:$AE$52,uxb_works!$B34,F$30)</f>
        <v>0</v>
      </c>
      <c r="G34" s="111" t="str">
        <f>INDEX(tblIndicators!$D$2:$AE$52,uxb_works!$B34,G$30)</f>
        <v>CATEGORÍA</v>
      </c>
      <c r="H34" s="111" t="str">
        <f>INDEX(tblIndicators!$D$2:$AE$52,uxb_works!$B34,H$30)</f>
        <v>The overall score is the weighted sum of the following category scores:
1) NORMATIVA
2) ORGANIZATIVA
3) MERCADO</v>
      </c>
      <c r="I34" s="111">
        <f>INDEX(tblIndicators!$D$2:$AE$52,uxb_works!$B34,I$30)</f>
        <v>0</v>
      </c>
      <c r="J34" s="111" t="str">
        <f>INDEX(tblIndicators!$D$2:$AE$52,uxb_works!$B34,J$30)</f>
        <v>The overall score is the weighted sum of the following category scores:
1) NORMATIVA
2) ORGANIZATIVA
3) MERCADO</v>
      </c>
      <c r="K34" s="111" t="str">
        <f>INDEX(tblIndicators!$D$2:$AE$52,uxb_works!$B34,K$30)</f>
        <v>The overall score is the weighted sum of the following category scores:
1) NORMATIVA
2) ORGANIZATIVA
3) MERCADO</v>
      </c>
      <c r="L34" s="111">
        <f>INDEX(tblIndicators!$D$2:$AE$52,uxb_works!$B34,L$30)</f>
        <v>0</v>
      </c>
      <c r="M34" s="111" t="str">
        <f>INDEX(tblIndicators!$D$2:$AE$52,uxb_works!$B34,M$30)</f>
        <v>Scored 0-100 where 100 = most capable</v>
      </c>
      <c r="N34" s="111">
        <f>INDEX(tblIndicators!$D$2:$AE$52,uxb_works!$B34,N$30)</f>
        <v>0</v>
      </c>
      <c r="O34" s="111" t="str">
        <f>INDEX(tblIndicators!$D$2:$AE$52,uxb_works!$B34,O$30)</f>
        <v>The overall score is the weighted sum of the following category scores:
1) NORMATIVA
2) ORGANIZATIVA
3) MERCADO</v>
      </c>
      <c r="P34" s="111">
        <f>INDEX(tblIndicators!$D$2:$AE$52,uxb_works!$B34,P$30)</f>
        <v>0</v>
      </c>
      <c r="Q34" s="111" t="str">
        <f>INDEX(tblIndicators!$D$2:$AE$52,uxb_works!$B34,Q$30)</f>
        <v>EIU Calculation</v>
      </c>
      <c r="R34" s="111" t="str">
        <f>INDEX(tblIndicators!$D$2:$AE$52,uxb_works!$B34,R$30)</f>
        <v>EIU Calculation</v>
      </c>
      <c r="S34" s="111">
        <f>INDEX(tblIndicators!$D$2:$AE$52,uxb_works!$B34,S$30)</f>
        <v>0</v>
      </c>
      <c r="T34" s="111">
        <f>INDEX(tblIndicators!$D$2:$AE$52,uxb_works!$B34,T$30)</f>
        <v>0</v>
      </c>
      <c r="U34" s="111" t="str">
        <f>INDEX(tblIndicators!$D$2:$AE$52,uxb_works!$B34,U$30)</f>
        <v>0.0</v>
      </c>
    </row>
    <row r="35" spans="1:21" s="111" customFormat="1" ht="15">
      <c r="A35" s="106" t="s">
        <v>243</v>
      </c>
      <c r="B35" s="111" t="b">
        <v>1</v>
      </c>
    </row>
    <row r="36" spans="1:21" s="111" customFormat="1" ht="15">
      <c r="A36" s="111" t="s">
        <v>121</v>
      </c>
      <c r="B36" s="111" t="b">
        <v>0</v>
      </c>
    </row>
    <row r="37" spans="1:21" s="111" customFormat="1" ht="15">
      <c r="A37" s="111" t="s">
        <v>120</v>
      </c>
      <c r="B37" s="111" t="b">
        <v>0</v>
      </c>
    </row>
    <row r="38" spans="1:21" s="111" customFormat="1" ht="15">
      <c r="A38" s="111" t="s">
        <v>140</v>
      </c>
      <c r="B38" s="111">
        <f>iWeights!W3</f>
        <v>0</v>
      </c>
      <c r="C38" s="111" t="str">
        <f>IF(B38=0,"","Weight profile has been changed from it's neutral setting")</f>
        <v/>
      </c>
    </row>
    <row r="39" spans="1:21" s="111" customFormat="1" ht="15">
      <c r="D39" s="111" t="s">
        <v>2445</v>
      </c>
    </row>
    <row r="40" spans="1:21" s="111" customFormat="1" ht="15">
      <c r="A40" s="111" t="s">
        <v>153</v>
      </c>
      <c r="B40" s="111">
        <v>2</v>
      </c>
      <c r="D40" s="111">
        <v>2</v>
      </c>
      <c r="E40" s="111">
        <v>2</v>
      </c>
    </row>
    <row r="41" spans="1:21" s="111" customFormat="1" ht="15"/>
    <row r="42" spans="1:21" s="111" customFormat="1" ht="15">
      <c r="A42" s="111" t="s">
        <v>155</v>
      </c>
      <c r="B42" s="111">
        <v>1</v>
      </c>
    </row>
    <row r="43" spans="1:21" s="111" customFormat="1" ht="15">
      <c r="A43" s="111" t="s">
        <v>154</v>
      </c>
      <c r="B43" s="111">
        <v>33</v>
      </c>
    </row>
    <row r="44" spans="1:21" s="111" customFormat="1" ht="15"/>
    <row r="45" spans="1:21" s="111" customFormat="1" ht="15">
      <c r="A45" s="111" t="s">
        <v>82</v>
      </c>
    </row>
    <row r="46" spans="1:21" s="111" customFormat="1" ht="15">
      <c r="A46" s="111" t="s">
        <v>162</v>
      </c>
      <c r="B46" s="111" t="b">
        <v>1</v>
      </c>
    </row>
    <row r="47" spans="1:21" s="111" customFormat="1" ht="15">
      <c r="A47" s="111" t="s">
        <v>163</v>
      </c>
      <c r="B47" s="111" t="b">
        <v>1</v>
      </c>
    </row>
    <row r="48" spans="1:21" s="111" customFormat="1" ht="15">
      <c r="A48" s="111" t="s">
        <v>164</v>
      </c>
      <c r="B48" s="111">
        <v>3</v>
      </c>
    </row>
    <row r="49" spans="1:4" s="111" customFormat="1" ht="15">
      <c r="A49" s="112" t="s">
        <v>165</v>
      </c>
      <c r="B49" s="112">
        <f>B6</f>
        <v>1</v>
      </c>
      <c r="C49" s="112" t="str">
        <f>INDEX(tblTerritories!C3:C24,uxb_works!B49)</f>
        <v>Asunción</v>
      </c>
      <c r="D49" s="111">
        <f>INDEX(uxb_regions!I2:I24,uxb_works!B49)</f>
        <v>0</v>
      </c>
    </row>
    <row r="50" spans="1:4" s="111" customFormat="1" ht="15"/>
    <row r="51" spans="1:4" s="111" customFormat="1" ht="15">
      <c r="B51" s="112" t="s">
        <v>2282</v>
      </c>
      <c r="C51" s="112">
        <v>70</v>
      </c>
    </row>
    <row r="52" spans="1:4" s="111" customFormat="1" ht="15">
      <c r="A52" s="174"/>
      <c r="B52" s="113">
        <v>0.8</v>
      </c>
      <c r="C52" s="112">
        <v>80</v>
      </c>
    </row>
    <row r="53" spans="1:4" s="111" customFormat="1" ht="15">
      <c r="A53" s="175"/>
      <c r="B53" s="113">
        <v>0.9</v>
      </c>
      <c r="C53" s="112">
        <v>90</v>
      </c>
    </row>
    <row r="54" spans="1:4" s="111" customFormat="1" ht="15">
      <c r="A54" s="175"/>
      <c r="B54" s="112" t="s">
        <v>2283</v>
      </c>
      <c r="C54" s="112">
        <v>100</v>
      </c>
    </row>
    <row r="55" spans="1:4" s="111" customFormat="1" ht="15">
      <c r="A55" s="175"/>
      <c r="B55" s="113">
        <v>1.25</v>
      </c>
      <c r="C55" s="112">
        <v>125</v>
      </c>
    </row>
    <row r="56" spans="1:4" s="111" customFormat="1" ht="15">
      <c r="A56" s="175"/>
      <c r="C56" s="104"/>
    </row>
    <row r="57" spans="1:4" s="111" customFormat="1" ht="15">
      <c r="A57" s="104"/>
      <c r="B57" s="111">
        <v>2</v>
      </c>
      <c r="C57" s="111">
        <f>INDEX(C51:C55,B57)</f>
        <v>80</v>
      </c>
    </row>
    <row r="58" spans="1:4" s="111" customFormat="1" ht="15">
      <c r="A58" s="111" t="s">
        <v>183</v>
      </c>
      <c r="B58" s="111">
        <f>C57</f>
        <v>80</v>
      </c>
    </row>
    <row r="59" spans="1:4" s="111" customFormat="1" ht="15">
      <c r="A59" s="111" t="s">
        <v>239</v>
      </c>
      <c r="B59" s="111" t="s">
        <v>2764</v>
      </c>
    </row>
    <row r="60" spans="1:4" s="111" customFormat="1" ht="15"/>
    <row r="61" spans="1:4" s="111" customFormat="1" ht="15">
      <c r="A61" s="111" t="s">
        <v>245</v>
      </c>
    </row>
    <row r="62" spans="1:4" s="111" customFormat="1" ht="15"/>
    <row r="63" spans="1:4" s="111" customFormat="1" ht="15">
      <c r="A63" s="111" t="s">
        <v>89</v>
      </c>
      <c r="B63" s="114">
        <v>1</v>
      </c>
    </row>
    <row r="64" spans="1:4" s="111" customFormat="1" ht="15">
      <c r="A64" s="111" t="s">
        <v>244</v>
      </c>
      <c r="B64" s="111">
        <v>1</v>
      </c>
    </row>
    <row r="65" spans="1:2" s="111" customFormat="1" ht="15">
      <c r="A65" s="111" t="s">
        <v>246</v>
      </c>
      <c r="B65" s="111" t="b">
        <v>1</v>
      </c>
    </row>
    <row r="66" spans="1:2" s="111" customFormat="1" ht="15"/>
    <row r="67" spans="1:2" s="111" customFormat="1" ht="15"/>
    <row r="68" spans="1:2" s="111" customFormat="1" ht="15">
      <c r="A68" s="205" t="s">
        <v>292</v>
      </c>
      <c r="B68" s="111">
        <v>6</v>
      </c>
    </row>
    <row r="69" spans="1:2" s="111" customFormat="1" ht="15"/>
    <row r="70" spans="1:2">
      <c r="A70" s="205" t="s">
        <v>293</v>
      </c>
      <c r="B70" s="206" t="s">
        <v>306</v>
      </c>
    </row>
    <row r="71" spans="1:2">
      <c r="A71" s="205" t="s">
        <v>294</v>
      </c>
      <c r="B71" s="206" t="s">
        <v>306</v>
      </c>
    </row>
    <row r="72" spans="1:2">
      <c r="A72" s="205" t="s">
        <v>295</v>
      </c>
      <c r="B72" s="206" t="s">
        <v>306</v>
      </c>
    </row>
    <row r="73" spans="1:2" ht="15">
      <c r="A73" s="205" t="s">
        <v>296</v>
      </c>
      <c r="B73" s="28" t="s">
        <v>2266</v>
      </c>
    </row>
    <row r="74" spans="1:2">
      <c r="A74" s="205" t="s">
        <v>297</v>
      </c>
      <c r="B74" s="106" t="s">
        <v>2444</v>
      </c>
    </row>
    <row r="75" spans="1:2" ht="15">
      <c r="A75" s="205" t="s">
        <v>298</v>
      </c>
      <c r="B75" s="28" t="s">
        <v>2440</v>
      </c>
    </row>
    <row r="76" spans="1:2" ht="15">
      <c r="A76" s="205" t="s">
        <v>299</v>
      </c>
      <c r="B76" s="28" t="s">
        <v>2375</v>
      </c>
    </row>
    <row r="77" spans="1:2" ht="15">
      <c r="A77" s="205" t="s">
        <v>300</v>
      </c>
      <c r="B77" s="28" t="s">
        <v>2658</v>
      </c>
    </row>
    <row r="78" spans="1:2">
      <c r="A78" s="205" t="s">
        <v>301</v>
      </c>
      <c r="B78" s="95"/>
    </row>
    <row r="79" spans="1:2">
      <c r="A79" s="205" t="s">
        <v>302</v>
      </c>
      <c r="B79" s="95"/>
    </row>
    <row r="80" spans="1:2">
      <c r="A80" s="205" t="s">
        <v>303</v>
      </c>
      <c r="B80" s="95"/>
    </row>
    <row r="81" spans="1:5">
      <c r="A81" s="205" t="s">
        <v>304</v>
      </c>
      <c r="B81" s="95"/>
    </row>
    <row r="82" spans="1:5">
      <c r="A82" s="205" t="s">
        <v>305</v>
      </c>
      <c r="B82" s="95"/>
    </row>
    <row r="85" spans="1:5" ht="15">
      <c r="A85" s="106" t="s">
        <v>310</v>
      </c>
      <c r="B85" s="259" t="str">
        <f>lang!C94</f>
        <v>Puntaje normalizado 0-100, donde 100 = mejor</v>
      </c>
    </row>
    <row r="86" spans="1:5" ht="15">
      <c r="A86" s="106" t="s">
        <v>311</v>
      </c>
      <c r="B86" s="259" t="str">
        <f>lang!C95</f>
        <v>Ranking de 12 ciudades, 100=mejor; '=' significa un empate entre dos o más ciudades</v>
      </c>
    </row>
    <row r="87" spans="1:5" ht="15">
      <c r="A87" s="106" t="s">
        <v>327</v>
      </c>
      <c r="B87" s="259" t="str">
        <f>lang!C96</f>
        <v>En este modelo los puntajes de 0 a 100 representan los puntos más bajos y más altos, respectivamente, medidos por los criterios de cada indicador. Los puntajes son normalizados (0-100, donde 100 = más favorable).</v>
      </c>
    </row>
    <row r="88" spans="1:5" ht="15">
      <c r="A88" s="106" t="s">
        <v>328</v>
      </c>
      <c r="B88" s="259" t="str">
        <f>lang!C97</f>
        <v>Cambie la ponderación editando los números abajo. Mayores números significan mayor importancia; poniendo "0" elimina la influencia de esa categoría, indicador o subindicador.</v>
      </c>
    </row>
    <row r="90" spans="1:5">
      <c r="A90" s="106" t="s">
        <v>767</v>
      </c>
    </row>
    <row r="91" spans="1:5">
      <c r="D91" s="104">
        <v>9</v>
      </c>
      <c r="E91" s="106" t="s">
        <v>312</v>
      </c>
    </row>
    <row r="92" spans="1:5" ht="15">
      <c r="A92" s="106" t="s">
        <v>768</v>
      </c>
      <c r="B92" s="104">
        <v>1</v>
      </c>
      <c r="C92" s="111">
        <f>COUNTA(luIndicators)</f>
        <v>1</v>
      </c>
      <c r="D92" s="111" t="str">
        <f>IF(OR(E92=2,E92=1),INDEX(tblIndicators!$AE$3:$AE$52,B92),INDEX(tblIndicators!$G$3:$G$52,B92))</f>
        <v>1) NORMATIVA</v>
      </c>
      <c r="E92" s="104">
        <f>INDEX(tblIndicators!$F$3:$F$52,B92)</f>
        <v>1</v>
      </c>
    </row>
    <row r="93" spans="1:5" ht="15">
      <c r="A93" s="106" t="s">
        <v>769</v>
      </c>
      <c r="B93" s="104">
        <v>21</v>
      </c>
      <c r="C93" s="111">
        <f>COUNTA(luIndicators)</f>
        <v>1</v>
      </c>
      <c r="D93" s="111" t="str">
        <f>IF(OR(E93=2,E93=1),INDEX(tblIndicators!$AE$3:$AE$52,B93),INDEX(tblIndicators!$G$3:$G$52,B93))</f>
        <v>2) ORGANIZATIVA</v>
      </c>
      <c r="E93" s="104">
        <f>INDEX(tblIndicators!$F$3:$F$52,B93)</f>
        <v>1</v>
      </c>
    </row>
    <row r="94" spans="1:5" ht="15">
      <c r="A94" s="106" t="s">
        <v>770</v>
      </c>
      <c r="B94" s="104">
        <v>32</v>
      </c>
      <c r="C94" s="111">
        <f>COUNTA(luIndicators)</f>
        <v>1</v>
      </c>
      <c r="D94" s="111" t="str">
        <f>IF(OR(E94=2,E94=1),INDEX(tblIndicators!$AE$3:$AE$52,B94),INDEX(tblIndicators!$G$3:$G$52,B94))</f>
        <v>3) MERCADO</v>
      </c>
      <c r="E94" s="104">
        <f>INDEX(tblIndicators!$F$3:$F$52,B94)</f>
        <v>1</v>
      </c>
    </row>
    <row r="95" spans="1:5">
      <c r="A95" s="106" t="s">
        <v>285</v>
      </c>
      <c r="B95" s="104">
        <f>COUNT(tblIndiSets!B13:B62)</f>
        <v>50</v>
      </c>
    </row>
    <row r="96" spans="1:5">
      <c r="B96" s="104" t="b">
        <v>1</v>
      </c>
    </row>
    <row r="99" spans="1:6">
      <c r="A99" s="204" t="s">
        <v>2130</v>
      </c>
      <c r="B99" s="95"/>
    </row>
    <row r="100" spans="1:6">
      <c r="A100" s="95">
        <v>1</v>
      </c>
      <c r="B100" s="95" t="s">
        <v>2131</v>
      </c>
    </row>
    <row r="101" spans="1:6">
      <c r="A101" s="95">
        <v>2</v>
      </c>
      <c r="B101" s="95" t="s">
        <v>2132</v>
      </c>
    </row>
    <row r="102" spans="1:6">
      <c r="A102" s="95">
        <v>3</v>
      </c>
      <c r="B102" s="95" t="s">
        <v>2133</v>
      </c>
    </row>
    <row r="103" spans="1:6">
      <c r="A103" s="106"/>
      <c r="B103" s="106"/>
    </row>
    <row r="104" spans="1:6">
      <c r="A104" s="106" t="s">
        <v>2134</v>
      </c>
      <c r="B104" s="106">
        <v>3</v>
      </c>
    </row>
    <row r="105" spans="1:6">
      <c r="A105" s="106" t="s">
        <v>2135</v>
      </c>
      <c r="B105" s="104">
        <v>1</v>
      </c>
    </row>
    <row r="106" spans="1:6">
      <c r="A106" s="106" t="s">
        <v>82</v>
      </c>
      <c r="B106" s="106"/>
      <c r="C106" s="106"/>
      <c r="D106" s="106"/>
      <c r="E106" s="106"/>
      <c r="F106" s="106"/>
    </row>
    <row r="107" spans="1:6">
      <c r="A107" s="106" t="s">
        <v>2136</v>
      </c>
      <c r="B107" s="106" t="s">
        <v>2699</v>
      </c>
      <c r="C107" s="106" t="str">
        <f>RIGHT(B107,4)</f>
        <v>QUIT</v>
      </c>
      <c r="D107" s="106">
        <f>MATCH(C107,tblTerritories!B2:B14,0)</f>
        <v>9</v>
      </c>
      <c r="E107" s="106" t="str">
        <f>IF($B$6=1,"",INDEX(tblTerritories!$C$2:$C$14,D107))</f>
        <v/>
      </c>
      <c r="F107" s="106">
        <f ca="1">IF(B96=1,"",INDEX(aScores,B20,B24))</f>
        <v>50</v>
      </c>
    </row>
    <row r="110" spans="1:6">
      <c r="A110" s="106" t="s">
        <v>2137</v>
      </c>
      <c r="B110" s="104" t="s">
        <v>2138</v>
      </c>
    </row>
    <row r="113" spans="1:4">
      <c r="A113" s="106" t="s">
        <v>2142</v>
      </c>
    </row>
    <row r="115" spans="1:4">
      <c r="A115" s="106" t="str">
        <f>A24</f>
        <v>CITY1_ID</v>
      </c>
      <c r="B115" s="106">
        <f t="shared" ref="B115:C115" si="1">B24</f>
        <v>1</v>
      </c>
      <c r="C115" s="106" t="str">
        <f t="shared" ca="1" si="1"/>
        <v>Asunción</v>
      </c>
    </row>
    <row r="116" spans="1:4">
      <c r="A116" s="106" t="s">
        <v>2143</v>
      </c>
      <c r="B116" s="104">
        <v>1</v>
      </c>
      <c r="C116" s="104">
        <f>INDEX(tblIndiSets!$B90:$B126,$B$116)</f>
        <v>4</v>
      </c>
      <c r="D116" s="104" t="str">
        <f>INDEX(tblIndiSets!$C90:$C126,$B$116)</f>
        <v>1.1.1) 1.¿ Existe un marco legal nacional para la gestión de residuos orientado al reciclaje con la inclusión de actores informales?</v>
      </c>
    </row>
    <row r="117" spans="1:4">
      <c r="A117" s="106" t="s">
        <v>2151</v>
      </c>
      <c r="B117" s="104">
        <v>37</v>
      </c>
    </row>
    <row r="119" spans="1:4">
      <c r="A119" s="106" t="s">
        <v>2156</v>
      </c>
    </row>
    <row r="120" spans="1:4">
      <c r="A120" s="106" t="s">
        <v>2157</v>
      </c>
      <c r="B120" s="104">
        <v>1</v>
      </c>
      <c r="C120" s="104" t="str">
        <f>INDEX(Definition!$B$3:$B$17,B120)</f>
        <v>P1. Número de recicladores de base en el municipio</v>
      </c>
    </row>
    <row r="121" spans="1:4">
      <c r="B121" s="104">
        <v>15</v>
      </c>
    </row>
    <row r="122" spans="1:4">
      <c r="A122" s="106" t="s">
        <v>2254</v>
      </c>
      <c r="B122" s="104">
        <v>0</v>
      </c>
    </row>
    <row r="123" spans="1:4">
      <c r="C123" s="106" t="s">
        <v>2344</v>
      </c>
    </row>
    <row r="124" spans="1:4">
      <c r="A124" s="106" t="s">
        <v>2343</v>
      </c>
      <c r="B124" s="104">
        <f>C1</f>
        <v>0</v>
      </c>
      <c r="C124" s="104" t="str">
        <f>INDEX(Data!$U$2:$AE$2,B124+1)</f>
        <v>U</v>
      </c>
    </row>
  </sheetData>
  <phoneticPr fontId="4" type="noConversion"/>
  <pageMargins left="0.55118110236220474" right="0.55118110236220474" top="0.59055118110236227" bottom="0.78740157480314965" header="0.51181102362204722" footer="0.51181102362204722"/>
  <pageSetup paperSize="9" scale="26" orientation="landscape" r:id="rId1"/>
  <headerFooter alignWithMargins="0">
    <oddHeader>&amp;RResultados del Modelo de Reciclaje Inclusivo</oddHeader>
  </headerFooter>
</worksheet>
</file>

<file path=xl/worksheets/sheet5.xml><?xml version="1.0" encoding="utf-8"?>
<worksheet xmlns="http://schemas.openxmlformats.org/spreadsheetml/2006/main" xmlns:r="http://schemas.openxmlformats.org/officeDocument/2006/relationships">
  <sheetPr codeName="Sheet1">
    <tabColor rgb="FFFFC000"/>
    <pageSetUpPr fitToPage="1"/>
  </sheetPr>
  <dimension ref="A1:AP83"/>
  <sheetViews>
    <sheetView showRowColHeaders="0" topLeftCell="U1" zoomScale="80" zoomScaleNormal="80" workbookViewId="0">
      <pane ySplit="1" topLeftCell="A26" activePane="bottomLeft" state="frozen"/>
      <selection activeCell="Z8" sqref="Z8"/>
      <selection pane="bottomLeft" activeCell="AF60" sqref="AF60"/>
    </sheetView>
  </sheetViews>
  <sheetFormatPr defaultRowHeight="15.75"/>
  <cols>
    <col min="1" max="3" width="9.28515625" style="63" customWidth="1"/>
    <col min="4" max="4" width="13.7109375" style="63" customWidth="1"/>
    <col min="5" max="5" width="17" style="63" bestFit="1" customWidth="1"/>
    <col min="6" max="7" width="9.28515625" style="63" customWidth="1"/>
    <col min="8" max="8" width="44.7109375" style="546" customWidth="1"/>
    <col min="9" max="9" width="10.140625" style="63" customWidth="1"/>
    <col min="10" max="10" width="6" style="63" customWidth="1"/>
    <col min="11" max="11" width="10.140625" style="63" customWidth="1"/>
    <col min="12" max="12" width="14" style="63" customWidth="1"/>
    <col min="13" max="13" width="10.140625" style="63" customWidth="1"/>
    <col min="14" max="14" width="16.7109375" style="63" customWidth="1"/>
    <col min="15" max="22" width="10.140625" style="63" customWidth="1"/>
    <col min="23" max="24" width="3.28515625" style="63" customWidth="1"/>
    <col min="25" max="26" width="10.140625" style="63" customWidth="1"/>
    <col min="27" max="27" width="16.140625" style="63" customWidth="1"/>
    <col min="28" max="30" width="10.140625" style="63" customWidth="1"/>
    <col min="31" max="31" width="33.28515625" style="63" customWidth="1"/>
    <col min="32" max="32" width="17" style="63" bestFit="1" customWidth="1"/>
    <col min="33" max="35" width="21" style="63" customWidth="1"/>
    <col min="36" max="36" width="11.140625" style="122" bestFit="1" customWidth="1"/>
    <col min="37" max="37" width="18.5703125" style="122" bestFit="1" customWidth="1"/>
    <col min="38" max="38" width="21.42578125" style="122" bestFit="1" customWidth="1"/>
    <col min="39" max="39" width="8" style="122" customWidth="1"/>
    <col min="40" max="41" width="11.140625" style="122" bestFit="1" customWidth="1"/>
    <col min="42" max="42" width="19.85546875" style="12" customWidth="1"/>
    <col min="43" max="16384" width="9.140625" style="12"/>
  </cols>
  <sheetData>
    <row r="1" spans="1:42" s="90" customFormat="1">
      <c r="A1" s="88" t="s">
        <v>51</v>
      </c>
      <c r="B1" s="88" t="s">
        <v>8</v>
      </c>
      <c r="C1" s="88" t="s">
        <v>2102</v>
      </c>
      <c r="D1" s="88" t="s">
        <v>307</v>
      </c>
      <c r="E1" s="88" t="s">
        <v>5</v>
      </c>
      <c r="F1" s="88" t="s">
        <v>6</v>
      </c>
      <c r="G1" s="88" t="s">
        <v>7</v>
      </c>
      <c r="H1" s="541" t="s">
        <v>62</v>
      </c>
      <c r="I1" s="88" t="s">
        <v>419</v>
      </c>
      <c r="J1" s="88"/>
      <c r="K1" s="88"/>
      <c r="L1" s="88" t="s">
        <v>253</v>
      </c>
      <c r="M1" s="88"/>
      <c r="N1" s="88" t="s">
        <v>317</v>
      </c>
      <c r="O1" s="88" t="s">
        <v>12</v>
      </c>
      <c r="P1" s="88" t="s">
        <v>318</v>
      </c>
      <c r="Q1" s="88" t="s">
        <v>514</v>
      </c>
      <c r="R1" s="88" t="s">
        <v>250</v>
      </c>
      <c r="S1" s="88" t="s">
        <v>191</v>
      </c>
      <c r="T1" s="88" t="s">
        <v>778</v>
      </c>
      <c r="U1" s="88" t="s">
        <v>156</v>
      </c>
      <c r="V1" s="88" t="s">
        <v>93</v>
      </c>
      <c r="W1" s="88"/>
      <c r="X1" s="88"/>
      <c r="Y1" s="88" t="s">
        <v>9</v>
      </c>
      <c r="Z1" s="88" t="s">
        <v>669</v>
      </c>
      <c r="AA1" s="88" t="s">
        <v>192</v>
      </c>
      <c r="AB1" s="88" t="s">
        <v>193</v>
      </c>
      <c r="AC1" s="88" t="s">
        <v>308</v>
      </c>
      <c r="AD1" s="88" t="s">
        <v>309</v>
      </c>
      <c r="AE1" s="88" t="s">
        <v>10</v>
      </c>
      <c r="AF1" s="88" t="s">
        <v>2214</v>
      </c>
      <c r="AG1" s="88" t="s">
        <v>157</v>
      </c>
      <c r="AH1" s="88" t="s">
        <v>158</v>
      </c>
      <c r="AI1" s="88" t="s">
        <v>159</v>
      </c>
      <c r="AJ1" s="117"/>
      <c r="AK1" s="117"/>
      <c r="AL1" s="117"/>
      <c r="AM1" s="117"/>
      <c r="AN1" s="117"/>
      <c r="AO1" s="117"/>
      <c r="AP1" s="89"/>
    </row>
    <row r="2" spans="1:42" s="87" customFormat="1" ht="15" customHeight="1">
      <c r="A2" s="241">
        <v>1</v>
      </c>
      <c r="B2" s="241">
        <v>0</v>
      </c>
      <c r="C2" s="241"/>
      <c r="D2" s="241" t="s">
        <v>190</v>
      </c>
      <c r="E2" s="241" t="s">
        <v>11</v>
      </c>
      <c r="F2" s="241">
        <v>0</v>
      </c>
      <c r="G2" s="241"/>
      <c r="H2" t="s">
        <v>2265</v>
      </c>
      <c r="I2" s="241"/>
      <c r="J2" s="241"/>
      <c r="K2" s="241" t="str">
        <f>"The overall score is the weighted sum of the following category scores:
"&amp;AE3&amp;"
"&amp;AE23&amp;"
"&amp;AE34&amp;""</f>
        <v>The overall score is the weighted sum of the following category scores:
1) NORMATIVA
2) ORGANIZATIVA
3) MERCADO</v>
      </c>
      <c r="L2" s="241" t="str">
        <f>IF(Z2=1,K2,I2)</f>
        <v>The overall score is the weighted sum of the following category scores:
1) NORMATIVA
2) ORGANIZATIVA
3) MERCADO</v>
      </c>
      <c r="M2" s="241"/>
      <c r="N2" s="241" t="s">
        <v>316</v>
      </c>
      <c r="O2" s="241"/>
      <c r="P2" s="241" t="str">
        <f t="shared" ref="P2:P3" si="0">IF(Z2=1,K2,O2)</f>
        <v>The overall score is the weighted sum of the following category scores:
1) NORMATIVA
2) ORGANIZATIVA
3) MERCADO</v>
      </c>
      <c r="Q2" s="241"/>
      <c r="R2" s="241" t="s">
        <v>3</v>
      </c>
      <c r="S2" s="241" t="s">
        <v>3</v>
      </c>
      <c r="T2" s="241"/>
      <c r="U2" s="241"/>
      <c r="V2" s="241" t="s">
        <v>94</v>
      </c>
      <c r="W2" s="241"/>
      <c r="X2" s="241"/>
      <c r="Y2" s="241" t="str">
        <f>IF(U2="","",IF(U2="Good",0,1))</f>
        <v/>
      </c>
      <c r="Z2" s="241">
        <v>1</v>
      </c>
      <c r="AA2" s="241"/>
      <c r="AB2" s="241"/>
      <c r="AC2" s="241">
        <f>AI2</f>
        <v>0</v>
      </c>
      <c r="AD2" s="241" t="str">
        <f t="shared" ref="AD2:AD33" si="1">IF(F2=0,"",IF(SUMIF(E$3:E$52,E2,AC$3:AC$52)=0,0,AC2/SUMIF(E$3:E$52,E2,AC$3:AC$52)))</f>
        <v/>
      </c>
      <c r="AE2" s="241" t="str">
        <f t="shared" ref="AE2:AE5" si="2">IF(G2="",H2,CONCATENATE(G2,") ",IF(F2&gt;=2,H2,UPPER(H2))))</f>
        <v>CATEGORÍA</v>
      </c>
      <c r="AF2" s="241" t="s">
        <v>11</v>
      </c>
      <c r="AG2" s="241"/>
      <c r="AH2" s="241"/>
      <c r="AI2" s="241"/>
      <c r="AJ2" s="240"/>
      <c r="AK2" s="240"/>
      <c r="AL2" s="240"/>
      <c r="AM2" s="240"/>
      <c r="AN2" s="240"/>
      <c r="AO2" s="240"/>
    </row>
    <row r="3" spans="1:42" s="92" customFormat="1" ht="29.25" customHeight="1">
      <c r="A3" s="409">
        <v>2</v>
      </c>
      <c r="B3" s="409">
        <v>0</v>
      </c>
      <c r="C3" s="409"/>
      <c r="D3" s="409" t="s">
        <v>416</v>
      </c>
      <c r="E3" s="238" t="str">
        <f>$D$2</f>
        <v>OVERALL</v>
      </c>
      <c r="F3" s="238">
        <v>1</v>
      </c>
      <c r="G3" s="238">
        <v>1</v>
      </c>
      <c r="H3" s="243" t="s">
        <v>354</v>
      </c>
      <c r="I3" s="238"/>
      <c r="J3" s="238"/>
      <c r="K3" s="238" t="str">
        <f>"The category score is the weighted sum of the following indicator scores:
"&amp;AE4&amp;"
"&amp;AE9&amp;"
"&amp;AE18&amp;"
"&amp;AE21&amp;""</f>
        <v>The category score is the weighted sum of the following indicator scores:
1.1) Normativa sobre gestión de residuos
1.2) Integración del reciclador de base
1.3) Generación de información
1.4) Salud pública y el medioambiente</v>
      </c>
      <c r="L3" s="238" t="str">
        <f t="shared" ref="L3:L52" si="3">IF(Z3=1,K3,I3)</f>
        <v>The category score is the weighted sum of the following indicator scores:
1.1) Normativa sobre gestión de residuos
1.2) Integración del reciclador de base
1.3) Generación de información
1.4) Salud pública y el medioambiente</v>
      </c>
      <c r="M3" s="238"/>
      <c r="N3" s="238" t="s">
        <v>316</v>
      </c>
      <c r="O3" s="238"/>
      <c r="P3" s="238" t="str">
        <f t="shared" si="0"/>
        <v>The category score is the weighted sum of the following indicator scores:
1.1) Normativa sobre gestión de residuos
1.2) Integración del reciclador de base
1.3) Generación de información
1.4) Salud pública y el medioambiente</v>
      </c>
      <c r="Q3" s="238"/>
      <c r="R3" s="238" t="s">
        <v>3</v>
      </c>
      <c r="S3" s="238" t="s">
        <v>3</v>
      </c>
      <c r="T3" s="238"/>
      <c r="U3" s="238"/>
      <c r="V3" s="238" t="s">
        <v>94</v>
      </c>
      <c r="W3" s="238"/>
      <c r="X3" s="238"/>
      <c r="Y3" s="238" t="str">
        <f t="shared" ref="Y3:Y52" si="4">IF(U3="","",IF(U3="Good",0,1))</f>
        <v/>
      </c>
      <c r="Z3" s="238">
        <v>1</v>
      </c>
      <c r="AA3" s="238"/>
      <c r="AB3" s="238"/>
      <c r="AC3" s="238">
        <f>AI3</f>
        <v>0.33333333333333331</v>
      </c>
      <c r="AD3" s="238">
        <f t="shared" si="1"/>
        <v>0.33333333333333331</v>
      </c>
      <c r="AE3" s="238" t="str">
        <f t="shared" si="2"/>
        <v>1) NORMATIVA</v>
      </c>
      <c r="AF3" s="238" t="str">
        <f>$AE$2</f>
        <v>CATEGORÍA</v>
      </c>
      <c r="AG3" s="238">
        <f>MATCH($D3,Weights!$C$8:$C$78,0)</f>
        <v>1</v>
      </c>
      <c r="AH3" s="238">
        <f>IF(ISERROR($AG3),1,INDEX(Weights!$G$8:$G$159,$AG3))</f>
        <v>1</v>
      </c>
      <c r="AI3" s="238">
        <f t="shared" ref="AI3:AI34" si="5">IF(ISERROR(AH3/SUMIF($E$2:$E$52,$E3,AH$2:AH$52)),0,AH3/SUMIF($E$2:$E$52,$E3,AH$2:AH$52))</f>
        <v>0.33333333333333331</v>
      </c>
      <c r="AJ3" s="119"/>
      <c r="AK3" s="119"/>
      <c r="AL3" s="119"/>
      <c r="AM3" s="118"/>
      <c r="AN3" s="119"/>
      <c r="AO3" s="119"/>
      <c r="AP3" s="91"/>
    </row>
    <row r="4" spans="1:42" s="62" customFormat="1" ht="15" customHeight="1">
      <c r="A4" s="407">
        <v>3</v>
      </c>
      <c r="B4" s="407">
        <v>0</v>
      </c>
      <c r="C4" s="411"/>
      <c r="D4" s="407" t="str">
        <f>$D$3&amp;G4</f>
        <v>NORM1.1</v>
      </c>
      <c r="E4" s="407" t="str">
        <f>$D$3</f>
        <v>NORM</v>
      </c>
      <c r="F4" s="407">
        <v>2</v>
      </c>
      <c r="G4" s="407">
        <v>1.1000000000000001</v>
      </c>
      <c r="H4" s="542" t="s">
        <v>356</v>
      </c>
      <c r="I4" s="407"/>
      <c r="J4" s="407"/>
      <c r="K4" s="407" t="str">
        <f>"The indicator score is the weighted sum of the following sub-indicator scores:
"&amp;AE5&amp;"
"&amp;AE6&amp;"
"&amp;AE7&amp;"
"&amp;AE8&amp;""</f>
        <v>The indicator score is the weighted sum of the following sub-indicator scores:
1.1.1) 1.¿ Existe un marco legal nacional para la gestión de residuos orientado al reciclaje con la inclusión de actores informales?
1.1.2) 2.¿Existe un marco legal municipal para la gestión de residuos orientado al reciclaje y la inclusión de actores informales?
1.1.3) 3.¿Son las políticas municipales suficientemente estables para garantizar la continuidad en materia de políticas de reciclaje inclusivo?
1.1.4) 4.¿Existe un presupuesto (o mecanismo de financiación) municipal asignado para el reciclaje inclusivo?</v>
      </c>
      <c r="L4" s="407" t="str">
        <f t="shared" si="3"/>
        <v>The indicator score is the weighted sum of the following sub-indicator scores:
1.1.1) 1.¿ Existe un marco legal nacional para la gestión de residuos orientado al reciclaje con la inclusión de actores informales?
1.1.2) 2.¿Existe un marco legal municipal para la gestión de residuos orientado al reciclaje y la inclusión de actores informales?
1.1.3) 3.¿Son las políticas municipales suficientemente estables para garantizar la continuidad en materia de políticas de reciclaje inclusivo?
1.1.4) 4.¿Existe un presupuesto (o mecanismo de financiación) municipal asignado para el reciclaje inclusivo?</v>
      </c>
      <c r="M4" s="407"/>
      <c r="N4" s="407" t="s">
        <v>316</v>
      </c>
      <c r="O4" s="407"/>
      <c r="P4" s="407" t="str">
        <f>IF(Z4=1,K4,O4)</f>
        <v>The indicator score is the weighted sum of the following sub-indicator scores:
1.1.1) 1.¿ Existe un marco legal nacional para la gestión de residuos orientado al reciclaje con la inclusión de actores informales?
1.1.2) 2.¿Existe un marco legal municipal para la gestión de residuos orientado al reciclaje y la inclusión de actores informales?
1.1.3) 3.¿Son las políticas municipales suficientemente estables para garantizar la continuidad en materia de políticas de reciclaje inclusivo?
1.1.4) 4.¿Existe un presupuesto (o mecanismo de financiación) municipal asignado para el reciclaje inclusivo?</v>
      </c>
      <c r="Q4" s="407"/>
      <c r="R4" s="407" t="s">
        <v>3</v>
      </c>
      <c r="S4" s="407"/>
      <c r="T4" s="407"/>
      <c r="U4" s="407"/>
      <c r="V4" s="407" t="s">
        <v>94</v>
      </c>
      <c r="W4" s="407"/>
      <c r="X4" s="407"/>
      <c r="Y4" s="407" t="str">
        <f t="shared" si="4"/>
        <v/>
      </c>
      <c r="Z4" s="407">
        <v>1</v>
      </c>
      <c r="AA4" s="407"/>
      <c r="AB4" s="407"/>
      <c r="AC4" s="407">
        <f t="shared" ref="AC4:AC5" si="6">AI4</f>
        <v>0.25</v>
      </c>
      <c r="AD4" s="407">
        <f t="shared" si="1"/>
        <v>0.25</v>
      </c>
      <c r="AE4" s="407" t="str">
        <f t="shared" si="2"/>
        <v>1.1) Normativa sobre gestión de residuos</v>
      </c>
      <c r="AF4" s="407" t="str">
        <f>$AE$3</f>
        <v>1) NORMATIVA</v>
      </c>
      <c r="AG4" s="405">
        <f>MATCH($D4,Weights!$C$8:$C$78,0)</f>
        <v>7</v>
      </c>
      <c r="AH4" s="405">
        <f>IF(ISERROR($AG4),1,INDEX(Weights!$G$8:$G$159,$AG4))</f>
        <v>1</v>
      </c>
      <c r="AI4" s="405">
        <f t="shared" si="5"/>
        <v>0.25</v>
      </c>
      <c r="AJ4" s="120"/>
      <c r="AK4" s="120"/>
      <c r="AL4" s="120"/>
      <c r="AM4" s="118"/>
      <c r="AN4" s="120"/>
      <c r="AO4" s="120"/>
    </row>
    <row r="5" spans="1:42" s="62" customFormat="1" ht="15" customHeight="1">
      <c r="A5" s="407">
        <v>4</v>
      </c>
      <c r="B5" s="407">
        <v>0</v>
      </c>
      <c r="C5" s="411">
        <v>1</v>
      </c>
      <c r="D5" s="407" t="str">
        <f t="shared" ref="D5:D22" si="7">$D$3&amp;G5</f>
        <v>NORM1.1.1</v>
      </c>
      <c r="E5" s="407" t="str">
        <f>$D$4</f>
        <v>NORM1.1</v>
      </c>
      <c r="F5" s="407">
        <v>3</v>
      </c>
      <c r="G5" s="407" t="s">
        <v>314</v>
      </c>
      <c r="H5" s="542" t="s">
        <v>2175</v>
      </c>
      <c r="I5" s="407" t="str">
        <f>H5</f>
        <v>1.¿ Existe un marco legal nacional para la gestión de residuos orientado al reciclaje con la inclusión de actores informales?</v>
      </c>
      <c r="J5" s="407"/>
      <c r="K5" s="407"/>
      <c r="L5" s="407" t="str">
        <f t="shared" si="3"/>
        <v>1.¿ Existe un marco legal nacional para la gestión de residuos orientado al reciclaje con la inclusión de actores informales?</v>
      </c>
      <c r="M5" s="407"/>
      <c r="N5" s="407" t="s">
        <v>316</v>
      </c>
      <c r="O5" s="407" t="s">
        <v>445</v>
      </c>
      <c r="P5" s="407" t="str">
        <f t="shared" ref="P5:P52" si="8">IF(Z5=1,K5,O5)</f>
        <v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v>
      </c>
      <c r="Q5" s="407" t="s">
        <v>515</v>
      </c>
      <c r="R5" s="407" t="s">
        <v>479</v>
      </c>
      <c r="S5" s="407">
        <v>2016</v>
      </c>
      <c r="T5" s="407" t="s">
        <v>810</v>
      </c>
      <c r="U5" s="407" t="s">
        <v>249</v>
      </c>
      <c r="V5" s="407">
        <v>0</v>
      </c>
      <c r="W5" s="407"/>
      <c r="X5" s="407"/>
      <c r="Y5" s="407">
        <f t="shared" si="4"/>
        <v>0</v>
      </c>
      <c r="Z5" s="407">
        <v>3</v>
      </c>
      <c r="AA5" s="407">
        <v>0</v>
      </c>
      <c r="AB5" s="407">
        <v>2</v>
      </c>
      <c r="AC5" s="407">
        <f t="shared" si="6"/>
        <v>0.25</v>
      </c>
      <c r="AD5" s="407">
        <f t="shared" si="1"/>
        <v>0.25</v>
      </c>
      <c r="AE5" s="407" t="str">
        <f t="shared" si="2"/>
        <v>1.1.1) 1.¿ Existe un marco legal nacional para la gestión de residuos orientado al reciclaje con la inclusión de actores informales?</v>
      </c>
      <c r="AF5" s="407" t="str">
        <f>$AE$4</f>
        <v>1.1) Normativa sobre gestión de residuos</v>
      </c>
      <c r="AG5" s="405">
        <f>MATCH($D5,Weights!$C$8:$C$78,0)</f>
        <v>24</v>
      </c>
      <c r="AH5" s="405">
        <f>IF(ISERROR($AG5),1,INDEX(Weights!$G$8:$G$159,$AG5))</f>
        <v>1</v>
      </c>
      <c r="AI5" s="405">
        <f t="shared" si="5"/>
        <v>0.25</v>
      </c>
      <c r="AJ5" s="121"/>
      <c r="AK5" s="121"/>
      <c r="AL5" s="121"/>
      <c r="AM5" s="118"/>
      <c r="AN5" s="121"/>
      <c r="AO5" s="121"/>
    </row>
    <row r="6" spans="1:42" s="62" customFormat="1" ht="15" customHeight="1">
      <c r="A6" s="407">
        <v>5</v>
      </c>
      <c r="B6" s="407">
        <v>0</v>
      </c>
      <c r="C6" s="411">
        <v>2</v>
      </c>
      <c r="D6" s="407" t="str">
        <f t="shared" si="7"/>
        <v>NORM1.1.2</v>
      </c>
      <c r="E6" s="407" t="str">
        <f t="shared" ref="E6:E8" si="9">$D$4</f>
        <v>NORM1.1</v>
      </c>
      <c r="F6" s="407">
        <v>3</v>
      </c>
      <c r="G6" s="407" t="s">
        <v>315</v>
      </c>
      <c r="H6" s="542" t="s">
        <v>2176</v>
      </c>
      <c r="I6" s="407" t="str">
        <f>H6</f>
        <v>2.¿Existe un marco legal municipal para la gestión de residuos orientado al reciclaje y la inclusión de actores informales?</v>
      </c>
      <c r="J6" s="407"/>
      <c r="K6" s="407"/>
      <c r="L6" s="407" t="str">
        <f t="shared" si="3"/>
        <v>2.¿Existe un marco legal municipal para la gestión de residuos orientado al reciclaje y la inclusión de actores informales?</v>
      </c>
      <c r="M6" s="407"/>
      <c r="N6" s="407" t="s">
        <v>316</v>
      </c>
      <c r="O6" s="407" t="s">
        <v>446</v>
      </c>
      <c r="P6" s="407" t="str">
        <f t="shared" si="8"/>
        <v xml:space="preserve">0= No existe un marco legal municipal, o existe un marco legal de GIRS pero que no contempla ni el reciclaje ni la inclusión
1= Existe un marco legal inclusivo y no se ha implementado
2= Existe un marco legal inclusivo articulado que se ha implementado
</v>
      </c>
      <c r="Q6" s="407" t="s">
        <v>515</v>
      </c>
      <c r="R6" s="407" t="s">
        <v>480</v>
      </c>
      <c r="S6" s="407">
        <v>2016</v>
      </c>
      <c r="T6" s="407" t="s">
        <v>811</v>
      </c>
      <c r="U6" s="407" t="s">
        <v>249</v>
      </c>
      <c r="V6" s="407">
        <v>0</v>
      </c>
      <c r="W6" s="407"/>
      <c r="X6" s="407"/>
      <c r="Y6" s="407">
        <f t="shared" si="4"/>
        <v>0</v>
      </c>
      <c r="Z6" s="407">
        <v>3</v>
      </c>
      <c r="AA6" s="407">
        <v>0</v>
      </c>
      <c r="AB6" s="407">
        <v>2</v>
      </c>
      <c r="AC6" s="407">
        <f t="shared" ref="AC6:AC52" si="10">AI6</f>
        <v>0.25</v>
      </c>
      <c r="AD6" s="407">
        <f t="shared" si="1"/>
        <v>0.25</v>
      </c>
      <c r="AE6" s="407" t="str">
        <f t="shared" ref="AE6:AE52" si="11">IF(G6="",H6,CONCATENATE(G6,") ",IF(F6&gt;=2,H6,UPPER(H6))))</f>
        <v>1.1.2) 2.¿Existe un marco legal municipal para la gestión de residuos orientado al reciclaje y la inclusión de actores informales?</v>
      </c>
      <c r="AF6" s="407" t="str">
        <f>$AE$4</f>
        <v>1.1) Normativa sobre gestión de residuos</v>
      </c>
      <c r="AG6" s="405">
        <f>MATCH($D6,Weights!$C$8:$C$78,0)</f>
        <v>25</v>
      </c>
      <c r="AH6" s="405">
        <f>IF(ISERROR($AG6),1,INDEX(Weights!$G$8:$G$159,$AG6))</f>
        <v>1</v>
      </c>
      <c r="AI6" s="405">
        <f t="shared" si="5"/>
        <v>0.25</v>
      </c>
      <c r="AJ6" s="120"/>
      <c r="AK6" s="120"/>
      <c r="AL6" s="120"/>
      <c r="AM6" s="118"/>
      <c r="AN6" s="120"/>
      <c r="AO6" s="120"/>
    </row>
    <row r="7" spans="1:42" s="62" customFormat="1" ht="15" customHeight="1">
      <c r="A7" s="407">
        <v>6</v>
      </c>
      <c r="B7" s="407">
        <v>0</v>
      </c>
      <c r="C7" s="411">
        <v>3</v>
      </c>
      <c r="D7" s="407" t="str">
        <f t="shared" si="7"/>
        <v>NORM1.1.3</v>
      </c>
      <c r="E7" s="407" t="str">
        <f t="shared" si="9"/>
        <v>NORM1.1</v>
      </c>
      <c r="F7" s="407">
        <v>3</v>
      </c>
      <c r="G7" s="407" t="s">
        <v>2192</v>
      </c>
      <c r="H7" s="542" t="s">
        <v>2177</v>
      </c>
      <c r="I7" s="407" t="str">
        <f>H7</f>
        <v>3.¿Son las políticas municipales suficientemente estables para garantizar la continuidad en materia de políticas de reciclaje inclusivo?</v>
      </c>
      <c r="J7" s="407"/>
      <c r="K7" s="407"/>
      <c r="L7" s="407" t="str">
        <f t="shared" si="3"/>
        <v>3.¿Son las políticas municipales suficientemente estables para garantizar la continuidad en materia de políticas de reciclaje inclusivo?</v>
      </c>
      <c r="M7" s="407"/>
      <c r="N7" s="407" t="s">
        <v>316</v>
      </c>
      <c r="O7" s="407" t="s">
        <v>447</v>
      </c>
      <c r="P7" s="407" t="str">
        <f t="shared" si="8"/>
        <v xml:space="preserve">0 = Baja (1 período de administración) o no existe marco legal inclusivo
1 = Mediana (2 períodos de administración municipal continua)
2 = Alta (Más de 2  períodos de administración municipal continua)
</v>
      </c>
      <c r="Q7" s="407" t="s">
        <v>515</v>
      </c>
      <c r="R7" s="407" t="s">
        <v>481</v>
      </c>
      <c r="S7" s="407">
        <v>2016</v>
      </c>
      <c r="T7" s="407" t="s">
        <v>779</v>
      </c>
      <c r="U7" s="407" t="s">
        <v>249</v>
      </c>
      <c r="V7" s="407">
        <v>0</v>
      </c>
      <c r="W7" s="407"/>
      <c r="X7" s="407"/>
      <c r="Y7" s="407">
        <f t="shared" si="4"/>
        <v>0</v>
      </c>
      <c r="Z7" s="407">
        <v>3</v>
      </c>
      <c r="AA7" s="407">
        <v>0</v>
      </c>
      <c r="AB7" s="407">
        <v>2</v>
      </c>
      <c r="AC7" s="407">
        <f t="shared" si="10"/>
        <v>0.25</v>
      </c>
      <c r="AD7" s="407">
        <f t="shared" si="1"/>
        <v>0.25</v>
      </c>
      <c r="AE7" s="407" t="str">
        <f t="shared" si="11"/>
        <v>1.1.3) 3.¿Son las políticas municipales suficientemente estables para garantizar la continuidad en materia de políticas de reciclaje inclusivo?</v>
      </c>
      <c r="AF7" s="407" t="str">
        <f>$AE$4</f>
        <v>1.1) Normativa sobre gestión de residuos</v>
      </c>
      <c r="AG7" s="405">
        <f>MATCH($D7,Weights!$C$8:$C$78,0)</f>
        <v>26</v>
      </c>
      <c r="AH7" s="405">
        <f>IF(ISERROR($AG7),1,INDEX(Weights!$G$8:$G$159,$AG7))</f>
        <v>1</v>
      </c>
      <c r="AI7" s="405">
        <f t="shared" si="5"/>
        <v>0.25</v>
      </c>
      <c r="AJ7" s="121"/>
      <c r="AK7" s="121"/>
      <c r="AL7" s="121"/>
      <c r="AM7" s="118"/>
      <c r="AN7" s="121"/>
      <c r="AO7" s="121"/>
    </row>
    <row r="8" spans="1:42" s="62" customFormat="1" ht="15" customHeight="1">
      <c r="A8" s="407">
        <v>7</v>
      </c>
      <c r="B8" s="407">
        <v>0</v>
      </c>
      <c r="C8" s="411">
        <v>4</v>
      </c>
      <c r="D8" s="407" t="str">
        <f t="shared" si="7"/>
        <v>NORM1.1.4</v>
      </c>
      <c r="E8" s="407" t="str">
        <f t="shared" si="9"/>
        <v>NORM1.1</v>
      </c>
      <c r="F8" s="407">
        <v>3</v>
      </c>
      <c r="G8" s="407" t="s">
        <v>2193</v>
      </c>
      <c r="H8" s="542" t="s">
        <v>2178</v>
      </c>
      <c r="I8" s="407" t="str">
        <f>H8</f>
        <v>4.¿Existe un presupuesto (o mecanismo de financiación) municipal asignado para el reciclaje inclusivo?</v>
      </c>
      <c r="J8" s="407"/>
      <c r="K8" s="407"/>
      <c r="L8" s="407" t="str">
        <f t="shared" si="3"/>
        <v>4.¿Existe un presupuesto (o mecanismo de financiación) municipal asignado para el reciclaje inclusivo?</v>
      </c>
      <c r="M8" s="407"/>
      <c r="N8" s="407" t="s">
        <v>316</v>
      </c>
      <c r="O8" s="407" t="s">
        <v>448</v>
      </c>
      <c r="P8" s="407" t="str">
        <f t="shared" si="8"/>
        <v xml:space="preserve">0= No existe un presupuesto (o mecanismo de financiación), o existe un presupuesto de GIRS pero no contempla ni el reciclaje ni la inclusión
1= Existe un presupuesto (o mecanismo de financiación) y no se ha implementado
2= Existe un presupuesto (o mecanismo de financiación) que se ha implementado
</v>
      </c>
      <c r="Q8" s="407" t="s">
        <v>515</v>
      </c>
      <c r="R8" s="407" t="s">
        <v>482</v>
      </c>
      <c r="S8" s="407">
        <v>2016</v>
      </c>
      <c r="T8" s="407" t="s">
        <v>812</v>
      </c>
      <c r="U8" s="407" t="s">
        <v>249</v>
      </c>
      <c r="V8" s="407">
        <v>0</v>
      </c>
      <c r="W8" s="407"/>
      <c r="X8" s="407"/>
      <c r="Y8" s="407">
        <f t="shared" si="4"/>
        <v>0</v>
      </c>
      <c r="Z8" s="407">
        <v>3</v>
      </c>
      <c r="AA8" s="407">
        <v>0</v>
      </c>
      <c r="AB8" s="407">
        <v>2</v>
      </c>
      <c r="AC8" s="407">
        <f t="shared" si="10"/>
        <v>0.25</v>
      </c>
      <c r="AD8" s="407">
        <f t="shared" si="1"/>
        <v>0.25</v>
      </c>
      <c r="AE8" s="407" t="str">
        <f t="shared" si="11"/>
        <v>1.1.4) 4.¿Existe un presupuesto (o mecanismo de financiación) municipal asignado para el reciclaje inclusivo?</v>
      </c>
      <c r="AF8" s="407" t="str">
        <f>$AE$4</f>
        <v>1.1) Normativa sobre gestión de residuos</v>
      </c>
      <c r="AG8" s="405">
        <f>MATCH($D8,Weights!$C$8:$C$78,0)</f>
        <v>27</v>
      </c>
      <c r="AH8" s="405">
        <f>IF(ISERROR($AG8),1,INDEX(Weights!$G$8:$G$159,$AG8))</f>
        <v>1</v>
      </c>
      <c r="AI8" s="405">
        <f t="shared" si="5"/>
        <v>0.25</v>
      </c>
      <c r="AJ8" s="121"/>
      <c r="AK8" s="121"/>
      <c r="AL8" s="121"/>
      <c r="AM8" s="118"/>
      <c r="AN8" s="121"/>
      <c r="AO8" s="121"/>
    </row>
    <row r="9" spans="1:42" s="62" customFormat="1" ht="15" customHeight="1">
      <c r="A9" s="407">
        <v>8</v>
      </c>
      <c r="B9" s="407">
        <v>0</v>
      </c>
      <c r="C9" s="411"/>
      <c r="D9" s="407" t="str">
        <f t="shared" si="7"/>
        <v>NORM1.2</v>
      </c>
      <c r="E9" s="407" t="str">
        <f>$D$3</f>
        <v>NORM</v>
      </c>
      <c r="F9" s="408">
        <v>2</v>
      </c>
      <c r="G9" s="408">
        <v>1.2</v>
      </c>
      <c r="H9" s="543" t="s">
        <v>361</v>
      </c>
      <c r="I9" s="408"/>
      <c r="J9" s="408"/>
      <c r="K9" s="407" t="str">
        <f>"The indicator score is the weighted sum of the following sub-indicator scores:
"&amp;AE10&amp;"
"&amp;AE11&amp;"
"&amp;AE12&amp;"
"&amp;AE13&amp;"
"&amp;AE14&amp;"
"&amp;AE15&amp;"
"&amp;AE16&amp;"
"&amp;AE17&amp;""</f>
        <v xml:space="preserve">The indicator score is the weighted sum of the following sub-indicator scores:
1.2.1) 5.¿Existe reconocimiento legal de la ocupación de reciclador de base?
1.2.2) 6.¿Se reconoce a los recicladores de base como prestadores de servicio en la gestión de residuos?
1.2.3) 7.¿Se ha identificado la población de recicladores de base a través de un censo?
1.2.4) 8.¿Cuál es el grado de transparencia e inclusión en los procesos de licitación para el reciclaje?
1.2.5) 9.¿La normativa/ estrategia municipal de residuos sólidos: fue desarrollada de manera participativa?
1.2.6) 10.¿Hay programas de formación/capacitación a nivel municipal?
1.2.7) 11.¿Existen incentivos, programas y/o acciones concretas para el fortalecimiento de la ocupación del reciclador de base?
1.2.8) 12.¿Existen incentivos de reciclaje para los usuarios? </v>
      </c>
      <c r="L9" s="408" t="str">
        <f t="shared" si="3"/>
        <v xml:space="preserve">The indicator score is the weighted sum of the following sub-indicator scores:
1.2.1) 5.¿Existe reconocimiento legal de la ocupación de reciclador de base?
1.2.2) 6.¿Se reconoce a los recicladores de base como prestadores de servicio en la gestión de residuos?
1.2.3) 7.¿Se ha identificado la población de recicladores de base a través de un censo?
1.2.4) 8.¿Cuál es el grado de transparencia e inclusión en los procesos de licitación para el reciclaje?
1.2.5) 9.¿La normativa/ estrategia municipal de residuos sólidos: fue desarrollada de manera participativa?
1.2.6) 10.¿Hay programas de formación/capacitación a nivel municipal?
1.2.7) 11.¿Existen incentivos, programas y/o acciones concretas para el fortalecimiento de la ocupación del reciclador de base?
1.2.8) 12.¿Existen incentivos de reciclaje para los usuarios? </v>
      </c>
      <c r="M9" s="408"/>
      <c r="N9" s="408" t="s">
        <v>316</v>
      </c>
      <c r="O9" s="408"/>
      <c r="P9" s="408" t="str">
        <f t="shared" si="8"/>
        <v xml:space="preserve">The indicator score is the weighted sum of the following sub-indicator scores:
1.2.1) 5.¿Existe reconocimiento legal de la ocupación de reciclador de base?
1.2.2) 6.¿Se reconoce a los recicladores de base como prestadores de servicio en la gestión de residuos?
1.2.3) 7.¿Se ha identificado la población de recicladores de base a través de un censo?
1.2.4) 8.¿Cuál es el grado de transparencia e inclusión en los procesos de licitación para el reciclaje?
1.2.5) 9.¿La normativa/ estrategia municipal de residuos sólidos: fue desarrollada de manera participativa?
1.2.6) 10.¿Hay programas de formación/capacitación a nivel municipal?
1.2.7) 11.¿Existen incentivos, programas y/o acciones concretas para el fortalecimiento de la ocupación del reciclador de base?
1.2.8) 12.¿Existen incentivos de reciclaje para los usuarios? </v>
      </c>
      <c r="Q9" s="408"/>
      <c r="R9" s="408"/>
      <c r="S9" s="408"/>
      <c r="T9" s="408"/>
      <c r="U9" s="408"/>
      <c r="V9" s="408" t="s">
        <v>94</v>
      </c>
      <c r="W9" s="408"/>
      <c r="X9" s="408"/>
      <c r="Y9" s="408" t="str">
        <f t="shared" si="4"/>
        <v/>
      </c>
      <c r="Z9" s="408">
        <v>1</v>
      </c>
      <c r="AA9" s="408" t="s">
        <v>670</v>
      </c>
      <c r="AB9" s="408"/>
      <c r="AC9" s="408">
        <f t="shared" si="10"/>
        <v>0.25</v>
      </c>
      <c r="AD9" s="408">
        <f t="shared" si="1"/>
        <v>0.25</v>
      </c>
      <c r="AE9" s="407" t="str">
        <f t="shared" si="11"/>
        <v>1.2) Integración del reciclador de base</v>
      </c>
      <c r="AF9" s="407" t="str">
        <f>$AE$3</f>
        <v>1) NORMATIVA</v>
      </c>
      <c r="AG9" s="405">
        <f>MATCH($D9,Weights!$C$8:$C$78,0)</f>
        <v>8</v>
      </c>
      <c r="AH9" s="405">
        <f>IF(ISERROR($AG9),1,INDEX(Weights!$G$8:$G$159,$AG9))</f>
        <v>1</v>
      </c>
      <c r="AI9" s="405">
        <f t="shared" si="5"/>
        <v>0.25</v>
      </c>
      <c r="AJ9" s="120"/>
      <c r="AK9" s="120"/>
      <c r="AL9" s="120"/>
      <c r="AM9" s="118"/>
      <c r="AN9" s="120"/>
      <c r="AO9" s="120"/>
    </row>
    <row r="10" spans="1:42" s="65" customFormat="1" ht="15" customHeight="1">
      <c r="A10" s="407">
        <v>9</v>
      </c>
      <c r="B10" s="407">
        <v>0</v>
      </c>
      <c r="C10" s="411">
        <v>5</v>
      </c>
      <c r="D10" s="407" t="str">
        <f t="shared" si="7"/>
        <v>NORM1.2.1</v>
      </c>
      <c r="E10" s="244" t="str">
        <f>$D$9</f>
        <v>NORM1.2</v>
      </c>
      <c r="F10" s="244">
        <v>3</v>
      </c>
      <c r="G10" s="244" t="s">
        <v>403</v>
      </c>
      <c r="H10" s="544" t="s">
        <v>2179</v>
      </c>
      <c r="I10" s="244" t="str">
        <f t="shared" ref="I10:I15" si="12">H10</f>
        <v>5.¿Existe reconocimiento legal de la ocupación de reciclador de base?</v>
      </c>
      <c r="J10" s="244"/>
      <c r="K10" s="244"/>
      <c r="L10" s="244" t="str">
        <f t="shared" si="3"/>
        <v>5.¿Existe reconocimiento legal de la ocupación de reciclador de base?</v>
      </c>
      <c r="M10" s="244"/>
      <c r="N10" s="244" t="s">
        <v>316</v>
      </c>
      <c r="O10" s="244" t="s">
        <v>449</v>
      </c>
      <c r="P10" s="244" t="str">
        <f t="shared" si="8"/>
        <v xml:space="preserve">0= No existe reconocimiento legal de la ocupación del reciclador de base. 
1= Existe reconocimiento legal de la ocupación del reciclador de base.  
</v>
      </c>
      <c r="Q10" s="244" t="s">
        <v>516</v>
      </c>
      <c r="R10" s="244" t="s">
        <v>483</v>
      </c>
      <c r="S10" s="244">
        <v>2016</v>
      </c>
      <c r="T10" s="244" t="s">
        <v>813</v>
      </c>
      <c r="U10" s="244" t="s">
        <v>249</v>
      </c>
      <c r="V10" s="244">
        <v>0</v>
      </c>
      <c r="W10" s="244"/>
      <c r="X10" s="244"/>
      <c r="Y10" s="244">
        <f t="shared" si="4"/>
        <v>0</v>
      </c>
      <c r="Z10" s="244">
        <v>3</v>
      </c>
      <c r="AA10" s="244">
        <v>0</v>
      </c>
      <c r="AB10" s="244">
        <v>1</v>
      </c>
      <c r="AC10" s="244">
        <f t="shared" si="10"/>
        <v>0.125</v>
      </c>
      <c r="AD10" s="244">
        <f t="shared" si="1"/>
        <v>0.125</v>
      </c>
      <c r="AE10" s="244" t="str">
        <f t="shared" si="11"/>
        <v>1.2.1) 5.¿Existe reconocimiento legal de la ocupación de reciclador de base?</v>
      </c>
      <c r="AF10" s="244" t="str">
        <f t="shared" ref="AF10:AF17" si="13">$AE$9</f>
        <v>1.2) Integración del reciclador de base</v>
      </c>
      <c r="AG10" s="405">
        <f>MATCH($D10,Weights!$C$8:$C$78,0)</f>
        <v>29</v>
      </c>
      <c r="AH10" s="405">
        <f>IF(ISERROR($AG10),1,INDEX(Weights!$G$8:$G$159,$AG10))</f>
        <v>1</v>
      </c>
      <c r="AI10" s="405">
        <f t="shared" si="5"/>
        <v>0.125</v>
      </c>
      <c r="AJ10" s="121"/>
      <c r="AK10" s="121"/>
      <c r="AL10" s="121"/>
      <c r="AM10" s="118"/>
      <c r="AN10" s="121"/>
      <c r="AO10" s="121"/>
      <c r="AP10" s="64"/>
    </row>
    <row r="11" spans="1:42" s="62" customFormat="1" ht="15" customHeight="1">
      <c r="A11" s="407">
        <v>10</v>
      </c>
      <c r="B11" s="407">
        <v>0</v>
      </c>
      <c r="C11" s="411">
        <v>6</v>
      </c>
      <c r="D11" s="407" t="str">
        <f t="shared" si="7"/>
        <v>NORM1.2.2</v>
      </c>
      <c r="E11" s="244" t="str">
        <f t="shared" ref="E11:E17" si="14">$D$9</f>
        <v>NORM1.2</v>
      </c>
      <c r="F11" s="244">
        <v>3</v>
      </c>
      <c r="G11" s="408" t="s">
        <v>404</v>
      </c>
      <c r="H11" s="543" t="s">
        <v>2180</v>
      </c>
      <c r="I11" s="408" t="str">
        <f t="shared" si="12"/>
        <v>6.¿Se reconoce a los recicladores de base como prestadores de servicio en la gestión de residuos?</v>
      </c>
      <c r="J11" s="408"/>
      <c r="K11" s="408"/>
      <c r="L11" s="408" t="str">
        <f t="shared" si="3"/>
        <v>6.¿Se reconoce a los recicladores de base como prestadores de servicio en la gestión de residuos?</v>
      </c>
      <c r="M11" s="408"/>
      <c r="N11" s="408" t="s">
        <v>316</v>
      </c>
      <c r="O11" s="408" t="s">
        <v>450</v>
      </c>
      <c r="P11" s="408" t="str">
        <f t="shared" si="8"/>
        <v xml:space="preserve">0= No existe reconocimiento de los recicladores de base a nivel municipal.
1= Existe reconocimiento de los recicladores de base, pero no se promueven formas de vinculación al sistema de gestión de residuos. 
2= Se reconocen a recicladores de base como prestadores de servicio en la gestión de residuos.
</v>
      </c>
      <c r="Q11" s="408" t="s">
        <v>515</v>
      </c>
      <c r="R11" s="408" t="s">
        <v>484</v>
      </c>
      <c r="S11" s="408">
        <v>2016</v>
      </c>
      <c r="T11" s="408" t="s">
        <v>814</v>
      </c>
      <c r="U11" s="408" t="s">
        <v>249</v>
      </c>
      <c r="V11" s="408">
        <v>0</v>
      </c>
      <c r="W11" s="408"/>
      <c r="X11" s="408"/>
      <c r="Y11" s="408">
        <f t="shared" si="4"/>
        <v>0</v>
      </c>
      <c r="Z11" s="408">
        <v>3</v>
      </c>
      <c r="AA11" s="408">
        <v>0</v>
      </c>
      <c r="AB11" s="408">
        <v>2</v>
      </c>
      <c r="AC11" s="408">
        <f t="shared" si="10"/>
        <v>0.125</v>
      </c>
      <c r="AD11" s="408">
        <f t="shared" si="1"/>
        <v>0.125</v>
      </c>
      <c r="AE11" s="408" t="str">
        <f t="shared" si="11"/>
        <v>1.2.2) 6.¿Se reconoce a los recicladores de base como prestadores de servicio en la gestión de residuos?</v>
      </c>
      <c r="AF11" s="244" t="str">
        <f t="shared" si="13"/>
        <v>1.2) Integración del reciclador de base</v>
      </c>
      <c r="AG11" s="405">
        <f>MATCH($D11,Weights!$C$8:$C$78,0)</f>
        <v>30</v>
      </c>
      <c r="AH11" s="405">
        <f>IF(ISERROR($AG11),1,INDEX(Weights!$G$8:$G$159,$AG11))</f>
        <v>1</v>
      </c>
      <c r="AI11" s="405">
        <f t="shared" si="5"/>
        <v>0.125</v>
      </c>
      <c r="AJ11" s="120"/>
      <c r="AK11" s="120"/>
      <c r="AL11" s="120"/>
      <c r="AM11" s="118"/>
      <c r="AN11" s="120"/>
      <c r="AO11" s="120"/>
    </row>
    <row r="12" spans="1:42" s="62" customFormat="1" ht="15" customHeight="1">
      <c r="A12" s="407">
        <v>11</v>
      </c>
      <c r="B12" s="407">
        <v>0</v>
      </c>
      <c r="C12" s="411">
        <v>7</v>
      </c>
      <c r="D12" s="407" t="str">
        <f t="shared" si="7"/>
        <v>NORM1.2.3</v>
      </c>
      <c r="E12" s="244" t="str">
        <f t="shared" si="14"/>
        <v>NORM1.2</v>
      </c>
      <c r="F12" s="244">
        <v>3</v>
      </c>
      <c r="G12" s="244" t="s">
        <v>405</v>
      </c>
      <c r="H12" s="543" t="s">
        <v>2181</v>
      </c>
      <c r="I12" s="408" t="str">
        <f t="shared" si="12"/>
        <v>7.¿Se ha identificado la población de recicladores de base a través de un censo?</v>
      </c>
      <c r="J12" s="408"/>
      <c r="K12" s="408"/>
      <c r="L12" s="408" t="str">
        <f t="shared" si="3"/>
        <v>7.¿Se ha identificado la población de recicladores de base a través de un censo?</v>
      </c>
      <c r="M12" s="408"/>
      <c r="N12" s="408" t="s">
        <v>316</v>
      </c>
      <c r="O12" s="408" t="s">
        <v>451</v>
      </c>
      <c r="P12" s="408" t="str">
        <f t="shared" si="8"/>
        <v xml:space="preserve">0= No se ha realizado un censo de la población de recicladores.
1= Se ha realizado un censo de la población de recicladores. 
</v>
      </c>
      <c r="Q12" s="408" t="s">
        <v>516</v>
      </c>
      <c r="R12" s="408" t="s">
        <v>485</v>
      </c>
      <c r="S12" s="408">
        <v>2016</v>
      </c>
      <c r="T12" s="408" t="s">
        <v>780</v>
      </c>
      <c r="U12" s="408" t="s">
        <v>249</v>
      </c>
      <c r="V12" s="408">
        <v>0</v>
      </c>
      <c r="W12" s="408"/>
      <c r="X12" s="408"/>
      <c r="Y12" s="408">
        <f t="shared" si="4"/>
        <v>0</v>
      </c>
      <c r="Z12" s="408">
        <v>3</v>
      </c>
      <c r="AA12" s="408">
        <v>0</v>
      </c>
      <c r="AB12" s="408">
        <v>1</v>
      </c>
      <c r="AC12" s="408">
        <f t="shared" si="10"/>
        <v>0.125</v>
      </c>
      <c r="AD12" s="408">
        <f t="shared" si="1"/>
        <v>0.125</v>
      </c>
      <c r="AE12" s="408" t="str">
        <f t="shared" si="11"/>
        <v>1.2.3) 7.¿Se ha identificado la población de recicladores de base a través de un censo?</v>
      </c>
      <c r="AF12" s="244" t="str">
        <f t="shared" si="13"/>
        <v>1.2) Integración del reciclador de base</v>
      </c>
      <c r="AG12" s="405">
        <f>MATCH($D12,Weights!$C$8:$C$78,0)</f>
        <v>31</v>
      </c>
      <c r="AH12" s="405">
        <f>IF(ISERROR($AG12),1,INDEX(Weights!$G$8:$G$159,$AG12))</f>
        <v>1</v>
      </c>
      <c r="AI12" s="405">
        <f t="shared" si="5"/>
        <v>0.125</v>
      </c>
      <c r="AJ12" s="120"/>
      <c r="AK12" s="120"/>
      <c r="AL12" s="120"/>
      <c r="AM12" s="118"/>
      <c r="AN12" s="120"/>
      <c r="AO12" s="120"/>
    </row>
    <row r="13" spans="1:42" s="62" customFormat="1" ht="15" customHeight="1">
      <c r="A13" s="407">
        <v>12</v>
      </c>
      <c r="B13" s="407">
        <v>0</v>
      </c>
      <c r="C13" s="411">
        <v>8</v>
      </c>
      <c r="D13" s="407" t="str">
        <f t="shared" si="7"/>
        <v>NORM1.2.4</v>
      </c>
      <c r="E13" s="244" t="str">
        <f t="shared" si="14"/>
        <v>NORM1.2</v>
      </c>
      <c r="F13" s="244">
        <v>3</v>
      </c>
      <c r="G13" s="408" t="s">
        <v>2194</v>
      </c>
      <c r="H13" s="543" t="s">
        <v>2182</v>
      </c>
      <c r="I13" s="408" t="str">
        <f t="shared" si="12"/>
        <v>8.¿Cuál es el grado de transparencia e inclusión en los procesos de licitación para el reciclaje?</v>
      </c>
      <c r="J13" s="408"/>
      <c r="K13" s="408"/>
      <c r="L13" s="408" t="str">
        <f t="shared" si="3"/>
        <v>8.¿Cuál es el grado de transparencia e inclusión en los procesos de licitación para el reciclaje?</v>
      </c>
      <c r="M13" s="408"/>
      <c r="N13" s="408" t="s">
        <v>316</v>
      </c>
      <c r="O13" s="408" t="s">
        <v>2173</v>
      </c>
      <c r="P13" s="408" t="str">
        <f t="shared" si="8"/>
        <v xml:space="preserve">0= No existen procesos de licitación para el reciclaje  o existen con baja transparencia (0 criterios)
1= Existen con mediana transparencia (1-2 criterios)
2= Existen con alta transparencia (los 3-4 criterios)
</v>
      </c>
      <c r="Q13" s="408" t="s">
        <v>517</v>
      </c>
      <c r="R13" s="408" t="s">
        <v>486</v>
      </c>
      <c r="S13" s="408">
        <v>2016</v>
      </c>
      <c r="T13" s="408" t="s">
        <v>781</v>
      </c>
      <c r="U13" s="408" t="s">
        <v>249</v>
      </c>
      <c r="V13" s="408">
        <v>0</v>
      </c>
      <c r="W13" s="408"/>
      <c r="X13" s="408"/>
      <c r="Y13" s="408">
        <f t="shared" si="4"/>
        <v>0</v>
      </c>
      <c r="Z13" s="408">
        <v>3</v>
      </c>
      <c r="AA13" s="408">
        <v>0</v>
      </c>
      <c r="AB13" s="408">
        <v>2</v>
      </c>
      <c r="AC13" s="408">
        <f t="shared" si="10"/>
        <v>0.125</v>
      </c>
      <c r="AD13" s="408">
        <f t="shared" si="1"/>
        <v>0.125</v>
      </c>
      <c r="AE13" s="408" t="str">
        <f t="shared" si="11"/>
        <v>1.2.4) 8.¿Cuál es el grado de transparencia e inclusión en los procesos de licitación para el reciclaje?</v>
      </c>
      <c r="AF13" s="244" t="str">
        <f t="shared" si="13"/>
        <v>1.2) Integración del reciclador de base</v>
      </c>
      <c r="AG13" s="405">
        <f>MATCH($D13,Weights!$C$8:$C$78,0)</f>
        <v>32</v>
      </c>
      <c r="AH13" s="405">
        <f>IF(ISERROR($AG13),1,INDEX(Weights!$G$8:$G$159,$AG13))</f>
        <v>1</v>
      </c>
      <c r="AI13" s="405">
        <f t="shared" si="5"/>
        <v>0.125</v>
      </c>
      <c r="AJ13" s="120"/>
      <c r="AK13" s="120"/>
      <c r="AL13" s="120"/>
      <c r="AM13" s="118"/>
      <c r="AN13" s="120"/>
      <c r="AO13" s="120"/>
    </row>
    <row r="14" spans="1:42" s="62" customFormat="1" ht="15" customHeight="1">
      <c r="A14" s="407">
        <v>13</v>
      </c>
      <c r="B14" s="407">
        <v>0</v>
      </c>
      <c r="C14" s="411">
        <v>9</v>
      </c>
      <c r="D14" s="407" t="str">
        <f t="shared" si="7"/>
        <v>NORM1.2.5</v>
      </c>
      <c r="E14" s="244" t="str">
        <f t="shared" si="14"/>
        <v>NORM1.2</v>
      </c>
      <c r="F14" s="244">
        <v>3</v>
      </c>
      <c r="G14" s="244" t="s">
        <v>2195</v>
      </c>
      <c r="H14" s="543" t="s">
        <v>2687</v>
      </c>
      <c r="I14" s="408" t="str">
        <f t="shared" si="12"/>
        <v>9.¿La normativa/ estrategia municipal de residuos sólidos: fue desarrollada de manera participativa?</v>
      </c>
      <c r="J14" s="408"/>
      <c r="K14" s="408"/>
      <c r="L14" s="408" t="str">
        <f t="shared" si="3"/>
        <v>9.¿La normativa/ estrategia municipal de residuos sólidos: fue desarrollada de manera participativa?</v>
      </c>
      <c r="M14" s="408"/>
      <c r="N14" s="408" t="s">
        <v>316</v>
      </c>
      <c r="O14" s="408" t="s">
        <v>452</v>
      </c>
      <c r="P14" s="408" t="str">
        <f t="shared" si="8"/>
        <v xml:space="preserve">0= El proceso no involucró a los recicladores de base
1= Fue un proceso participativo que involucró a recicladores de base
2= Fue un proceso participativo y las propuestas fueron reflejadas en la normativa/estrategia
</v>
      </c>
      <c r="Q14" s="408" t="s">
        <v>517</v>
      </c>
      <c r="R14" s="408" t="s">
        <v>487</v>
      </c>
      <c r="S14" s="408">
        <v>2016</v>
      </c>
      <c r="T14" s="408" t="s">
        <v>815</v>
      </c>
      <c r="U14" s="408" t="s">
        <v>249</v>
      </c>
      <c r="V14" s="408">
        <v>0</v>
      </c>
      <c r="W14" s="408"/>
      <c r="X14" s="408"/>
      <c r="Y14" s="408">
        <f t="shared" si="4"/>
        <v>0</v>
      </c>
      <c r="Z14" s="408">
        <v>3</v>
      </c>
      <c r="AA14" s="408">
        <v>0</v>
      </c>
      <c r="AB14" s="408">
        <v>2</v>
      </c>
      <c r="AC14" s="408">
        <f t="shared" si="10"/>
        <v>0.125</v>
      </c>
      <c r="AD14" s="408">
        <f t="shared" si="1"/>
        <v>0.125</v>
      </c>
      <c r="AE14" s="408" t="str">
        <f t="shared" si="11"/>
        <v>1.2.5) 9.¿La normativa/ estrategia municipal de residuos sólidos: fue desarrollada de manera participativa?</v>
      </c>
      <c r="AF14" s="244" t="str">
        <f t="shared" si="13"/>
        <v>1.2) Integración del reciclador de base</v>
      </c>
      <c r="AG14" s="405">
        <f>MATCH($D14,Weights!$C$8:$C$78,0)</f>
        <v>33</v>
      </c>
      <c r="AH14" s="405">
        <f>IF(ISERROR($AG14),1,INDEX(Weights!$G$8:$G$159,$AG14))</f>
        <v>1</v>
      </c>
      <c r="AI14" s="405">
        <f t="shared" si="5"/>
        <v>0.125</v>
      </c>
      <c r="AJ14" s="120"/>
      <c r="AK14" s="120"/>
      <c r="AL14" s="120"/>
      <c r="AM14" s="118"/>
      <c r="AN14" s="120"/>
      <c r="AO14" s="120"/>
    </row>
    <row r="15" spans="1:42" s="62" customFormat="1" ht="15" customHeight="1">
      <c r="A15" s="407">
        <v>14</v>
      </c>
      <c r="B15" s="407">
        <v>0</v>
      </c>
      <c r="C15" s="411">
        <v>10</v>
      </c>
      <c r="D15" s="407" t="str">
        <f t="shared" si="7"/>
        <v>NORM1.2.6</v>
      </c>
      <c r="E15" s="244" t="str">
        <f t="shared" si="14"/>
        <v>NORM1.2</v>
      </c>
      <c r="F15" s="244">
        <v>3</v>
      </c>
      <c r="G15" s="408" t="s">
        <v>2196</v>
      </c>
      <c r="H15" s="543" t="s">
        <v>2183</v>
      </c>
      <c r="I15" s="408" t="str">
        <f t="shared" si="12"/>
        <v>10.¿Hay programas de formación/capacitación a nivel municipal?</v>
      </c>
      <c r="J15" s="408"/>
      <c r="K15" s="408"/>
      <c r="L15" s="408" t="str">
        <f t="shared" si="3"/>
        <v>10.¿Hay programas de formación/capacitación a nivel municipal?</v>
      </c>
      <c r="M15" s="408"/>
      <c r="N15" s="408" t="s">
        <v>316</v>
      </c>
      <c r="O15" s="408" t="s">
        <v>453</v>
      </c>
      <c r="P15" s="408" t="str">
        <f t="shared" si="8"/>
        <v xml:space="preserve">0= No hay programas de formación/capacitación
1= Hay programas de formación para funcionarios municipales o para usuarios (ciudadanos)
2= Hay programas de formación para funcionarios municipales y/o recicladores de base
3= Hay programas de formación para todos los actores de GIRS (incluyendo empresas del sector privado, por ejemplo)
</v>
      </c>
      <c r="Q15" s="408" t="s">
        <v>518</v>
      </c>
      <c r="R15" s="408" t="s">
        <v>488</v>
      </c>
      <c r="S15" s="408">
        <v>2016</v>
      </c>
      <c r="T15" s="408" t="s">
        <v>782</v>
      </c>
      <c r="U15" s="408" t="s">
        <v>249</v>
      </c>
      <c r="V15" s="408">
        <v>0</v>
      </c>
      <c r="W15" s="408"/>
      <c r="X15" s="408"/>
      <c r="Y15" s="408">
        <f t="shared" si="4"/>
        <v>0</v>
      </c>
      <c r="Z15" s="408">
        <v>3</v>
      </c>
      <c r="AA15" s="408">
        <v>0</v>
      </c>
      <c r="AB15" s="408">
        <v>3</v>
      </c>
      <c r="AC15" s="408">
        <f t="shared" si="10"/>
        <v>0.125</v>
      </c>
      <c r="AD15" s="408">
        <f t="shared" si="1"/>
        <v>0.125</v>
      </c>
      <c r="AE15" s="408" t="str">
        <f t="shared" si="11"/>
        <v>1.2.6) 10.¿Hay programas de formación/capacitación a nivel municipal?</v>
      </c>
      <c r="AF15" s="244" t="str">
        <f t="shared" si="13"/>
        <v>1.2) Integración del reciclador de base</v>
      </c>
      <c r="AG15" s="405">
        <f>MATCH($D15,Weights!$C$8:$C$78,0)</f>
        <v>34</v>
      </c>
      <c r="AH15" s="405">
        <f>IF(ISERROR($AG15),1,INDEX(Weights!$G$8:$G$159,$AG15))</f>
        <v>1</v>
      </c>
      <c r="AI15" s="405">
        <f t="shared" si="5"/>
        <v>0.125</v>
      </c>
      <c r="AJ15" s="120"/>
      <c r="AK15" s="120"/>
      <c r="AL15" s="120"/>
      <c r="AM15" s="118"/>
      <c r="AN15" s="120"/>
      <c r="AO15" s="120"/>
    </row>
    <row r="16" spans="1:42" s="62" customFormat="1" ht="15" customHeight="1">
      <c r="A16" s="407">
        <v>15</v>
      </c>
      <c r="B16" s="407">
        <v>0</v>
      </c>
      <c r="C16" s="411">
        <v>11</v>
      </c>
      <c r="D16" s="407" t="str">
        <f t="shared" si="7"/>
        <v>NORM1.2.7</v>
      </c>
      <c r="E16" s="244" t="str">
        <f t="shared" si="14"/>
        <v>NORM1.2</v>
      </c>
      <c r="F16" s="244">
        <v>3</v>
      </c>
      <c r="G16" s="244" t="s">
        <v>2197</v>
      </c>
      <c r="H16" s="543" t="s">
        <v>2184</v>
      </c>
      <c r="I16" s="408" t="str">
        <f t="shared" ref="I16:I17" si="15">H16</f>
        <v>11.¿Existen incentivos, programas y/o acciones concretas para el fortalecimiento de la ocupación del reciclador de base?</v>
      </c>
      <c r="J16" s="408"/>
      <c r="K16" s="408"/>
      <c r="L16" s="408" t="str">
        <f t="shared" si="3"/>
        <v>11.¿Existen incentivos, programas y/o acciones concretas para el fortalecimiento de la ocupación del reciclador de base?</v>
      </c>
      <c r="M16" s="408"/>
      <c r="N16" s="408" t="s">
        <v>316</v>
      </c>
      <c r="O16" s="408" t="s">
        <v>454</v>
      </c>
      <c r="P16" s="408" t="str">
        <f t="shared" si="8"/>
        <v xml:space="preserve">0= No existen 
1= Existen incentivos, programas y/o acciones puntuales
2= Existen incentivos, programas y/o acciones sistemáticas y institucionalizadas 
</v>
      </c>
      <c r="Q16" s="408" t="s">
        <v>515</v>
      </c>
      <c r="R16" s="408" t="s">
        <v>489</v>
      </c>
      <c r="S16" s="408">
        <v>2016</v>
      </c>
      <c r="T16" s="408" t="s">
        <v>783</v>
      </c>
      <c r="U16" s="408" t="s">
        <v>249</v>
      </c>
      <c r="V16" s="408">
        <v>0</v>
      </c>
      <c r="W16" s="408"/>
      <c r="X16" s="408"/>
      <c r="Y16" s="408">
        <f t="shared" si="4"/>
        <v>0</v>
      </c>
      <c r="Z16" s="408">
        <v>3</v>
      </c>
      <c r="AA16" s="408">
        <v>0</v>
      </c>
      <c r="AB16" s="408">
        <v>2</v>
      </c>
      <c r="AC16" s="408">
        <f t="shared" si="10"/>
        <v>0.125</v>
      </c>
      <c r="AD16" s="408">
        <f t="shared" si="1"/>
        <v>0.125</v>
      </c>
      <c r="AE16" s="408" t="str">
        <f t="shared" si="11"/>
        <v>1.2.7) 11.¿Existen incentivos, programas y/o acciones concretas para el fortalecimiento de la ocupación del reciclador de base?</v>
      </c>
      <c r="AF16" s="244" t="str">
        <f t="shared" si="13"/>
        <v>1.2) Integración del reciclador de base</v>
      </c>
      <c r="AG16" s="405">
        <f>MATCH($D16,Weights!$C$8:$C$78,0)</f>
        <v>35</v>
      </c>
      <c r="AH16" s="405">
        <f>IF(ISERROR($AG16),1,INDEX(Weights!$G$8:$G$159,$AG16))</f>
        <v>1</v>
      </c>
      <c r="AI16" s="405">
        <f t="shared" si="5"/>
        <v>0.125</v>
      </c>
      <c r="AJ16" s="120"/>
      <c r="AK16" s="120"/>
      <c r="AL16" s="120"/>
      <c r="AM16" s="118"/>
      <c r="AN16" s="120"/>
      <c r="AO16" s="120"/>
    </row>
    <row r="17" spans="1:42" s="62" customFormat="1" ht="15" customHeight="1">
      <c r="A17" s="407">
        <v>16</v>
      </c>
      <c r="B17" s="407">
        <v>0</v>
      </c>
      <c r="C17" s="411">
        <v>12</v>
      </c>
      <c r="D17" s="407" t="str">
        <f t="shared" si="7"/>
        <v>NORM1.2.8</v>
      </c>
      <c r="E17" s="244" t="str">
        <f t="shared" si="14"/>
        <v>NORM1.2</v>
      </c>
      <c r="F17" s="244">
        <v>3</v>
      </c>
      <c r="G17" s="408" t="s">
        <v>2198</v>
      </c>
      <c r="H17" s="543" t="s">
        <v>2688</v>
      </c>
      <c r="I17" s="408" t="str">
        <f t="shared" si="15"/>
        <v xml:space="preserve">12.¿Existen incentivos de reciclaje para los usuarios? </v>
      </c>
      <c r="J17" s="408"/>
      <c r="K17" s="408"/>
      <c r="L17" s="408" t="str">
        <f t="shared" si="3"/>
        <v xml:space="preserve">12.¿Existen incentivos de reciclaje para los usuarios? </v>
      </c>
      <c r="M17" s="408"/>
      <c r="N17" s="408" t="s">
        <v>316</v>
      </c>
      <c r="O17" s="408" t="s">
        <v>478</v>
      </c>
      <c r="P17" s="408" t="str">
        <f t="shared" si="8"/>
        <v xml:space="preserve">0=No existen 
1= Existen con baja participación
2= Existen con amplia participación
</v>
      </c>
      <c r="Q17" s="408" t="s">
        <v>515</v>
      </c>
      <c r="R17" s="408" t="s">
        <v>490</v>
      </c>
      <c r="S17" s="408">
        <v>2016</v>
      </c>
      <c r="T17" s="408" t="s">
        <v>784</v>
      </c>
      <c r="U17" s="408" t="s">
        <v>249</v>
      </c>
      <c r="V17" s="408">
        <v>0</v>
      </c>
      <c r="W17" s="408"/>
      <c r="X17" s="408"/>
      <c r="Y17" s="408">
        <f t="shared" si="4"/>
        <v>0</v>
      </c>
      <c r="Z17" s="408">
        <v>3</v>
      </c>
      <c r="AA17" s="408">
        <v>0</v>
      </c>
      <c r="AB17" s="408">
        <v>2</v>
      </c>
      <c r="AC17" s="408">
        <f t="shared" si="10"/>
        <v>0.125</v>
      </c>
      <c r="AD17" s="408">
        <f t="shared" si="1"/>
        <v>0.125</v>
      </c>
      <c r="AE17" s="408" t="str">
        <f t="shared" si="11"/>
        <v xml:space="preserve">1.2.8) 12.¿Existen incentivos de reciclaje para los usuarios? </v>
      </c>
      <c r="AF17" s="244" t="str">
        <f t="shared" si="13"/>
        <v>1.2) Integración del reciclador de base</v>
      </c>
      <c r="AG17" s="405">
        <f>MATCH($D17,Weights!$C$8:$C$78,0)</f>
        <v>36</v>
      </c>
      <c r="AH17" s="405">
        <f>IF(ISERROR($AG17),1,INDEX(Weights!$G$8:$G$159,$AG17))</f>
        <v>1</v>
      </c>
      <c r="AI17" s="405">
        <f t="shared" si="5"/>
        <v>0.125</v>
      </c>
      <c r="AJ17" s="120"/>
      <c r="AK17" s="120"/>
      <c r="AL17" s="120"/>
      <c r="AM17" s="118"/>
      <c r="AN17" s="120"/>
      <c r="AO17" s="120"/>
    </row>
    <row r="18" spans="1:42" s="62" customFormat="1" ht="15" customHeight="1">
      <c r="A18" s="407">
        <v>17</v>
      </c>
      <c r="B18" s="407">
        <v>0</v>
      </c>
      <c r="C18" s="411"/>
      <c r="D18" s="407" t="str">
        <f t="shared" si="7"/>
        <v>NORM1.3</v>
      </c>
      <c r="E18" s="407" t="str">
        <f>$D$3</f>
        <v>NORM</v>
      </c>
      <c r="F18" s="408">
        <v>2</v>
      </c>
      <c r="G18" s="408">
        <v>1.3</v>
      </c>
      <c r="H18" s="543" t="s">
        <v>370</v>
      </c>
      <c r="I18" s="408"/>
      <c r="J18" s="408"/>
      <c r="K18" s="407" t="str">
        <f>"The indicator score is the weighted sum of the following sub-indicator scores:
"&amp;AE19&amp;"
"&amp;AE20&amp;""</f>
        <v>The indicator score is the weighted sum of the following sub-indicator scores:
1.3.1) 13.¿Hay un sistema municipal de recolección de información de reciclaje inclusivo?
1.3.2) 14.¿Hay campañas de comunicación para fomentar el reciclaje inclusivo con difusión en el municipio?</v>
      </c>
      <c r="L18" s="408" t="str">
        <f t="shared" si="3"/>
        <v>The indicator score is the weighted sum of the following sub-indicator scores:
1.3.1) 13.¿Hay un sistema municipal de recolección de información de reciclaje inclusivo?
1.3.2) 14.¿Hay campañas de comunicación para fomentar el reciclaje inclusivo con difusión en el municipio?</v>
      </c>
      <c r="M18" s="408"/>
      <c r="N18" s="408" t="s">
        <v>316</v>
      </c>
      <c r="O18" s="408"/>
      <c r="P18" s="408" t="str">
        <f t="shared" si="8"/>
        <v>The indicator score is the weighted sum of the following sub-indicator scores:
1.3.1) 13.¿Hay un sistema municipal de recolección de información de reciclaje inclusivo?
1.3.2) 14.¿Hay campañas de comunicación para fomentar el reciclaje inclusivo con difusión en el municipio?</v>
      </c>
      <c r="Q18" s="408"/>
      <c r="R18" s="408"/>
      <c r="S18" s="408"/>
      <c r="T18" s="408"/>
      <c r="U18" s="408"/>
      <c r="V18" s="408" t="s">
        <v>94</v>
      </c>
      <c r="W18" s="408"/>
      <c r="X18" s="408"/>
      <c r="Y18" s="408" t="str">
        <f t="shared" si="4"/>
        <v/>
      </c>
      <c r="Z18" s="408">
        <v>1</v>
      </c>
      <c r="AA18" s="408" t="s">
        <v>670</v>
      </c>
      <c r="AB18" s="408"/>
      <c r="AC18" s="408">
        <f t="shared" si="10"/>
        <v>0.25</v>
      </c>
      <c r="AD18" s="408">
        <f t="shared" si="1"/>
        <v>0.25</v>
      </c>
      <c r="AE18" s="407" t="str">
        <f t="shared" si="11"/>
        <v>1.3) Generación de información</v>
      </c>
      <c r="AF18" s="407" t="str">
        <f>$AE$3</f>
        <v>1) NORMATIVA</v>
      </c>
      <c r="AG18" s="405">
        <f>MATCH($D18,Weights!$C$8:$C$78,0)</f>
        <v>9</v>
      </c>
      <c r="AH18" s="405">
        <f>IF(ISERROR($AG18),1,INDEX(Weights!$G$8:$G$159,$AG18))</f>
        <v>1</v>
      </c>
      <c r="AI18" s="405">
        <f t="shared" si="5"/>
        <v>0.25</v>
      </c>
      <c r="AJ18" s="120"/>
      <c r="AK18" s="120"/>
      <c r="AL18" s="120"/>
      <c r="AM18" s="118"/>
      <c r="AN18" s="120"/>
      <c r="AO18" s="120"/>
    </row>
    <row r="19" spans="1:42" s="62" customFormat="1" ht="15" customHeight="1">
      <c r="A19" s="407">
        <v>18</v>
      </c>
      <c r="B19" s="407">
        <v>0</v>
      </c>
      <c r="C19" s="411">
        <v>13</v>
      </c>
      <c r="D19" s="407" t="str">
        <f t="shared" si="7"/>
        <v>NORM1.3.1</v>
      </c>
      <c r="E19" s="408" t="str">
        <f>$D$18</f>
        <v>NORM1.3</v>
      </c>
      <c r="F19" s="408">
        <v>3</v>
      </c>
      <c r="G19" s="408" t="s">
        <v>406</v>
      </c>
      <c r="H19" s="543" t="s">
        <v>2185</v>
      </c>
      <c r="I19" s="408" t="str">
        <f>H19</f>
        <v>13.¿Hay un sistema municipal de recolección de información de reciclaje inclusivo?</v>
      </c>
      <c r="J19" s="408"/>
      <c r="K19" s="408"/>
      <c r="L19" s="408" t="str">
        <f t="shared" si="3"/>
        <v>13.¿Hay un sistema municipal de recolección de información de reciclaje inclusivo?</v>
      </c>
      <c r="M19" s="408"/>
      <c r="N19" s="408" t="s">
        <v>316</v>
      </c>
      <c r="O19" s="408" t="s">
        <v>455</v>
      </c>
      <c r="P19" s="408" t="str">
        <f t="shared" si="8"/>
        <v xml:space="preserve">0=  Sí a 0 o 1 pregunta
1= Sí a 2 o 3 preguntas
2= Sí a 4 o 5 preguntas
</v>
      </c>
      <c r="Q19" s="408" t="s">
        <v>515</v>
      </c>
      <c r="R19" s="408" t="s">
        <v>491</v>
      </c>
      <c r="S19" s="408">
        <v>2016</v>
      </c>
      <c r="T19" s="408" t="s">
        <v>785</v>
      </c>
      <c r="U19" s="408" t="s">
        <v>249</v>
      </c>
      <c r="V19" s="408">
        <v>0</v>
      </c>
      <c r="W19" s="408"/>
      <c r="X19" s="408"/>
      <c r="Y19" s="408">
        <f t="shared" si="4"/>
        <v>0</v>
      </c>
      <c r="Z19" s="408">
        <v>3</v>
      </c>
      <c r="AA19" s="408">
        <v>0</v>
      </c>
      <c r="AB19" s="408">
        <v>2</v>
      </c>
      <c r="AC19" s="408">
        <f t="shared" si="10"/>
        <v>0.5</v>
      </c>
      <c r="AD19" s="408">
        <f t="shared" si="1"/>
        <v>0.5</v>
      </c>
      <c r="AE19" s="408" t="str">
        <f t="shared" si="11"/>
        <v>1.3.1) 13.¿Hay un sistema municipal de recolección de información de reciclaje inclusivo?</v>
      </c>
      <c r="AF19" s="408" t="str">
        <f>$AE$18</f>
        <v>1.3) Generación de información</v>
      </c>
      <c r="AG19" s="405">
        <f>MATCH($D19,Weights!$C$8:$C$78,0)</f>
        <v>38</v>
      </c>
      <c r="AH19" s="405">
        <f>IF(ISERROR($AG19),1,INDEX(Weights!$G$8:$G$159,$AG19))</f>
        <v>1</v>
      </c>
      <c r="AI19" s="405">
        <f t="shared" si="5"/>
        <v>0.5</v>
      </c>
      <c r="AJ19" s="120"/>
      <c r="AK19" s="120"/>
      <c r="AL19" s="120"/>
      <c r="AM19" s="118"/>
      <c r="AN19" s="120"/>
      <c r="AO19" s="120"/>
    </row>
    <row r="20" spans="1:42" s="62" customFormat="1" ht="15" customHeight="1">
      <c r="A20" s="407">
        <v>19</v>
      </c>
      <c r="B20" s="407">
        <v>0</v>
      </c>
      <c r="C20" s="411">
        <v>14</v>
      </c>
      <c r="D20" s="407" t="str">
        <f t="shared" si="7"/>
        <v>NORM1.3.2</v>
      </c>
      <c r="E20" s="408" t="str">
        <f>$D$18</f>
        <v>NORM1.3</v>
      </c>
      <c r="F20" s="408">
        <v>3</v>
      </c>
      <c r="G20" s="408" t="s">
        <v>2199</v>
      </c>
      <c r="H20" s="543" t="s">
        <v>2174</v>
      </c>
      <c r="I20" s="408" t="str">
        <f>H20</f>
        <v>14.¿Hay campañas de comunicación para fomentar el reciclaje inclusivo con difusión en el municipio?</v>
      </c>
      <c r="J20" s="408"/>
      <c r="K20" s="408"/>
      <c r="L20" s="408" t="str">
        <f t="shared" si="3"/>
        <v>14.¿Hay campañas de comunicación para fomentar el reciclaje inclusivo con difusión en el municipio?</v>
      </c>
      <c r="M20" s="408"/>
      <c r="N20" s="408" t="s">
        <v>316</v>
      </c>
      <c r="O20" s="408" t="s">
        <v>456</v>
      </c>
      <c r="P20" s="408" t="str">
        <f t="shared" si="8"/>
        <v xml:space="preserve">0= No
1= Sí, pero esporádicamente 
2= Sí y continuo
</v>
      </c>
      <c r="Q20" s="408" t="s">
        <v>515</v>
      </c>
      <c r="R20" s="408" t="s">
        <v>492</v>
      </c>
      <c r="S20" s="408">
        <v>2016</v>
      </c>
      <c r="T20" s="408" t="s">
        <v>786</v>
      </c>
      <c r="U20" s="408" t="s">
        <v>249</v>
      </c>
      <c r="V20" s="408">
        <v>0</v>
      </c>
      <c r="W20" s="408"/>
      <c r="X20" s="408"/>
      <c r="Y20" s="408">
        <f t="shared" si="4"/>
        <v>0</v>
      </c>
      <c r="Z20" s="408">
        <v>3</v>
      </c>
      <c r="AA20" s="408">
        <v>0</v>
      </c>
      <c r="AB20" s="408">
        <v>2</v>
      </c>
      <c r="AC20" s="408">
        <f t="shared" si="10"/>
        <v>0.5</v>
      </c>
      <c r="AD20" s="408">
        <f t="shared" si="1"/>
        <v>0.5</v>
      </c>
      <c r="AE20" s="408" t="str">
        <f t="shared" si="11"/>
        <v>1.3.2) 14.¿Hay campañas de comunicación para fomentar el reciclaje inclusivo con difusión en el municipio?</v>
      </c>
      <c r="AF20" s="408" t="str">
        <f>$AE$18</f>
        <v>1.3) Generación de información</v>
      </c>
      <c r="AG20" s="405">
        <f>MATCH($D20,Weights!$C$8:$C$78,0)</f>
        <v>39</v>
      </c>
      <c r="AH20" s="405">
        <f>IF(ISERROR($AG20),1,INDEX(Weights!$G$8:$G$159,$AG20))</f>
        <v>1</v>
      </c>
      <c r="AI20" s="405">
        <f t="shared" si="5"/>
        <v>0.5</v>
      </c>
      <c r="AJ20" s="120"/>
      <c r="AK20" s="120"/>
      <c r="AL20" s="120"/>
      <c r="AM20" s="118"/>
      <c r="AN20" s="120"/>
      <c r="AO20" s="120"/>
    </row>
    <row r="21" spans="1:42" s="62" customFormat="1" ht="15" customHeight="1">
      <c r="A21" s="407">
        <v>20</v>
      </c>
      <c r="B21" s="407">
        <v>0</v>
      </c>
      <c r="C21" s="411"/>
      <c r="D21" s="407" t="str">
        <f t="shared" si="7"/>
        <v>NORM1.4</v>
      </c>
      <c r="E21" s="407" t="str">
        <f>$D$3</f>
        <v>NORM</v>
      </c>
      <c r="F21" s="408">
        <v>2</v>
      </c>
      <c r="G21" s="408">
        <v>1.4</v>
      </c>
      <c r="H21" s="543" t="s">
        <v>373</v>
      </c>
      <c r="I21" s="408"/>
      <c r="J21" s="408"/>
      <c r="K21" s="408" t="str">
        <f>"The indicator score is the weighted sum of the following sub-indicator scores:
"&amp;AE22&amp;""</f>
        <v>The indicator score is the weighted sum of the following sub-indicator scores:
1.4.1) 15.¿Existe adecuada regulación y control sobre clasificación y manejo de desechos especiales y/o  peligrosos y sobre clasificación en la calle?</v>
      </c>
      <c r="L21" s="408" t="str">
        <f t="shared" si="3"/>
        <v>The indicator score is the weighted sum of the following sub-indicator scores:
1.4.1) 15.¿Existe adecuada regulación y control sobre clasificación y manejo de desechos especiales y/o  peligrosos y sobre clasificación en la calle?</v>
      </c>
      <c r="M21" s="408"/>
      <c r="N21" s="408" t="s">
        <v>316</v>
      </c>
      <c r="O21" s="408"/>
      <c r="P21" s="408" t="str">
        <f t="shared" si="8"/>
        <v>The indicator score is the weighted sum of the following sub-indicator scores:
1.4.1) 15.¿Existe adecuada regulación y control sobre clasificación y manejo de desechos especiales y/o  peligrosos y sobre clasificación en la calle?</v>
      </c>
      <c r="Q21" s="408"/>
      <c r="R21" s="408"/>
      <c r="S21" s="408"/>
      <c r="T21" s="408"/>
      <c r="U21" s="408"/>
      <c r="V21" s="408" t="s">
        <v>94</v>
      </c>
      <c r="W21" s="408"/>
      <c r="X21" s="408"/>
      <c r="Y21" s="408" t="str">
        <f t="shared" si="4"/>
        <v/>
      </c>
      <c r="Z21" s="408">
        <v>1</v>
      </c>
      <c r="AA21" s="408" t="s">
        <v>670</v>
      </c>
      <c r="AB21" s="408"/>
      <c r="AC21" s="408">
        <f t="shared" si="10"/>
        <v>0.25</v>
      </c>
      <c r="AD21" s="408">
        <f t="shared" si="1"/>
        <v>0.25</v>
      </c>
      <c r="AE21" s="407" t="str">
        <f t="shared" si="11"/>
        <v>1.4) Salud pública y el medioambiente</v>
      </c>
      <c r="AF21" s="407" t="str">
        <f>$AE$3</f>
        <v>1) NORMATIVA</v>
      </c>
      <c r="AG21" s="405">
        <f>MATCH($D21,Weights!$C$8:$C$78,0)</f>
        <v>10</v>
      </c>
      <c r="AH21" s="405">
        <f>IF(ISERROR($AG21),1,INDEX(Weights!$G$8:$G$159,$AG21))</f>
        <v>1</v>
      </c>
      <c r="AI21" s="405">
        <f t="shared" si="5"/>
        <v>0.25</v>
      </c>
      <c r="AJ21" s="120"/>
      <c r="AK21" s="120"/>
      <c r="AL21" s="120"/>
      <c r="AM21" s="118"/>
      <c r="AN21" s="120"/>
      <c r="AO21" s="120"/>
    </row>
    <row r="22" spans="1:42" s="62" customFormat="1" ht="15" customHeight="1">
      <c r="A22" s="407">
        <v>21</v>
      </c>
      <c r="B22" s="407">
        <v>0</v>
      </c>
      <c r="C22" s="411">
        <v>15</v>
      </c>
      <c r="D22" s="407" t="str">
        <f t="shared" si="7"/>
        <v>NORM1.4.1</v>
      </c>
      <c r="E22" s="408" t="str">
        <f>$D$21</f>
        <v>NORM1.4</v>
      </c>
      <c r="F22" s="408">
        <v>3</v>
      </c>
      <c r="G22" s="408" t="s">
        <v>407</v>
      </c>
      <c r="H22" s="543" t="s">
        <v>2686</v>
      </c>
      <c r="I22" s="408" t="s">
        <v>374</v>
      </c>
      <c r="J22" s="408"/>
      <c r="K22" s="408"/>
      <c r="L22" s="408" t="str">
        <f t="shared" si="3"/>
        <v>15. ¿Existe adecuada regulación y control sobre clasificación y manejo de desechos especiales y/o  peligrosos?</v>
      </c>
      <c r="M22" s="408"/>
      <c r="N22" s="408" t="s">
        <v>316</v>
      </c>
      <c r="O22" s="408" t="s">
        <v>457</v>
      </c>
      <c r="P22" s="408" t="str">
        <f t="shared" si="8"/>
        <v xml:space="preserve">0= No existe regulación
1= Existe regulación y no se aplica
2= Existe regulación y se aplica
</v>
      </c>
      <c r="Q22" s="408" t="s">
        <v>515</v>
      </c>
      <c r="R22" s="408" t="s">
        <v>493</v>
      </c>
      <c r="S22" s="408">
        <v>2016</v>
      </c>
      <c r="T22" s="408" t="s">
        <v>787</v>
      </c>
      <c r="U22" s="408" t="s">
        <v>249</v>
      </c>
      <c r="V22" s="408">
        <v>0</v>
      </c>
      <c r="W22" s="408"/>
      <c r="X22" s="408"/>
      <c r="Y22" s="408">
        <f t="shared" si="4"/>
        <v>0</v>
      </c>
      <c r="Z22" s="408">
        <v>3</v>
      </c>
      <c r="AA22" s="408">
        <v>0</v>
      </c>
      <c r="AB22" s="408">
        <v>2</v>
      </c>
      <c r="AC22" s="408">
        <f t="shared" si="10"/>
        <v>1</v>
      </c>
      <c r="AD22" s="408">
        <f t="shared" si="1"/>
        <v>1</v>
      </c>
      <c r="AE22" s="408" t="str">
        <f t="shared" si="11"/>
        <v>1.4.1) 15.¿Existe adecuada regulación y control sobre clasificación y manejo de desechos especiales y/o  peligrosos y sobre clasificación en la calle?</v>
      </c>
      <c r="AF22" s="408" t="str">
        <f>$AE$21</f>
        <v>1.4) Salud pública y el medioambiente</v>
      </c>
      <c r="AG22" s="405">
        <f>MATCH($D22,Weights!$C$8:$C$78,0)</f>
        <v>41</v>
      </c>
      <c r="AH22" s="405">
        <f>IF(ISERROR($AG22),1,INDEX(Weights!$G$8:$G$159,$AG22))</f>
        <v>1</v>
      </c>
      <c r="AI22" s="405">
        <f t="shared" si="5"/>
        <v>1</v>
      </c>
      <c r="AJ22" s="120"/>
      <c r="AK22" s="120"/>
      <c r="AL22" s="120"/>
      <c r="AM22" s="118"/>
      <c r="AN22" s="120"/>
      <c r="AO22" s="120"/>
    </row>
    <row r="23" spans="1:42" s="92" customFormat="1" ht="15" customHeight="1">
      <c r="A23" s="409">
        <v>22</v>
      </c>
      <c r="B23" s="409">
        <v>0</v>
      </c>
      <c r="C23" s="409"/>
      <c r="D23" s="409" t="s">
        <v>417</v>
      </c>
      <c r="E23" s="238" t="str">
        <f>$D$2</f>
        <v>OVERALL</v>
      </c>
      <c r="F23" s="238">
        <v>1</v>
      </c>
      <c r="G23" s="238">
        <v>2</v>
      </c>
      <c r="H23" s="243" t="s">
        <v>355</v>
      </c>
      <c r="I23" s="238"/>
      <c r="J23" s="238"/>
      <c r="K23" s="238" t="str">
        <f>"The category score is `the weighted sum of the following indicator scores:
"&amp;AE24&amp;"
"&amp;AE30&amp;""</f>
        <v>The category score is `the weighted sum of the following indicator scores:
2.1) Asociatividad
2.2) Organizaciones comerciales</v>
      </c>
      <c r="L23" s="238" t="str">
        <f t="shared" si="3"/>
        <v>The category score is `the weighted sum of the following indicator scores:
2.1) Asociatividad
2.2) Organizaciones comerciales</v>
      </c>
      <c r="M23" s="238"/>
      <c r="N23" s="238" t="s">
        <v>316</v>
      </c>
      <c r="O23" s="238"/>
      <c r="P23" s="238" t="str">
        <f t="shared" si="8"/>
        <v>The category score is `the weighted sum of the following indicator scores:
2.1) Asociatividad
2.2) Organizaciones comerciales</v>
      </c>
      <c r="Q23" s="238"/>
      <c r="R23" s="238"/>
      <c r="S23" s="238"/>
      <c r="T23" s="238"/>
      <c r="U23" s="238"/>
      <c r="V23" s="238" t="s">
        <v>94</v>
      </c>
      <c r="W23" s="238"/>
      <c r="X23" s="238"/>
      <c r="Y23" s="238" t="str">
        <f t="shared" si="4"/>
        <v/>
      </c>
      <c r="Z23" s="238">
        <v>1</v>
      </c>
      <c r="AA23" s="238" t="s">
        <v>670</v>
      </c>
      <c r="AB23" s="238"/>
      <c r="AC23" s="238">
        <f t="shared" si="10"/>
        <v>0.33333333333333331</v>
      </c>
      <c r="AD23" s="238">
        <f t="shared" si="1"/>
        <v>0.33333333333333331</v>
      </c>
      <c r="AE23" s="238" t="str">
        <f t="shared" si="11"/>
        <v>2) ORGANIZATIVA</v>
      </c>
      <c r="AF23" s="238" t="str">
        <f>$AE$2</f>
        <v>CATEGORÍA</v>
      </c>
      <c r="AG23" s="238">
        <f>MATCH($D23,Weights!$C$8:$C$78,0)</f>
        <v>2</v>
      </c>
      <c r="AH23" s="238">
        <f>IF(ISERROR($AG23),1,INDEX(Weights!$G$8:$G$159,$AG23))</f>
        <v>1</v>
      </c>
      <c r="AI23" s="238">
        <f t="shared" si="5"/>
        <v>0.33333333333333331</v>
      </c>
      <c r="AJ23" s="119"/>
      <c r="AK23" s="119"/>
      <c r="AL23" s="119"/>
      <c r="AM23" s="118"/>
      <c r="AN23" s="119"/>
      <c r="AO23" s="119"/>
      <c r="AP23" s="91"/>
    </row>
    <row r="24" spans="1:42" s="62" customFormat="1" ht="15" customHeight="1">
      <c r="A24" s="407">
        <v>23</v>
      </c>
      <c r="B24" s="407">
        <v>0</v>
      </c>
      <c r="C24" s="411"/>
      <c r="D24" s="408" t="str">
        <f t="shared" ref="D24:D33" si="16">$D$23&amp;G24</f>
        <v>ORG2.1</v>
      </c>
      <c r="E24" s="408" t="str">
        <f>$D$23</f>
        <v>ORG</v>
      </c>
      <c r="F24" s="408">
        <v>2</v>
      </c>
      <c r="G24" s="408">
        <v>2.1</v>
      </c>
      <c r="H24" s="543" t="s">
        <v>375</v>
      </c>
      <c r="I24" s="408"/>
      <c r="J24" s="408"/>
      <c r="K24" s="407" t="str">
        <f>"The indicator score is the weighted sum of the following sub-indicator scores:
"&amp;AE25&amp;"
"&amp;AE26&amp;"
"&amp;AE27&amp;"
"&amp;AE28&amp;"
"&amp;AE29&amp;""</f>
        <v>The indicator score is the weighted sum of the following sub-indicator scores:
2.1.1) 16.¿Cuán dinámicas son las asociaciones?
2.1.2) 17.¿Qué nivel de inclusión  presentan estas asociaciones? 
2.1.3) 18.¿Las asociaciones: participan en espacios de interlocución o diálogo con pares?
2.1.4) 19.¿Existen espacios de diálogo y coordinación entre diferentes actores de la cadena de valor del reciclaje?
2.1.5) 20.¿Cuál es el nivel de representación de las mujeres en las asociaciones?</v>
      </c>
      <c r="L24" s="408" t="str">
        <f t="shared" si="3"/>
        <v>The indicator score is the weighted sum of the following sub-indicator scores:
2.1.1) 16.¿Cuán dinámicas son las asociaciones?
2.1.2) 17.¿Qué nivel de inclusión  presentan estas asociaciones? 
2.1.3) 18.¿Las asociaciones: participan en espacios de interlocución o diálogo con pares?
2.1.4) 19.¿Existen espacios de diálogo y coordinación entre diferentes actores de la cadena de valor del reciclaje?
2.1.5) 20.¿Cuál es el nivel de representación de las mujeres en las asociaciones?</v>
      </c>
      <c r="M24" s="408"/>
      <c r="N24" s="408" t="s">
        <v>316</v>
      </c>
      <c r="O24" s="408"/>
      <c r="P24" s="408" t="str">
        <f t="shared" si="8"/>
        <v>The indicator score is the weighted sum of the following sub-indicator scores:
2.1.1) 16.¿Cuán dinámicas son las asociaciones?
2.1.2) 17.¿Qué nivel de inclusión  presentan estas asociaciones? 
2.1.3) 18.¿Las asociaciones: participan en espacios de interlocución o diálogo con pares?
2.1.4) 19.¿Existen espacios de diálogo y coordinación entre diferentes actores de la cadena de valor del reciclaje?
2.1.5) 20.¿Cuál es el nivel de representación de las mujeres en las asociaciones?</v>
      </c>
      <c r="Q24" s="408"/>
      <c r="R24" s="408"/>
      <c r="S24" s="408"/>
      <c r="T24" s="408"/>
      <c r="U24" s="408"/>
      <c r="V24" s="408" t="s">
        <v>94</v>
      </c>
      <c r="W24" s="408"/>
      <c r="X24" s="408"/>
      <c r="Y24" s="408" t="str">
        <f t="shared" si="4"/>
        <v/>
      </c>
      <c r="Z24" s="408">
        <v>1</v>
      </c>
      <c r="AA24" s="408" t="s">
        <v>670</v>
      </c>
      <c r="AB24" s="408"/>
      <c r="AC24" s="408">
        <f t="shared" si="10"/>
        <v>0.5</v>
      </c>
      <c r="AD24" s="408">
        <f t="shared" si="1"/>
        <v>0.5</v>
      </c>
      <c r="AE24" s="408" t="str">
        <f t="shared" si="11"/>
        <v>2.1) Asociatividad</v>
      </c>
      <c r="AF24" s="408" t="str">
        <f>$AE$23</f>
        <v>2) ORGANIZATIVA</v>
      </c>
      <c r="AG24" s="405">
        <f>MATCH($D24,Weights!$C$8:$C$78,0)</f>
        <v>12</v>
      </c>
      <c r="AH24" s="405">
        <f>IF(ISERROR($AG24),1,INDEX(Weights!$G$8:$G$159,$AG24))</f>
        <v>1</v>
      </c>
      <c r="AI24" s="405">
        <f t="shared" si="5"/>
        <v>0.5</v>
      </c>
      <c r="AJ24" s="120"/>
      <c r="AK24" s="120"/>
      <c r="AL24" s="120"/>
      <c r="AM24" s="118"/>
      <c r="AN24" s="120"/>
      <c r="AO24" s="120"/>
    </row>
    <row r="25" spans="1:42" s="62" customFormat="1" ht="15" customHeight="1">
      <c r="A25" s="407">
        <v>24</v>
      </c>
      <c r="B25" s="407">
        <v>0</v>
      </c>
      <c r="C25" s="411">
        <v>16</v>
      </c>
      <c r="D25" s="408" t="str">
        <f t="shared" si="16"/>
        <v>ORG2.1.1</v>
      </c>
      <c r="E25" s="408" t="str">
        <f>$D$24</f>
        <v>ORG2.1</v>
      </c>
      <c r="F25" s="408">
        <v>3</v>
      </c>
      <c r="G25" s="408" t="s">
        <v>408</v>
      </c>
      <c r="H25" s="408" t="s">
        <v>2186</v>
      </c>
      <c r="I25" s="408" t="str">
        <f>H25</f>
        <v>16.¿Cuán dinámicas son las asociaciones?</v>
      </c>
      <c r="J25" s="408"/>
      <c r="K25" s="408"/>
      <c r="L25" s="408" t="str">
        <f t="shared" si="3"/>
        <v>16.¿Cuán dinámicas son las asociaciones?</v>
      </c>
      <c r="M25" s="408"/>
      <c r="N25" s="408" t="s">
        <v>316</v>
      </c>
      <c r="O25" s="408" t="s">
        <v>458</v>
      </c>
      <c r="P25" s="408" t="str">
        <f t="shared" si="8"/>
        <v xml:space="preserve">0= No existen asociaciones o es muy difícil crearlas
1= Existe al menos una asociación, pero con un proceso difícil de admisión
2= Existe al menos una asociación y admite nuevos miembros
</v>
      </c>
      <c r="Q25" s="408" t="s">
        <v>515</v>
      </c>
      <c r="R25" s="408" t="s">
        <v>494</v>
      </c>
      <c r="S25" s="408">
        <v>2016</v>
      </c>
      <c r="T25" s="408" t="s">
        <v>788</v>
      </c>
      <c r="U25" s="408" t="s">
        <v>249</v>
      </c>
      <c r="V25" s="408">
        <v>0</v>
      </c>
      <c r="W25" s="408"/>
      <c r="X25" s="408"/>
      <c r="Y25" s="408">
        <f t="shared" si="4"/>
        <v>0</v>
      </c>
      <c r="Z25" s="408">
        <v>3</v>
      </c>
      <c r="AA25" s="408">
        <v>0</v>
      </c>
      <c r="AB25" s="408">
        <v>2</v>
      </c>
      <c r="AC25" s="408">
        <f t="shared" si="10"/>
        <v>0.2</v>
      </c>
      <c r="AD25" s="408">
        <f t="shared" si="1"/>
        <v>0.2</v>
      </c>
      <c r="AE25" s="408" t="str">
        <f t="shared" si="11"/>
        <v>2.1.1) 16.¿Cuán dinámicas son las asociaciones?</v>
      </c>
      <c r="AF25" s="408" t="str">
        <f>$AE$24</f>
        <v>2.1) Asociatividad</v>
      </c>
      <c r="AG25" s="405">
        <f>MATCH($D25,Weights!$C$8:$C$78,0)</f>
        <v>44</v>
      </c>
      <c r="AH25" s="405">
        <f>IF(ISERROR($AG25),1,INDEX(Weights!$G$8:$G$159,$AG25))</f>
        <v>1</v>
      </c>
      <c r="AI25" s="405">
        <f t="shared" si="5"/>
        <v>0.2</v>
      </c>
      <c r="AJ25" s="120"/>
      <c r="AK25" s="120"/>
      <c r="AL25" s="120"/>
      <c r="AM25" s="118"/>
      <c r="AN25" s="120"/>
      <c r="AO25" s="120"/>
    </row>
    <row r="26" spans="1:42" s="62" customFormat="1" ht="42.75" customHeight="1">
      <c r="A26" s="407">
        <v>25</v>
      </c>
      <c r="B26" s="407">
        <v>0</v>
      </c>
      <c r="C26" s="411">
        <v>17</v>
      </c>
      <c r="D26" s="408" t="str">
        <f t="shared" si="16"/>
        <v>ORG2.1.2</v>
      </c>
      <c r="E26" s="408" t="str">
        <f t="shared" ref="E26:E29" si="17">$D$24</f>
        <v>ORG2.1</v>
      </c>
      <c r="F26" s="408">
        <v>3</v>
      </c>
      <c r="G26" s="408" t="s">
        <v>2200</v>
      </c>
      <c r="H26" s="408" t="s">
        <v>2187</v>
      </c>
      <c r="I26" s="408" t="str">
        <f t="shared" ref="I26:I29" si="18">H26</f>
        <v xml:space="preserve">17.¿Qué nivel de inclusión  presentan estas asociaciones? </v>
      </c>
      <c r="J26" s="408"/>
      <c r="K26" s="408"/>
      <c r="L26" s="408" t="str">
        <f t="shared" si="3"/>
        <v xml:space="preserve">17.¿Qué nivel de inclusión  presentan estas asociaciones? </v>
      </c>
      <c r="M26" s="408"/>
      <c r="N26" s="408" t="s">
        <v>316</v>
      </c>
      <c r="O26" s="408" t="s">
        <v>459</v>
      </c>
      <c r="P26" s="408" t="str">
        <f t="shared" si="8"/>
        <v xml:space="preserve">0= Baja inclusión (0 o 1 criterio)
1= Mediana inclusión (2 o 3 criterios)
2= Alta inclusión (4 o más criterios)
</v>
      </c>
      <c r="Q26" s="408" t="s">
        <v>515</v>
      </c>
      <c r="R26" s="408" t="s">
        <v>495</v>
      </c>
      <c r="S26" s="408">
        <v>2016</v>
      </c>
      <c r="T26" s="408" t="s">
        <v>789</v>
      </c>
      <c r="U26" s="408" t="s">
        <v>249</v>
      </c>
      <c r="V26" s="408">
        <v>0</v>
      </c>
      <c r="W26" s="408"/>
      <c r="X26" s="408"/>
      <c r="Y26" s="408">
        <f t="shared" si="4"/>
        <v>0</v>
      </c>
      <c r="Z26" s="408">
        <v>3</v>
      </c>
      <c r="AA26" s="408">
        <v>0</v>
      </c>
      <c r="AB26" s="408">
        <v>2</v>
      </c>
      <c r="AC26" s="408">
        <f t="shared" si="10"/>
        <v>0.2</v>
      </c>
      <c r="AD26" s="408">
        <f t="shared" si="1"/>
        <v>0.2</v>
      </c>
      <c r="AE26" s="408" t="str">
        <f t="shared" si="11"/>
        <v xml:space="preserve">2.1.2) 17.¿Qué nivel de inclusión  presentan estas asociaciones? </v>
      </c>
      <c r="AF26" s="408" t="str">
        <f t="shared" ref="AF26:AF29" si="19">$AE$24</f>
        <v>2.1) Asociatividad</v>
      </c>
      <c r="AG26" s="405">
        <f>MATCH($D26,Weights!$C$8:$C$78,0)</f>
        <v>45</v>
      </c>
      <c r="AH26" s="405">
        <f>IF(ISERROR($AG26),1,INDEX(Weights!$G$8:$G$159,$AG26))</f>
        <v>1</v>
      </c>
      <c r="AI26" s="405">
        <f t="shared" si="5"/>
        <v>0.2</v>
      </c>
      <c r="AJ26" s="120"/>
      <c r="AK26" s="120"/>
      <c r="AL26" s="120"/>
      <c r="AM26" s="118"/>
      <c r="AN26" s="120"/>
      <c r="AO26" s="120"/>
    </row>
    <row r="27" spans="1:42" s="62" customFormat="1" ht="18.75" customHeight="1">
      <c r="A27" s="407">
        <v>26</v>
      </c>
      <c r="B27" s="407">
        <v>0</v>
      </c>
      <c r="C27" s="411">
        <v>18</v>
      </c>
      <c r="D27" s="408" t="str">
        <f t="shared" si="16"/>
        <v>ORG2.1.3</v>
      </c>
      <c r="E27" s="408" t="str">
        <f t="shared" si="17"/>
        <v>ORG2.1</v>
      </c>
      <c r="F27" s="408">
        <v>3</v>
      </c>
      <c r="G27" s="408" t="s">
        <v>2201</v>
      </c>
      <c r="H27" s="408" t="s">
        <v>2689</v>
      </c>
      <c r="I27" s="408" t="str">
        <f t="shared" si="18"/>
        <v>18.¿Las asociaciones: participan en espacios de interlocución o diálogo con pares?</v>
      </c>
      <c r="J27" s="408"/>
      <c r="K27" s="408"/>
      <c r="L27" s="408" t="str">
        <f t="shared" si="3"/>
        <v>18.¿Las asociaciones: participan en espacios de interlocución o diálogo con pares?</v>
      </c>
      <c r="M27" s="408"/>
      <c r="N27" s="408" t="s">
        <v>316</v>
      </c>
      <c r="O27" s="408" t="s">
        <v>460</v>
      </c>
      <c r="P27" s="408" t="str">
        <f t="shared" si="8"/>
        <v xml:space="preserve">0= No participan 
1= Participan a nivel municipal y/o nacional
2= Participan a nivel municipal, nacional e internacional
</v>
      </c>
      <c r="Q27" s="408" t="s">
        <v>515</v>
      </c>
      <c r="R27" s="408" t="s">
        <v>496</v>
      </c>
      <c r="S27" s="408">
        <v>2016</v>
      </c>
      <c r="T27" s="408" t="s">
        <v>790</v>
      </c>
      <c r="U27" s="408" t="s">
        <v>249</v>
      </c>
      <c r="V27" s="408">
        <v>0</v>
      </c>
      <c r="W27" s="408"/>
      <c r="X27" s="408"/>
      <c r="Y27" s="408">
        <f t="shared" si="4"/>
        <v>0</v>
      </c>
      <c r="Z27" s="408">
        <v>3</v>
      </c>
      <c r="AA27" s="408">
        <v>0</v>
      </c>
      <c r="AB27" s="408">
        <v>2</v>
      </c>
      <c r="AC27" s="408">
        <f t="shared" si="10"/>
        <v>0.2</v>
      </c>
      <c r="AD27" s="408">
        <f t="shared" si="1"/>
        <v>0.2</v>
      </c>
      <c r="AE27" s="408" t="str">
        <f t="shared" si="11"/>
        <v>2.1.3) 18.¿Las asociaciones: participan en espacios de interlocución o diálogo con pares?</v>
      </c>
      <c r="AF27" s="408" t="str">
        <f t="shared" si="19"/>
        <v>2.1) Asociatividad</v>
      </c>
      <c r="AG27" s="405">
        <f>MATCH($D27,Weights!$C$8:$C$78,0)</f>
        <v>46</v>
      </c>
      <c r="AH27" s="405">
        <f>IF(ISERROR($AG27),1,INDEX(Weights!$G$8:$G$159,$AG27))</f>
        <v>1</v>
      </c>
      <c r="AI27" s="405">
        <f t="shared" si="5"/>
        <v>0.2</v>
      </c>
      <c r="AJ27" s="120"/>
      <c r="AK27" s="120"/>
      <c r="AL27" s="120"/>
      <c r="AM27" s="118"/>
      <c r="AN27" s="120"/>
      <c r="AO27" s="120"/>
    </row>
    <row r="28" spans="1:42" s="62" customFormat="1" ht="15" customHeight="1">
      <c r="A28" s="407">
        <v>27</v>
      </c>
      <c r="B28" s="407">
        <v>0</v>
      </c>
      <c r="C28" s="411">
        <v>19</v>
      </c>
      <c r="D28" s="408" t="str">
        <f t="shared" si="16"/>
        <v>ORG2.1.4</v>
      </c>
      <c r="E28" s="408" t="str">
        <f t="shared" si="17"/>
        <v>ORG2.1</v>
      </c>
      <c r="F28" s="408">
        <v>3</v>
      </c>
      <c r="G28" s="408" t="s">
        <v>2202</v>
      </c>
      <c r="H28" s="408" t="s">
        <v>2188</v>
      </c>
      <c r="I28" s="408" t="str">
        <f t="shared" si="18"/>
        <v>19.¿Existen espacios de diálogo y coordinación entre diferentes actores de la cadena de valor del reciclaje?</v>
      </c>
      <c r="J28" s="408"/>
      <c r="K28" s="408"/>
      <c r="L28" s="408" t="str">
        <f t="shared" si="3"/>
        <v>19.¿Existen espacios de diálogo y coordinación entre diferentes actores de la cadena de valor del reciclaje?</v>
      </c>
      <c r="M28" s="408"/>
      <c r="N28" s="408" t="s">
        <v>316</v>
      </c>
      <c r="O28" s="408" t="s">
        <v>461</v>
      </c>
      <c r="P28" s="408" t="str">
        <f t="shared" si="8"/>
        <v xml:space="preserve">0= No existen espacios de coordinación
1= Existen espacios a nivel nacional o municipal
2= Existen espacios a nivel municipal y nacional 
</v>
      </c>
      <c r="Q28" s="408" t="s">
        <v>515</v>
      </c>
      <c r="R28" s="408" t="s">
        <v>497</v>
      </c>
      <c r="S28" s="408">
        <v>2016</v>
      </c>
      <c r="T28" s="408" t="s">
        <v>791</v>
      </c>
      <c r="U28" s="408" t="s">
        <v>249</v>
      </c>
      <c r="V28" s="408">
        <v>0</v>
      </c>
      <c r="W28" s="408"/>
      <c r="X28" s="408"/>
      <c r="Y28" s="408">
        <f t="shared" si="4"/>
        <v>0</v>
      </c>
      <c r="Z28" s="408">
        <v>3</v>
      </c>
      <c r="AA28" s="408">
        <v>0</v>
      </c>
      <c r="AB28" s="408">
        <v>2</v>
      </c>
      <c r="AC28" s="408">
        <f t="shared" si="10"/>
        <v>0.2</v>
      </c>
      <c r="AD28" s="408">
        <f t="shared" si="1"/>
        <v>0.2</v>
      </c>
      <c r="AE28" s="408" t="str">
        <f t="shared" si="11"/>
        <v>2.1.4) 19.¿Existen espacios de diálogo y coordinación entre diferentes actores de la cadena de valor del reciclaje?</v>
      </c>
      <c r="AF28" s="408" t="str">
        <f t="shared" si="19"/>
        <v>2.1) Asociatividad</v>
      </c>
      <c r="AG28" s="405">
        <f>MATCH($D28,Weights!$C$8:$C$78,0)</f>
        <v>47</v>
      </c>
      <c r="AH28" s="405">
        <f>IF(ISERROR($AG28),1,INDEX(Weights!$G$8:$G$159,$AG28))</f>
        <v>1</v>
      </c>
      <c r="AI28" s="405">
        <f t="shared" si="5"/>
        <v>0.2</v>
      </c>
      <c r="AJ28" s="120"/>
      <c r="AK28" s="120"/>
      <c r="AL28" s="120"/>
      <c r="AM28" s="118"/>
      <c r="AN28" s="120"/>
      <c r="AO28" s="120"/>
    </row>
    <row r="29" spans="1:42" s="62" customFormat="1" ht="15" customHeight="1">
      <c r="A29" s="407">
        <v>28</v>
      </c>
      <c r="B29" s="407">
        <v>0</v>
      </c>
      <c r="C29" s="411">
        <v>20</v>
      </c>
      <c r="D29" s="408" t="str">
        <f t="shared" si="16"/>
        <v>ORG2.1.5</v>
      </c>
      <c r="E29" s="408" t="str">
        <f t="shared" si="17"/>
        <v>ORG2.1</v>
      </c>
      <c r="F29" s="408">
        <v>3</v>
      </c>
      <c r="G29" s="408" t="s">
        <v>2203</v>
      </c>
      <c r="H29" s="408" t="s">
        <v>2189</v>
      </c>
      <c r="I29" s="408" t="str">
        <f t="shared" si="18"/>
        <v>20.¿Cuál es el nivel de representación de las mujeres en las asociaciones?</v>
      </c>
      <c r="J29" s="408"/>
      <c r="K29" s="408"/>
      <c r="L29" s="408" t="str">
        <f t="shared" si="3"/>
        <v>20.¿Cuál es el nivel de representación de las mujeres en las asociaciones?</v>
      </c>
      <c r="M29" s="408"/>
      <c r="N29" s="408" t="s">
        <v>316</v>
      </c>
      <c r="O29" s="408" t="s">
        <v>462</v>
      </c>
      <c r="P29" s="408" t="str">
        <f t="shared" si="8"/>
        <v xml:space="preserve">0= Existe un bajo nivel de representación (ningún criterio)
1= Existe un nivel medio de representación (1-2 criterios)
2= Existe un nivel superior de representación (3 o más criterios)
</v>
      </c>
      <c r="Q29" s="408" t="s">
        <v>515</v>
      </c>
      <c r="R29" s="408" t="s">
        <v>498</v>
      </c>
      <c r="S29" s="408">
        <v>2016</v>
      </c>
      <c r="T29" s="408" t="s">
        <v>792</v>
      </c>
      <c r="U29" s="408" t="s">
        <v>249</v>
      </c>
      <c r="V29" s="408">
        <v>0</v>
      </c>
      <c r="W29" s="408"/>
      <c r="X29" s="408"/>
      <c r="Y29" s="408">
        <f t="shared" si="4"/>
        <v>0</v>
      </c>
      <c r="Z29" s="408">
        <v>3</v>
      </c>
      <c r="AA29" s="408">
        <v>0</v>
      </c>
      <c r="AB29" s="408">
        <v>2</v>
      </c>
      <c r="AC29" s="408">
        <f t="shared" si="10"/>
        <v>0.2</v>
      </c>
      <c r="AD29" s="408">
        <f t="shared" si="1"/>
        <v>0.2</v>
      </c>
      <c r="AE29" s="408" t="str">
        <f t="shared" si="11"/>
        <v>2.1.5) 20.¿Cuál es el nivel de representación de las mujeres en las asociaciones?</v>
      </c>
      <c r="AF29" s="408" t="str">
        <f t="shared" si="19"/>
        <v>2.1) Asociatividad</v>
      </c>
      <c r="AG29" s="405">
        <f>MATCH($D29,Weights!$C$8:$C$78,0)</f>
        <v>48</v>
      </c>
      <c r="AH29" s="405">
        <f>IF(ISERROR($AG29),1,INDEX(Weights!$G$8:$G$159,$AG29))</f>
        <v>1</v>
      </c>
      <c r="AI29" s="405">
        <f t="shared" si="5"/>
        <v>0.2</v>
      </c>
      <c r="AJ29" s="120"/>
      <c r="AK29" s="120"/>
      <c r="AL29" s="120"/>
      <c r="AM29" s="118"/>
      <c r="AN29" s="120"/>
      <c r="AO29" s="120"/>
    </row>
    <row r="30" spans="1:42" s="62" customFormat="1" ht="15" customHeight="1">
      <c r="A30" s="407">
        <v>29</v>
      </c>
      <c r="B30" s="407">
        <v>0</v>
      </c>
      <c r="C30" s="411"/>
      <c r="D30" s="408" t="str">
        <f t="shared" si="16"/>
        <v>ORG2.2</v>
      </c>
      <c r="E30" s="408" t="str">
        <f>$D$23</f>
        <v>ORG</v>
      </c>
      <c r="F30" s="408">
        <v>2</v>
      </c>
      <c r="G30" s="408">
        <v>2.2000000000000002</v>
      </c>
      <c r="H30" s="433" t="s">
        <v>381</v>
      </c>
      <c r="I30" s="408"/>
      <c r="J30" s="408"/>
      <c r="K30" s="407" t="str">
        <f>"The indicator score is the weighted sum of the following sub-indicator scores:
"&amp;AE31&amp;"
"&amp;AE32&amp;"
"&amp;AE33&amp;""</f>
        <v>The indicator score is the weighted sum of the following sub-indicator scores:
2.2.1) 21.¿Existen organizaciones de recicladores con actividad comercial en el municipio (cooperativas y/o microempresas)? 
2.2.2) 22.¿Cuál es el nivel de participación de las organizaciones de recicladores en la cadena de valor del reciclaje?
2.2.3) 23. Las organizaciones comerciales de recicladores: ¿Tienen acceso a mecanismos de financiamiento?</v>
      </c>
      <c r="L30" s="408" t="str">
        <f t="shared" si="3"/>
        <v>The indicator score is the weighted sum of the following sub-indicator scores:
2.2.1) 21.¿Existen organizaciones de recicladores con actividad comercial en el municipio (cooperativas y/o microempresas)? 
2.2.2) 22.¿Cuál es el nivel de participación de las organizaciones de recicladores en la cadena de valor del reciclaje?
2.2.3) 23. Las organizaciones comerciales de recicladores: ¿Tienen acceso a mecanismos de financiamiento?</v>
      </c>
      <c r="M30" s="408"/>
      <c r="N30" s="408" t="s">
        <v>316</v>
      </c>
      <c r="O30" s="408"/>
      <c r="P30" s="408" t="str">
        <f t="shared" si="8"/>
        <v>The indicator score is the weighted sum of the following sub-indicator scores:
2.2.1) 21.¿Existen organizaciones de recicladores con actividad comercial en el municipio (cooperativas y/o microempresas)? 
2.2.2) 22.¿Cuál es el nivel de participación de las organizaciones de recicladores en la cadena de valor del reciclaje?
2.2.3) 23. Las organizaciones comerciales de recicladores: ¿Tienen acceso a mecanismos de financiamiento?</v>
      </c>
      <c r="Q30" s="408"/>
      <c r="R30" s="408"/>
      <c r="S30" s="408"/>
      <c r="T30" s="408"/>
      <c r="U30" s="408"/>
      <c r="V30" s="408" t="s">
        <v>94</v>
      </c>
      <c r="W30" s="408"/>
      <c r="X30" s="408"/>
      <c r="Y30" s="408" t="str">
        <f t="shared" si="4"/>
        <v/>
      </c>
      <c r="Z30" s="408">
        <v>1</v>
      </c>
      <c r="AA30" s="408" t="s">
        <v>670</v>
      </c>
      <c r="AB30" s="408"/>
      <c r="AC30" s="408">
        <f t="shared" si="10"/>
        <v>0.5</v>
      </c>
      <c r="AD30" s="408">
        <f t="shared" si="1"/>
        <v>0.5</v>
      </c>
      <c r="AE30" s="408" t="str">
        <f t="shared" si="11"/>
        <v>2.2) Organizaciones comerciales</v>
      </c>
      <c r="AF30" s="408" t="str">
        <f>$AE$23</f>
        <v>2) ORGANIZATIVA</v>
      </c>
      <c r="AG30" s="405">
        <f>MATCH($D30,Weights!$C$8:$C$78,0)</f>
        <v>13</v>
      </c>
      <c r="AH30" s="405">
        <f>IF(ISERROR($AG30),1,INDEX(Weights!$G$8:$G$159,$AG30))</f>
        <v>1</v>
      </c>
      <c r="AI30" s="405">
        <f t="shared" si="5"/>
        <v>0.5</v>
      </c>
      <c r="AJ30" s="120"/>
      <c r="AK30" s="120"/>
      <c r="AL30" s="120"/>
      <c r="AM30" s="118"/>
      <c r="AN30" s="120"/>
      <c r="AO30" s="120"/>
    </row>
    <row r="31" spans="1:42" s="62" customFormat="1" ht="15" customHeight="1">
      <c r="A31" s="407">
        <v>30</v>
      </c>
      <c r="B31" s="407">
        <v>0</v>
      </c>
      <c r="C31" s="411">
        <v>21</v>
      </c>
      <c r="D31" s="408" t="str">
        <f t="shared" si="16"/>
        <v>ORG2.2.1</v>
      </c>
      <c r="E31" s="408" t="str">
        <f>$D$30</f>
        <v>ORG2.2</v>
      </c>
      <c r="F31" s="408">
        <v>3</v>
      </c>
      <c r="G31" s="408" t="s">
        <v>409</v>
      </c>
      <c r="H31" s="408" t="s">
        <v>2190</v>
      </c>
      <c r="I31" s="408" t="str">
        <f>H31</f>
        <v xml:space="preserve">21.¿Existen organizaciones de recicladores con actividad comercial en el municipio (cooperativas y/o microempresas)? </v>
      </c>
      <c r="J31" s="408"/>
      <c r="K31" s="408"/>
      <c r="L31" s="408" t="str">
        <f t="shared" si="3"/>
        <v xml:space="preserve">21.¿Existen organizaciones de recicladores con actividad comercial en el municipio (cooperativas y/o microempresas)? </v>
      </c>
      <c r="M31" s="408"/>
      <c r="N31" s="408" t="s">
        <v>316</v>
      </c>
      <c r="O31" s="408" t="s">
        <v>463</v>
      </c>
      <c r="P31" s="408" t="str">
        <f t="shared" si="8"/>
        <v xml:space="preserve">0= No existen  
1= Existen
2= Existen y operan en coordinación o en conjunto entre ellas
</v>
      </c>
      <c r="Q31" s="408" t="s">
        <v>515</v>
      </c>
      <c r="R31" s="408" t="s">
        <v>499</v>
      </c>
      <c r="S31" s="408">
        <v>2016</v>
      </c>
      <c r="T31" s="408" t="s">
        <v>793</v>
      </c>
      <c r="U31" s="408" t="s">
        <v>249</v>
      </c>
      <c r="V31" s="408">
        <v>0</v>
      </c>
      <c r="W31" s="408"/>
      <c r="X31" s="408"/>
      <c r="Y31" s="408">
        <f t="shared" si="4"/>
        <v>0</v>
      </c>
      <c r="Z31" s="408">
        <v>3</v>
      </c>
      <c r="AA31" s="408">
        <v>0</v>
      </c>
      <c r="AB31" s="408">
        <v>2</v>
      </c>
      <c r="AC31" s="408">
        <f t="shared" si="10"/>
        <v>0.33333333333333331</v>
      </c>
      <c r="AD31" s="408">
        <f t="shared" si="1"/>
        <v>0.33333333333333331</v>
      </c>
      <c r="AE31" s="408" t="str">
        <f t="shared" si="11"/>
        <v xml:space="preserve">2.2.1) 21.¿Existen organizaciones de recicladores con actividad comercial en el municipio (cooperativas y/o microempresas)? </v>
      </c>
      <c r="AF31" s="408" t="str">
        <f>$AE$30</f>
        <v>2.2) Organizaciones comerciales</v>
      </c>
      <c r="AG31" s="405">
        <f>MATCH($D31,Weights!$C$8:$C$78,0)</f>
        <v>50</v>
      </c>
      <c r="AH31" s="405">
        <f>IF(ISERROR($AG31),1,INDEX(Weights!$G$8:$G$159,$AG31))</f>
        <v>1</v>
      </c>
      <c r="AI31" s="405">
        <f t="shared" si="5"/>
        <v>0.33333333333333331</v>
      </c>
      <c r="AJ31" s="120"/>
      <c r="AK31" s="120"/>
      <c r="AL31" s="120"/>
      <c r="AM31" s="118"/>
      <c r="AN31" s="120"/>
      <c r="AO31" s="120"/>
    </row>
    <row r="32" spans="1:42" s="62" customFormat="1" ht="15" customHeight="1">
      <c r="A32" s="407">
        <v>31</v>
      </c>
      <c r="B32" s="407">
        <v>0</v>
      </c>
      <c r="C32" s="411">
        <v>22</v>
      </c>
      <c r="D32" s="408" t="str">
        <f t="shared" si="16"/>
        <v>ORG2.2.2</v>
      </c>
      <c r="E32" s="408" t="str">
        <f t="shared" ref="E32:E33" si="20">$D$30</f>
        <v>ORG2.2</v>
      </c>
      <c r="F32" s="408">
        <v>3</v>
      </c>
      <c r="G32" s="408" t="s">
        <v>2204</v>
      </c>
      <c r="H32" s="408" t="s">
        <v>2191</v>
      </c>
      <c r="I32" s="408" t="str">
        <f t="shared" ref="I32:I33" si="21">H32</f>
        <v>22.¿Cuál es el nivel de participación de las organizaciones de recicladores en la cadena de valor del reciclaje?</v>
      </c>
      <c r="J32" s="408"/>
      <c r="K32" s="408"/>
      <c r="L32" s="408" t="str">
        <f t="shared" si="3"/>
        <v>22.¿Cuál es el nivel de participación de las organizaciones de recicladores en la cadena de valor del reciclaje?</v>
      </c>
      <c r="M32" s="408"/>
      <c r="N32" s="408" t="s">
        <v>316</v>
      </c>
      <c r="O32" s="408" t="s">
        <v>464</v>
      </c>
      <c r="P32" s="408" t="str">
        <f t="shared" si="8"/>
        <v xml:space="preserve">0= Bajo (ningún criterio) o no existen estas organizaciones
1= Medio (1 o 2 criterios)
2= Alto (3 o 4 criterios)
</v>
      </c>
      <c r="Q32" s="408" t="s">
        <v>515</v>
      </c>
      <c r="R32" s="408" t="s">
        <v>500</v>
      </c>
      <c r="S32" s="408">
        <v>2016</v>
      </c>
      <c r="T32" s="408" t="s">
        <v>794</v>
      </c>
      <c r="U32" s="408" t="s">
        <v>249</v>
      </c>
      <c r="V32" s="408">
        <v>0</v>
      </c>
      <c r="W32" s="408"/>
      <c r="X32" s="408"/>
      <c r="Y32" s="408">
        <f t="shared" si="4"/>
        <v>0</v>
      </c>
      <c r="Z32" s="408">
        <v>3</v>
      </c>
      <c r="AA32" s="408">
        <v>0</v>
      </c>
      <c r="AB32" s="408">
        <v>2</v>
      </c>
      <c r="AC32" s="408">
        <f t="shared" si="10"/>
        <v>0.33333333333333331</v>
      </c>
      <c r="AD32" s="408">
        <f t="shared" si="1"/>
        <v>0.33333333333333331</v>
      </c>
      <c r="AE32" s="408" t="str">
        <f t="shared" si="11"/>
        <v>2.2.2) 22.¿Cuál es el nivel de participación de las organizaciones de recicladores en la cadena de valor del reciclaje?</v>
      </c>
      <c r="AF32" s="408" t="str">
        <f>$AE$30</f>
        <v>2.2) Organizaciones comerciales</v>
      </c>
      <c r="AG32" s="405">
        <f>MATCH($D32,Weights!$C$8:$C$78,0)</f>
        <v>51</v>
      </c>
      <c r="AH32" s="405">
        <f>IF(ISERROR($AG32),1,INDEX(Weights!$G$8:$G$159,$AG32))</f>
        <v>1</v>
      </c>
      <c r="AI32" s="405">
        <f t="shared" si="5"/>
        <v>0.33333333333333331</v>
      </c>
      <c r="AJ32" s="120"/>
      <c r="AK32" s="120"/>
      <c r="AL32" s="120"/>
      <c r="AM32" s="118"/>
      <c r="AN32" s="120"/>
      <c r="AO32" s="120"/>
    </row>
    <row r="33" spans="1:42" s="62" customFormat="1" ht="15" customHeight="1">
      <c r="A33" s="407">
        <v>32</v>
      </c>
      <c r="B33" s="407">
        <v>0</v>
      </c>
      <c r="C33" s="411">
        <v>23</v>
      </c>
      <c r="D33" s="408" t="str">
        <f t="shared" si="16"/>
        <v>ORG2.2.3</v>
      </c>
      <c r="E33" s="408" t="str">
        <f t="shared" si="20"/>
        <v>ORG2.2</v>
      </c>
      <c r="F33" s="408">
        <v>3</v>
      </c>
      <c r="G33" s="408" t="s">
        <v>2205</v>
      </c>
      <c r="H33" s="408" t="s">
        <v>384</v>
      </c>
      <c r="I33" s="408" t="str">
        <f t="shared" si="21"/>
        <v>23. Las organizaciones comerciales de recicladores: ¿Tienen acceso a mecanismos de financiamiento?</v>
      </c>
      <c r="J33" s="408"/>
      <c r="K33" s="408"/>
      <c r="L33" s="408" t="str">
        <f t="shared" si="3"/>
        <v>23. Las organizaciones comerciales de recicladores: ¿Tienen acceso a mecanismos de financiamiento?</v>
      </c>
      <c r="M33" s="408"/>
      <c r="N33" s="408" t="s">
        <v>316</v>
      </c>
      <c r="O33" s="408" t="s">
        <v>465</v>
      </c>
      <c r="P33" s="408" t="str">
        <f t="shared" si="8"/>
        <v xml:space="preserve">0= No tienen acceso o no existen estas organizaciones
1= Microcrédito 
2= Banca tradicional o pública
3= Programa de apoyo de proveedores
</v>
      </c>
      <c r="Q33" s="408" t="s">
        <v>518</v>
      </c>
      <c r="R33" s="408" t="s">
        <v>501</v>
      </c>
      <c r="S33" s="408">
        <v>2016</v>
      </c>
      <c r="T33" s="408" t="s">
        <v>795</v>
      </c>
      <c r="U33" s="408" t="s">
        <v>249</v>
      </c>
      <c r="V33" s="408">
        <v>0</v>
      </c>
      <c r="W33" s="408"/>
      <c r="X33" s="408"/>
      <c r="Y33" s="408">
        <f t="shared" si="4"/>
        <v>0</v>
      </c>
      <c r="Z33" s="408">
        <v>3</v>
      </c>
      <c r="AA33" s="408">
        <v>0</v>
      </c>
      <c r="AB33" s="408">
        <v>3</v>
      </c>
      <c r="AC33" s="408">
        <f t="shared" si="10"/>
        <v>0.33333333333333331</v>
      </c>
      <c r="AD33" s="408">
        <f t="shared" si="1"/>
        <v>0.33333333333333331</v>
      </c>
      <c r="AE33" s="408" t="str">
        <f t="shared" si="11"/>
        <v>2.2.3) 23. Las organizaciones comerciales de recicladores: ¿Tienen acceso a mecanismos de financiamiento?</v>
      </c>
      <c r="AF33" s="408" t="str">
        <f>$AE$30</f>
        <v>2.2) Organizaciones comerciales</v>
      </c>
      <c r="AG33" s="405">
        <f>MATCH($D33,Weights!$C$8:$C$78,0)</f>
        <v>52</v>
      </c>
      <c r="AH33" s="405">
        <f>IF(ISERROR($AG33),1,INDEX(Weights!$G$8:$G$159,$AG33))</f>
        <v>1</v>
      </c>
      <c r="AI33" s="405">
        <f t="shared" si="5"/>
        <v>0.33333333333333331</v>
      </c>
      <c r="AJ33" s="120"/>
      <c r="AK33" s="120"/>
      <c r="AL33" s="120"/>
      <c r="AM33" s="118"/>
      <c r="AN33" s="120"/>
      <c r="AO33" s="120"/>
    </row>
    <row r="34" spans="1:42" s="92" customFormat="1" ht="33" customHeight="1">
      <c r="A34" s="409">
        <v>33</v>
      </c>
      <c r="B34" s="409">
        <v>0</v>
      </c>
      <c r="C34" s="409"/>
      <c r="D34" s="409" t="s">
        <v>418</v>
      </c>
      <c r="E34" s="238" t="str">
        <f>$D$2</f>
        <v>OVERALL</v>
      </c>
      <c r="F34" s="238">
        <v>1</v>
      </c>
      <c r="G34" s="238">
        <v>3</v>
      </c>
      <c r="H34" s="243" t="s">
        <v>2700</v>
      </c>
      <c r="I34" s="238"/>
      <c r="J34" s="238"/>
      <c r="K34" s="238" t="str">
        <f>"The category score is the weighted sum of the following indicator scores:
"&amp;AE35&amp;"
"&amp;AE40&amp;"
"&amp;AE43&amp;"
"&amp;AE48&amp;""</f>
        <v>The category score is the weighted sum of the following indicator scores:
3.1) Condiciones de acceso y almacenamiento de residuos
3.2) Condiciones para la comercialización de material reciclable
3.3) Ingreso de los recicladores de base
3.4) Condiciones de trabajo de los recicladores de base</v>
      </c>
      <c r="L34" s="238" t="str">
        <f t="shared" si="3"/>
        <v>The category score is the weighted sum of the following indicator scores:
3.1) Condiciones de acceso y almacenamiento de residuos
3.2) Condiciones para la comercialización de material reciclable
3.3) Ingreso de los recicladores de base
3.4) Condiciones de trabajo de los recicladores de base</v>
      </c>
      <c r="M34" s="238"/>
      <c r="N34" s="238" t="s">
        <v>316</v>
      </c>
      <c r="O34" s="238"/>
      <c r="P34" s="238" t="str">
        <f t="shared" si="8"/>
        <v>The category score is the weighted sum of the following indicator scores:
3.1) Condiciones de acceso y almacenamiento de residuos
3.2) Condiciones para la comercialización de material reciclable
3.3) Ingreso de los recicladores de base
3.4) Condiciones de trabajo de los recicladores de base</v>
      </c>
      <c r="Q34" s="238"/>
      <c r="R34" s="238"/>
      <c r="S34" s="238"/>
      <c r="T34" s="238"/>
      <c r="U34" s="238"/>
      <c r="V34" s="238" t="s">
        <v>94</v>
      </c>
      <c r="W34" s="238"/>
      <c r="X34" s="238"/>
      <c r="Y34" s="238" t="str">
        <f t="shared" si="4"/>
        <v/>
      </c>
      <c r="Z34" s="238">
        <v>1</v>
      </c>
      <c r="AA34" s="238" t="s">
        <v>670</v>
      </c>
      <c r="AB34" s="238"/>
      <c r="AC34" s="238">
        <f t="shared" si="10"/>
        <v>0.33333333333333331</v>
      </c>
      <c r="AD34" s="238">
        <f t="shared" ref="AD34:AD52" si="22">IF(F34=0,"",IF(SUMIF(E$3:E$52,E34,AC$3:AC$52)=0,0,AC34/SUMIF(E$3:E$52,E34,AC$3:AC$52)))</f>
        <v>0.33333333333333331</v>
      </c>
      <c r="AE34" s="238" t="str">
        <f t="shared" si="11"/>
        <v>3) MERCADO</v>
      </c>
      <c r="AF34" s="238" t="str">
        <f>$AE$2</f>
        <v>CATEGORÍA</v>
      </c>
      <c r="AG34" s="238">
        <f>MATCH($D34,Weights!$C$8:$C$78,0)</f>
        <v>3</v>
      </c>
      <c r="AH34" s="238">
        <f>IF(ISERROR($AG34),1,INDEX(Weights!$G$8:$G$159,$AG34))</f>
        <v>1</v>
      </c>
      <c r="AI34" s="238">
        <f t="shared" si="5"/>
        <v>0.33333333333333331</v>
      </c>
      <c r="AJ34" s="119"/>
      <c r="AK34" s="119"/>
      <c r="AL34" s="119"/>
      <c r="AM34" s="118"/>
      <c r="AN34" s="119"/>
      <c r="AO34" s="119"/>
      <c r="AP34" s="91"/>
    </row>
    <row r="35" spans="1:42" s="62" customFormat="1" ht="15" customHeight="1">
      <c r="A35" s="407">
        <v>34</v>
      </c>
      <c r="B35" s="407">
        <v>0</v>
      </c>
      <c r="C35" s="411"/>
      <c r="D35" s="408" t="str">
        <f>$D$34&amp;G35</f>
        <v>MERC3.1</v>
      </c>
      <c r="E35" s="408" t="str">
        <f>$D$34</f>
        <v>MERC</v>
      </c>
      <c r="F35" s="408">
        <v>2</v>
      </c>
      <c r="G35" s="408">
        <v>3.1</v>
      </c>
      <c r="H35" s="543" t="s">
        <v>385</v>
      </c>
      <c r="I35" s="408"/>
      <c r="J35" s="408"/>
      <c r="K35" s="407" t="str">
        <f>"The indicator score is the weighted sum of the following sub-indicator scores:
"&amp;AE36&amp;"
"&amp;AE37&amp;"
"&amp;AE38&amp;"
"&amp;AE39&amp;""</f>
        <v>The indicator score is the weighted sum of the following sub-indicator scores:
3.1.1) 24.¿Cómo es el acceso del material reciclable?
3.1.2) 25.¿Existen esquemas formales de recolección diferenciada de residuos reciclables en el municipio que involucran a recicladores de base?
3.1.3) 26.¿Los recicladores tienen acceso a instalaciones para el almacenamiento y la clasificación de materiales?
3.1.4) 27.¿Cuál es el nivel de desarrollo técnico alcanzado en la clasificación (o pre-procesamiento) de materiales reciclables por parte de agrupaciones de recicladores?</v>
      </c>
      <c r="L35" s="408" t="str">
        <f t="shared" si="3"/>
        <v>The indicator score is the weighted sum of the following sub-indicator scores:
3.1.1) 24.¿Cómo es el acceso del material reciclable?
3.1.2) 25.¿Existen esquemas formales de recolección diferenciada de residuos reciclables en el municipio que involucran a recicladores de base?
3.1.3) 26.¿Los recicladores tienen acceso a instalaciones para el almacenamiento y la clasificación de materiales?
3.1.4) 27.¿Cuál es el nivel de desarrollo técnico alcanzado en la clasificación (o pre-procesamiento) de materiales reciclables por parte de agrupaciones de recicladores?</v>
      </c>
      <c r="M35" s="408"/>
      <c r="N35" s="408" t="s">
        <v>316</v>
      </c>
      <c r="O35" s="408"/>
      <c r="P35" s="408" t="str">
        <f t="shared" si="8"/>
        <v>The indicator score is the weighted sum of the following sub-indicator scores:
3.1.1) 24.¿Cómo es el acceso del material reciclable?
3.1.2) 25.¿Existen esquemas formales de recolección diferenciada de residuos reciclables en el municipio que involucran a recicladores de base?
3.1.3) 26.¿Los recicladores tienen acceso a instalaciones para el almacenamiento y la clasificación de materiales?
3.1.4) 27.¿Cuál es el nivel de desarrollo técnico alcanzado en la clasificación (o pre-procesamiento) de materiales reciclables por parte de agrupaciones de recicladores?</v>
      </c>
      <c r="Q35" s="408"/>
      <c r="R35" s="408"/>
      <c r="S35" s="408"/>
      <c r="T35" s="408"/>
      <c r="U35" s="408"/>
      <c r="V35" s="408" t="s">
        <v>94</v>
      </c>
      <c r="W35" s="408"/>
      <c r="X35" s="408"/>
      <c r="Y35" s="408" t="str">
        <f t="shared" si="4"/>
        <v/>
      </c>
      <c r="Z35" s="408">
        <v>1</v>
      </c>
      <c r="AA35" s="408" t="s">
        <v>670</v>
      </c>
      <c r="AB35" s="408"/>
      <c r="AC35" s="408">
        <f t="shared" si="10"/>
        <v>0.25</v>
      </c>
      <c r="AD35" s="408">
        <f t="shared" si="22"/>
        <v>0.25</v>
      </c>
      <c r="AE35" s="408" t="str">
        <f t="shared" si="11"/>
        <v>3.1) Condiciones de acceso y almacenamiento de residuos</v>
      </c>
      <c r="AF35" s="408" t="str">
        <f>$AE$34</f>
        <v>3) MERCADO</v>
      </c>
      <c r="AG35" s="405">
        <f>MATCH($D35,Weights!$C$8:$C$78,0)</f>
        <v>15</v>
      </c>
      <c r="AH35" s="405">
        <f>IF(ISERROR($AG35),1,INDEX(Weights!$G$8:$G$159,$AG35))</f>
        <v>1</v>
      </c>
      <c r="AI35" s="405">
        <f t="shared" ref="AI35:AI52" si="23">IF(ISERROR(AH35/SUMIF($E$2:$E$52,$E35,AH$2:AH$52)),0,AH35/SUMIF($E$2:$E$52,$E35,AH$2:AH$52))</f>
        <v>0.25</v>
      </c>
      <c r="AJ35" s="120"/>
      <c r="AK35" s="120"/>
      <c r="AL35" s="120"/>
      <c r="AM35" s="118"/>
      <c r="AN35" s="120"/>
      <c r="AO35" s="120"/>
    </row>
    <row r="36" spans="1:42" s="62" customFormat="1" ht="15" customHeight="1">
      <c r="A36" s="407">
        <v>35</v>
      </c>
      <c r="B36" s="407">
        <v>0</v>
      </c>
      <c r="C36" s="411">
        <v>24</v>
      </c>
      <c r="D36" s="408" t="str">
        <f t="shared" ref="D36:D52" si="24">$D$34&amp;G36</f>
        <v>MERC3.1.1</v>
      </c>
      <c r="E36" s="408" t="str">
        <f>$D$35</f>
        <v>MERC3.1</v>
      </c>
      <c r="F36" s="408">
        <v>3</v>
      </c>
      <c r="G36" s="408" t="s">
        <v>410</v>
      </c>
      <c r="H36" s="543" t="s">
        <v>2215</v>
      </c>
      <c r="I36" s="408" t="s">
        <v>386</v>
      </c>
      <c r="J36" s="408"/>
      <c r="K36" s="408"/>
      <c r="L36" s="408" t="str">
        <f t="shared" si="3"/>
        <v>24. ¿Cómo es el acceso del material reciclable?</v>
      </c>
      <c r="M36" s="408"/>
      <c r="N36" s="408" t="s">
        <v>316</v>
      </c>
      <c r="O36" s="408" t="s">
        <v>466</v>
      </c>
      <c r="P36" s="408" t="str">
        <f t="shared" si="8"/>
        <v xml:space="preserve">0= Prohibición total
1= Informal (vertedero o calle)
2= Recuperación en fuente
3= Contratos con municipalidad para proveer el servicio
</v>
      </c>
      <c r="Q36" s="408" t="s">
        <v>518</v>
      </c>
      <c r="R36" s="408" t="s">
        <v>502</v>
      </c>
      <c r="S36" s="408">
        <v>2016</v>
      </c>
      <c r="T36" s="408" t="s">
        <v>796</v>
      </c>
      <c r="U36" s="408" t="s">
        <v>249</v>
      </c>
      <c r="V36" s="408">
        <v>0</v>
      </c>
      <c r="W36" s="408"/>
      <c r="X36" s="408"/>
      <c r="Y36" s="408">
        <f t="shared" si="4"/>
        <v>0</v>
      </c>
      <c r="Z36" s="408">
        <v>3</v>
      </c>
      <c r="AA36" s="408">
        <v>0</v>
      </c>
      <c r="AB36" s="408">
        <v>3</v>
      </c>
      <c r="AC36" s="408">
        <f t="shared" si="10"/>
        <v>0.25</v>
      </c>
      <c r="AD36" s="408">
        <f t="shared" si="22"/>
        <v>0.25</v>
      </c>
      <c r="AE36" s="408" t="str">
        <f t="shared" si="11"/>
        <v>3.1.1) 24.¿Cómo es el acceso del material reciclable?</v>
      </c>
      <c r="AF36" s="408" t="str">
        <f>$AE$35</f>
        <v>3.1) Condiciones de acceso y almacenamiento de residuos</v>
      </c>
      <c r="AG36" s="405">
        <f>MATCH($D36,Weights!$C$8:$C$78,0)</f>
        <v>55</v>
      </c>
      <c r="AH36" s="405">
        <f>IF(ISERROR($AG36),1,INDEX(Weights!$G$8:$G$159,$AG36))</f>
        <v>1</v>
      </c>
      <c r="AI36" s="405">
        <f t="shared" si="23"/>
        <v>0.25</v>
      </c>
      <c r="AJ36" s="120"/>
      <c r="AK36" s="120"/>
      <c r="AL36" s="120"/>
      <c r="AM36" s="118"/>
      <c r="AN36" s="120"/>
      <c r="AO36" s="120"/>
    </row>
    <row r="37" spans="1:42" s="62" customFormat="1" ht="15" customHeight="1">
      <c r="A37" s="407">
        <v>36</v>
      </c>
      <c r="B37" s="407">
        <v>0</v>
      </c>
      <c r="C37" s="411">
        <v>25</v>
      </c>
      <c r="D37" s="408" t="str">
        <f t="shared" si="24"/>
        <v>MERC3.1.2</v>
      </c>
      <c r="E37" s="408" t="str">
        <f t="shared" ref="E37:E39" si="25">$D$35</f>
        <v>MERC3.1</v>
      </c>
      <c r="F37" s="408">
        <v>3</v>
      </c>
      <c r="G37" s="408" t="s">
        <v>411</v>
      </c>
      <c r="H37" s="543" t="s">
        <v>2216</v>
      </c>
      <c r="I37" s="408" t="s">
        <v>387</v>
      </c>
      <c r="J37" s="408"/>
      <c r="K37" s="408"/>
      <c r="L37" s="408" t="str">
        <f t="shared" si="3"/>
        <v>25. ¿Existen esquemas formales de recolección diferenciada de residuos reciclables en el municipio que involucran a recicladores de base?</v>
      </c>
      <c r="M37" s="408"/>
      <c r="N37" s="408" t="s">
        <v>316</v>
      </c>
      <c r="O37" s="408" t="s">
        <v>467</v>
      </c>
      <c r="P37" s="408" t="str">
        <f t="shared" si="8"/>
        <v xml:space="preserve">0= No existe recolección diferenciada
1= Existe recolección diferenciada pero no involucra a recicladores de base
2= Existe recolección diferenciada e involucra a recicladores de base 
</v>
      </c>
      <c r="Q37" s="408" t="s">
        <v>515</v>
      </c>
      <c r="R37" s="408" t="s">
        <v>503</v>
      </c>
      <c r="S37" s="408">
        <v>2016</v>
      </c>
      <c r="T37" s="408" t="s">
        <v>797</v>
      </c>
      <c r="U37" s="408" t="s">
        <v>249</v>
      </c>
      <c r="V37" s="408">
        <v>0</v>
      </c>
      <c r="W37" s="408"/>
      <c r="X37" s="408"/>
      <c r="Y37" s="408">
        <f t="shared" si="4"/>
        <v>0</v>
      </c>
      <c r="Z37" s="408">
        <v>3</v>
      </c>
      <c r="AA37" s="408">
        <v>0</v>
      </c>
      <c r="AB37" s="408">
        <v>2</v>
      </c>
      <c r="AC37" s="408">
        <f t="shared" si="10"/>
        <v>0.25</v>
      </c>
      <c r="AD37" s="408">
        <f t="shared" si="22"/>
        <v>0.25</v>
      </c>
      <c r="AE37" s="408" t="str">
        <f t="shared" si="11"/>
        <v>3.1.2) 25.¿Existen esquemas formales de recolección diferenciada de residuos reciclables en el municipio que involucran a recicladores de base?</v>
      </c>
      <c r="AF37" s="408" t="str">
        <f>$AE$35</f>
        <v>3.1) Condiciones de acceso y almacenamiento de residuos</v>
      </c>
      <c r="AG37" s="405">
        <f>MATCH($D37,Weights!$C$8:$C$78,0)</f>
        <v>56</v>
      </c>
      <c r="AH37" s="405">
        <f>IF(ISERROR($AG37),1,INDEX(Weights!$G$8:$G$159,$AG37))</f>
        <v>1</v>
      </c>
      <c r="AI37" s="405">
        <f t="shared" si="23"/>
        <v>0.25</v>
      </c>
      <c r="AJ37" s="120"/>
      <c r="AK37" s="120"/>
      <c r="AL37" s="120"/>
      <c r="AM37" s="118"/>
      <c r="AN37" s="120"/>
      <c r="AO37" s="120"/>
    </row>
    <row r="38" spans="1:42" s="62" customFormat="1" ht="15" customHeight="1">
      <c r="A38" s="407">
        <v>37</v>
      </c>
      <c r="B38" s="407">
        <v>0</v>
      </c>
      <c r="C38" s="411">
        <v>26</v>
      </c>
      <c r="D38" s="408" t="str">
        <f t="shared" si="24"/>
        <v>MERC3.1.3</v>
      </c>
      <c r="E38" s="408" t="str">
        <f t="shared" si="25"/>
        <v>MERC3.1</v>
      </c>
      <c r="F38" s="408">
        <v>3</v>
      </c>
      <c r="G38" s="408" t="s">
        <v>2206</v>
      </c>
      <c r="H38" s="543" t="s">
        <v>2217</v>
      </c>
      <c r="I38" s="408" t="s">
        <v>388</v>
      </c>
      <c r="J38" s="408"/>
      <c r="K38" s="408"/>
      <c r="L38" s="408" t="str">
        <f t="shared" si="3"/>
        <v>26. ¿Los recicladores tienen acceso a instalaciones para el almacenamiento y la clasificación de materiales?</v>
      </c>
      <c r="M38" s="408"/>
      <c r="N38" s="408" t="s">
        <v>316</v>
      </c>
      <c r="O38" s="408" t="s">
        <v>468</v>
      </c>
      <c r="P38" s="408" t="str">
        <f t="shared" si="8"/>
        <v xml:space="preserve">0= No, o los recicladores no participan en estos procesos
1= Sí
</v>
      </c>
      <c r="Q38" s="408" t="s">
        <v>516</v>
      </c>
      <c r="R38" s="408" t="s">
        <v>504</v>
      </c>
      <c r="S38" s="408">
        <v>2016</v>
      </c>
      <c r="T38" s="408" t="s">
        <v>798</v>
      </c>
      <c r="U38" s="408" t="s">
        <v>249</v>
      </c>
      <c r="V38" s="408">
        <v>0</v>
      </c>
      <c r="W38" s="408"/>
      <c r="X38" s="408"/>
      <c r="Y38" s="408">
        <f t="shared" si="4"/>
        <v>0</v>
      </c>
      <c r="Z38" s="408">
        <v>3</v>
      </c>
      <c r="AA38" s="408">
        <v>0</v>
      </c>
      <c r="AB38" s="408">
        <v>1</v>
      </c>
      <c r="AC38" s="408">
        <f t="shared" si="10"/>
        <v>0.25</v>
      </c>
      <c r="AD38" s="408">
        <f t="shared" si="22"/>
        <v>0.25</v>
      </c>
      <c r="AE38" s="408" t="str">
        <f t="shared" si="11"/>
        <v>3.1.3) 26.¿Los recicladores tienen acceso a instalaciones para el almacenamiento y la clasificación de materiales?</v>
      </c>
      <c r="AF38" s="408" t="str">
        <f>$AE$35</f>
        <v>3.1) Condiciones de acceso y almacenamiento de residuos</v>
      </c>
      <c r="AG38" s="405">
        <f>MATCH($D38,Weights!$C$8:$C$78,0)</f>
        <v>57</v>
      </c>
      <c r="AH38" s="405">
        <f>IF(ISERROR($AG38),1,INDEX(Weights!$G$8:$G$159,$AG38))</f>
        <v>1</v>
      </c>
      <c r="AI38" s="405">
        <f t="shared" si="23"/>
        <v>0.25</v>
      </c>
      <c r="AJ38" s="120"/>
      <c r="AK38" s="120"/>
      <c r="AL38" s="120"/>
      <c r="AM38" s="118"/>
      <c r="AN38" s="120"/>
      <c r="AO38" s="120"/>
    </row>
    <row r="39" spans="1:42" s="62" customFormat="1" ht="15" customHeight="1">
      <c r="A39" s="407">
        <v>38</v>
      </c>
      <c r="B39" s="407">
        <v>0</v>
      </c>
      <c r="C39" s="411">
        <v>27</v>
      </c>
      <c r="D39" s="408" t="str">
        <f t="shared" si="24"/>
        <v>MERC3.1.4</v>
      </c>
      <c r="E39" s="408" t="str">
        <f t="shared" si="25"/>
        <v>MERC3.1</v>
      </c>
      <c r="F39" s="408">
        <v>3</v>
      </c>
      <c r="G39" s="408" t="s">
        <v>2207</v>
      </c>
      <c r="H39" s="543" t="s">
        <v>2218</v>
      </c>
      <c r="I39" s="408" t="s">
        <v>389</v>
      </c>
      <c r="J39" s="408"/>
      <c r="K39" s="408"/>
      <c r="L39" s="408" t="str">
        <f t="shared" si="3"/>
        <v>27. ¿Cuál es el nivel de desarrollo técnico alcanzado en la clasificación (o pre-procesamiento) de materiales reciclables por parte de agrupaciones de recicladores?</v>
      </c>
      <c r="M39" s="408"/>
      <c r="N39" s="408" t="s">
        <v>316</v>
      </c>
      <c r="O39" s="408" t="s">
        <v>469</v>
      </c>
      <c r="P39" s="408" t="str">
        <f t="shared" si="8"/>
        <v xml:space="preserve">0= Bajo, o los recicladores no participan en estos procesos
1= Medio
2= Alto
</v>
      </c>
      <c r="Q39" s="408" t="s">
        <v>515</v>
      </c>
      <c r="R39" s="408" t="s">
        <v>502</v>
      </c>
      <c r="S39" s="408">
        <v>2016</v>
      </c>
      <c r="T39" s="408" t="s">
        <v>799</v>
      </c>
      <c r="U39" s="408" t="s">
        <v>249</v>
      </c>
      <c r="V39" s="408">
        <v>0</v>
      </c>
      <c r="W39" s="408"/>
      <c r="X39" s="408"/>
      <c r="Y39" s="408">
        <f t="shared" si="4"/>
        <v>0</v>
      </c>
      <c r="Z39" s="408">
        <v>3</v>
      </c>
      <c r="AA39" s="408">
        <v>0</v>
      </c>
      <c r="AB39" s="408">
        <v>2</v>
      </c>
      <c r="AC39" s="408">
        <f t="shared" si="10"/>
        <v>0.25</v>
      </c>
      <c r="AD39" s="408">
        <f t="shared" si="22"/>
        <v>0.25</v>
      </c>
      <c r="AE39" s="408" t="str">
        <f t="shared" si="11"/>
        <v>3.1.4) 27.¿Cuál es el nivel de desarrollo técnico alcanzado en la clasificación (o pre-procesamiento) de materiales reciclables por parte de agrupaciones de recicladores?</v>
      </c>
      <c r="AF39" s="408" t="str">
        <f>$AE$35</f>
        <v>3.1) Condiciones de acceso y almacenamiento de residuos</v>
      </c>
      <c r="AG39" s="405">
        <f>MATCH($D39,Weights!$C$8:$C$78,0)</f>
        <v>58</v>
      </c>
      <c r="AH39" s="405">
        <f>IF(ISERROR($AG39),1,INDEX(Weights!$G$8:$G$159,$AG39))</f>
        <v>1</v>
      </c>
      <c r="AI39" s="405">
        <f t="shared" si="23"/>
        <v>0.25</v>
      </c>
      <c r="AJ39" s="120"/>
      <c r="AK39" s="120"/>
      <c r="AL39" s="120"/>
      <c r="AM39" s="118"/>
      <c r="AN39" s="120"/>
      <c r="AO39" s="120"/>
    </row>
    <row r="40" spans="1:42" s="62" customFormat="1" ht="15" customHeight="1">
      <c r="A40" s="407">
        <v>39</v>
      </c>
      <c r="B40" s="407">
        <v>0</v>
      </c>
      <c r="C40" s="411"/>
      <c r="D40" s="408" t="str">
        <f t="shared" si="24"/>
        <v>MERC3.2</v>
      </c>
      <c r="E40" s="408" t="str">
        <f>$D$34</f>
        <v>MERC</v>
      </c>
      <c r="F40" s="408">
        <v>2</v>
      </c>
      <c r="G40" s="408">
        <v>3.2</v>
      </c>
      <c r="H40" s="543" t="s">
        <v>390</v>
      </c>
      <c r="I40" s="408"/>
      <c r="J40" s="408"/>
      <c r="K40" s="407" t="str">
        <f>"The indicator score is the weighted sum of the following sub-indicator scores:
"&amp;AE41&amp;"
"&amp;AE42&amp;""</f>
        <v>The indicator score is the weighted sum of the following sub-indicator scores:
3.2.1) 28.¿Cuál es la diferencia de valor del material en los diferentes eslabones de la cadena del reciclaje?
3.2.2) 29.¿Cuál es el nivel de desarrollo de la industria transformadora a nivel nacional?</v>
      </c>
      <c r="L40" s="408" t="str">
        <f t="shared" si="3"/>
        <v>The indicator score is the weighted sum of the following sub-indicator scores:
3.2.1) 28.¿Cuál es la diferencia de valor del material en los diferentes eslabones de la cadena del reciclaje?
3.2.2) 29.¿Cuál es el nivel de desarrollo de la industria transformadora a nivel nacional?</v>
      </c>
      <c r="M40" s="408"/>
      <c r="N40" s="408" t="s">
        <v>316</v>
      </c>
      <c r="O40" s="408"/>
      <c r="P40" s="408" t="str">
        <f t="shared" si="8"/>
        <v>The indicator score is the weighted sum of the following sub-indicator scores:
3.2.1) 28.¿Cuál es la diferencia de valor del material en los diferentes eslabones de la cadena del reciclaje?
3.2.2) 29.¿Cuál es el nivel de desarrollo de la industria transformadora a nivel nacional?</v>
      </c>
      <c r="Q40" s="408"/>
      <c r="R40" s="408"/>
      <c r="S40" s="408"/>
      <c r="T40" s="408"/>
      <c r="U40" s="408"/>
      <c r="V40" s="408" t="s">
        <v>94</v>
      </c>
      <c r="W40" s="408"/>
      <c r="X40" s="408"/>
      <c r="Y40" s="408" t="str">
        <f t="shared" si="4"/>
        <v/>
      </c>
      <c r="Z40" s="408">
        <v>1</v>
      </c>
      <c r="AA40" s="408" t="s">
        <v>670</v>
      </c>
      <c r="AB40" s="408"/>
      <c r="AC40" s="408">
        <f t="shared" si="10"/>
        <v>0.25</v>
      </c>
      <c r="AD40" s="408">
        <f t="shared" si="22"/>
        <v>0.25</v>
      </c>
      <c r="AE40" s="408" t="str">
        <f t="shared" si="11"/>
        <v>3.2) Condiciones para la comercialización de material reciclable</v>
      </c>
      <c r="AF40" s="408" t="str">
        <f>$AE$34</f>
        <v>3) MERCADO</v>
      </c>
      <c r="AG40" s="405">
        <f>MATCH($D40,Weights!$C$8:$C$78,0)</f>
        <v>16</v>
      </c>
      <c r="AH40" s="405">
        <f>IF(ISERROR($AG40),1,INDEX(Weights!$G$8:$G$159,$AG40))</f>
        <v>1</v>
      </c>
      <c r="AI40" s="405">
        <f t="shared" si="23"/>
        <v>0.25</v>
      </c>
      <c r="AJ40" s="120"/>
      <c r="AK40" s="120"/>
      <c r="AL40" s="120"/>
      <c r="AM40" s="118"/>
      <c r="AN40" s="120"/>
      <c r="AO40" s="120"/>
    </row>
    <row r="41" spans="1:42" s="62" customFormat="1" ht="15" customHeight="1">
      <c r="A41" s="407">
        <v>40</v>
      </c>
      <c r="B41" s="407">
        <v>0</v>
      </c>
      <c r="C41" s="411">
        <v>28</v>
      </c>
      <c r="D41" s="408" t="str">
        <f t="shared" si="24"/>
        <v>MERC3.2.1</v>
      </c>
      <c r="E41" s="408" t="str">
        <f>$D$40</f>
        <v>MERC3.2</v>
      </c>
      <c r="F41" s="408">
        <v>3</v>
      </c>
      <c r="G41" s="408" t="s">
        <v>412</v>
      </c>
      <c r="H41" s="543" t="s">
        <v>2219</v>
      </c>
      <c r="I41" s="408" t="s">
        <v>391</v>
      </c>
      <c r="J41" s="408"/>
      <c r="K41" s="408"/>
      <c r="L41" s="408" t="str">
        <f t="shared" si="3"/>
        <v>28. ¿Cuál es la diferencia de valor del material en los diferentes eslabones de la cadena del reciclaje?</v>
      </c>
      <c r="M41" s="408"/>
      <c r="N41" s="408" t="s">
        <v>316</v>
      </c>
      <c r="O41" s="408" t="s">
        <v>470</v>
      </c>
      <c r="P41" s="408" t="str">
        <f t="shared" si="8"/>
        <v xml:space="preserve">Ratio del valor de compra de una unidad (1 kg) de PET, papel, cartón o aluminio en centros de acopio-clasificación/valor de compra de la misma unidad en un establecimiento de pre-procesamiento*. </v>
      </c>
      <c r="Q41" s="408" t="s">
        <v>519</v>
      </c>
      <c r="R41" s="408" t="s">
        <v>505</v>
      </c>
      <c r="S41" s="408">
        <v>2016</v>
      </c>
      <c r="T41" s="408" t="s">
        <v>800</v>
      </c>
      <c r="U41" s="408" t="s">
        <v>2169</v>
      </c>
      <c r="V41" s="408" t="s">
        <v>94</v>
      </c>
      <c r="W41" s="408"/>
      <c r="X41" s="408"/>
      <c r="Y41" s="408">
        <f t="shared" si="4"/>
        <v>1</v>
      </c>
      <c r="Z41" s="408">
        <v>2</v>
      </c>
      <c r="AA41" s="408" t="s">
        <v>670</v>
      </c>
      <c r="AB41" s="408"/>
      <c r="AC41" s="408">
        <f t="shared" si="10"/>
        <v>0.5</v>
      </c>
      <c r="AD41" s="408">
        <f t="shared" si="22"/>
        <v>0.5</v>
      </c>
      <c r="AE41" s="408" t="str">
        <f t="shared" si="11"/>
        <v>3.2.1) 28.¿Cuál es la diferencia de valor del material en los diferentes eslabones de la cadena del reciclaje?</v>
      </c>
      <c r="AF41" s="408" t="str">
        <f>$AE$40</f>
        <v>3.2) Condiciones para la comercialización de material reciclable</v>
      </c>
      <c r="AG41" s="405">
        <f>MATCH($D41,Weights!$C$8:$C$78,0)</f>
        <v>60</v>
      </c>
      <c r="AH41" s="405">
        <f>IF(ISERROR($AG41),1,INDEX(Weights!$G$8:$G$159,$AG41))</f>
        <v>1</v>
      </c>
      <c r="AI41" s="405">
        <f t="shared" si="23"/>
        <v>0.5</v>
      </c>
      <c r="AJ41" s="120"/>
      <c r="AK41" s="120"/>
      <c r="AL41" s="120"/>
      <c r="AM41" s="118"/>
      <c r="AN41" s="120"/>
      <c r="AO41" s="120"/>
    </row>
    <row r="42" spans="1:42" s="62" customFormat="1" ht="15" customHeight="1">
      <c r="A42" s="407">
        <v>41</v>
      </c>
      <c r="B42" s="407">
        <v>0</v>
      </c>
      <c r="C42" s="411">
        <v>29</v>
      </c>
      <c r="D42" s="408" t="str">
        <f t="shared" si="24"/>
        <v>MERC3.2.2</v>
      </c>
      <c r="E42" s="408" t="str">
        <f>$D$40</f>
        <v>MERC3.2</v>
      </c>
      <c r="F42" s="408">
        <v>3</v>
      </c>
      <c r="G42" s="408" t="s">
        <v>2208</v>
      </c>
      <c r="H42" s="543" t="s">
        <v>2220</v>
      </c>
      <c r="I42" s="408" t="s">
        <v>392</v>
      </c>
      <c r="J42" s="408"/>
      <c r="K42" s="408"/>
      <c r="L42" s="408" t="str">
        <f t="shared" si="3"/>
        <v>29. ¿Cuál es el nivel de desarrollo de la industria transformadora a nivel nacional?</v>
      </c>
      <c r="M42" s="408"/>
      <c r="N42" s="408" t="s">
        <v>316</v>
      </c>
      <c r="O42" s="408" t="s">
        <v>471</v>
      </c>
      <c r="P42" s="408" t="str">
        <f t="shared" si="8"/>
        <v xml:space="preserve">0= No existen plantas industriales de transformación en el país 
1= Existen plantes industriales para 1 o 2 materiales
2= Existen plantas industriales para 3 materiales
3= Existen plantas industriales para todos los materiales 
</v>
      </c>
      <c r="Q42" s="408" t="s">
        <v>518</v>
      </c>
      <c r="R42" s="408" t="s">
        <v>506</v>
      </c>
      <c r="S42" s="408">
        <v>2016</v>
      </c>
      <c r="T42" s="408" t="s">
        <v>801</v>
      </c>
      <c r="U42" s="408" t="s">
        <v>249</v>
      </c>
      <c r="V42" s="408">
        <v>0</v>
      </c>
      <c r="W42" s="408"/>
      <c r="X42" s="408"/>
      <c r="Y42" s="408">
        <f t="shared" si="4"/>
        <v>0</v>
      </c>
      <c r="Z42" s="408">
        <v>3</v>
      </c>
      <c r="AA42" s="408">
        <v>0</v>
      </c>
      <c r="AB42" s="408">
        <v>3</v>
      </c>
      <c r="AC42" s="408">
        <f t="shared" si="10"/>
        <v>0.5</v>
      </c>
      <c r="AD42" s="408">
        <f t="shared" si="22"/>
        <v>0.5</v>
      </c>
      <c r="AE42" s="408" t="str">
        <f t="shared" si="11"/>
        <v>3.2.2) 29.¿Cuál es el nivel de desarrollo de la industria transformadora a nivel nacional?</v>
      </c>
      <c r="AF42" s="408" t="str">
        <f>$AE$40</f>
        <v>3.2) Condiciones para la comercialización de material reciclable</v>
      </c>
      <c r="AG42" s="405">
        <f>MATCH($D42,Weights!$C$8:$C$78,0)</f>
        <v>61</v>
      </c>
      <c r="AH42" s="405">
        <f>IF(ISERROR($AG42),1,INDEX(Weights!$G$8:$G$159,$AG42))</f>
        <v>1</v>
      </c>
      <c r="AI42" s="405">
        <f t="shared" si="23"/>
        <v>0.5</v>
      </c>
      <c r="AJ42" s="120"/>
      <c r="AK42" s="120"/>
      <c r="AL42" s="120"/>
      <c r="AM42" s="118"/>
      <c r="AN42" s="120"/>
      <c r="AO42" s="120"/>
    </row>
    <row r="43" spans="1:42" s="62" customFormat="1" ht="15" customHeight="1">
      <c r="A43" s="407">
        <v>42</v>
      </c>
      <c r="B43" s="407">
        <v>0</v>
      </c>
      <c r="C43" s="411"/>
      <c r="D43" s="408" t="str">
        <f t="shared" si="24"/>
        <v>MERC3.3</v>
      </c>
      <c r="E43" s="408" t="str">
        <f>$D$34</f>
        <v>MERC</v>
      </c>
      <c r="F43" s="408">
        <v>2</v>
      </c>
      <c r="G43" s="408">
        <v>3.3</v>
      </c>
      <c r="H43" s="543" t="s">
        <v>393</v>
      </c>
      <c r="I43" s="408"/>
      <c r="J43" s="408"/>
      <c r="K43" s="407" t="str">
        <f>"The indicator score is the weighted sum of the following sub-indicator scores:
"&amp;AE44&amp;"
"&amp;AE45&amp;"
"&amp;AE46&amp;"
"&amp;AE47&amp;""</f>
        <v>The indicator score is the weighted sum of the following sub-indicator scores:
3.3.1) 30.¿Se permite la contratación con agrupaciones de recicladores de base en el sistema de gestión de residuos del municipio?
3.3.2) 31.¿Existen mecanismos de pago periódico fijo para los recicladores de base por servicios prestados?
3.3.3) 32.¿Existen programas de diversificación de los servicios prestados por recicladores?
3.3.4) 33. Ingreso promedio de los recicladores con respecto al salario mínimo nacional</v>
      </c>
      <c r="L43" s="408" t="str">
        <f t="shared" si="3"/>
        <v>The indicator score is the weighted sum of the following sub-indicator scores:
3.3.1) 30.¿Se permite la contratación con agrupaciones de recicladores de base en el sistema de gestión de residuos del municipio?
3.3.2) 31.¿Existen mecanismos de pago periódico fijo para los recicladores de base por servicios prestados?
3.3.3) 32.¿Existen programas de diversificación de los servicios prestados por recicladores?
3.3.4) 33. Ingreso promedio de los recicladores con respecto al salario mínimo nacional</v>
      </c>
      <c r="M43" s="408"/>
      <c r="N43" s="408" t="s">
        <v>316</v>
      </c>
      <c r="O43" s="408"/>
      <c r="P43" s="408" t="str">
        <f t="shared" si="8"/>
        <v>The indicator score is the weighted sum of the following sub-indicator scores:
3.3.1) 30.¿Se permite la contratación con agrupaciones de recicladores de base en el sistema de gestión de residuos del municipio?
3.3.2) 31.¿Existen mecanismos de pago periódico fijo para los recicladores de base por servicios prestados?
3.3.3) 32.¿Existen programas de diversificación de los servicios prestados por recicladores?
3.3.4) 33. Ingreso promedio de los recicladores con respecto al salario mínimo nacional</v>
      </c>
      <c r="Q43" s="408"/>
      <c r="R43" s="408"/>
      <c r="S43" s="408"/>
      <c r="T43" s="408"/>
      <c r="U43" s="408"/>
      <c r="V43" s="408" t="s">
        <v>94</v>
      </c>
      <c r="W43" s="408"/>
      <c r="X43" s="408"/>
      <c r="Y43" s="408" t="str">
        <f t="shared" si="4"/>
        <v/>
      </c>
      <c r="Z43" s="408">
        <v>1</v>
      </c>
      <c r="AA43" s="408" t="s">
        <v>670</v>
      </c>
      <c r="AB43" s="408"/>
      <c r="AC43" s="408">
        <f t="shared" si="10"/>
        <v>0.25</v>
      </c>
      <c r="AD43" s="408">
        <f t="shared" si="22"/>
        <v>0.25</v>
      </c>
      <c r="AE43" s="408" t="str">
        <f t="shared" si="11"/>
        <v>3.3) Ingreso de los recicladores de base</v>
      </c>
      <c r="AF43" s="408" t="str">
        <f>$AE$34</f>
        <v>3) MERCADO</v>
      </c>
      <c r="AG43" s="405">
        <f>MATCH($D43,Weights!$C$8:$C$78,0)</f>
        <v>17</v>
      </c>
      <c r="AH43" s="405">
        <f>IF(ISERROR($AG43),1,INDEX(Weights!$G$8:$G$159,$AG43))</f>
        <v>1</v>
      </c>
      <c r="AI43" s="405">
        <f t="shared" si="23"/>
        <v>0.25</v>
      </c>
      <c r="AJ43" s="120"/>
      <c r="AK43" s="120"/>
      <c r="AL43" s="120"/>
      <c r="AM43" s="118"/>
      <c r="AN43" s="120"/>
      <c r="AO43" s="120"/>
    </row>
    <row r="44" spans="1:42" s="62" customFormat="1" ht="15" customHeight="1">
      <c r="A44" s="407">
        <v>43</v>
      </c>
      <c r="B44" s="407">
        <v>0</v>
      </c>
      <c r="C44" s="411">
        <v>30</v>
      </c>
      <c r="D44" s="408" t="str">
        <f t="shared" si="24"/>
        <v>MERC3.3.1</v>
      </c>
      <c r="E44" s="408" t="str">
        <f>$D$43</f>
        <v>MERC3.3</v>
      </c>
      <c r="F44" s="408">
        <v>3</v>
      </c>
      <c r="G44" s="408" t="s">
        <v>413</v>
      </c>
      <c r="H44" s="543" t="s">
        <v>2221</v>
      </c>
      <c r="I44" s="408" t="s">
        <v>394</v>
      </c>
      <c r="J44" s="408"/>
      <c r="K44" s="408"/>
      <c r="L44" s="408" t="str">
        <f t="shared" si="3"/>
        <v>30. ¿Se permite la contratación con agrupaciones de recicladores de base en el sistema de gestión de residuos del municipio?</v>
      </c>
      <c r="M44" s="408"/>
      <c r="N44" s="408" t="s">
        <v>316</v>
      </c>
      <c r="O44" s="408" t="s">
        <v>472</v>
      </c>
      <c r="P44" s="408" t="str">
        <f t="shared" si="8"/>
        <v xml:space="preserve">0= No
1= Si, pero no se aplica
2= Si y se evidencia en contratos asignados con organizaciones de recicladores vigentes
</v>
      </c>
      <c r="Q44" s="408" t="s">
        <v>515</v>
      </c>
      <c r="R44" s="408" t="s">
        <v>507</v>
      </c>
      <c r="S44" s="408">
        <v>2016</v>
      </c>
      <c r="T44" s="408" t="s">
        <v>802</v>
      </c>
      <c r="U44" s="408" t="s">
        <v>249</v>
      </c>
      <c r="V44" s="408">
        <v>0</v>
      </c>
      <c r="W44" s="408"/>
      <c r="X44" s="408"/>
      <c r="Y44" s="408">
        <f t="shared" si="4"/>
        <v>0</v>
      </c>
      <c r="Z44" s="408">
        <v>3</v>
      </c>
      <c r="AA44" s="408">
        <v>0</v>
      </c>
      <c r="AB44" s="408">
        <v>2</v>
      </c>
      <c r="AC44" s="408">
        <f t="shared" si="10"/>
        <v>0.25</v>
      </c>
      <c r="AD44" s="408">
        <f t="shared" si="22"/>
        <v>0.25</v>
      </c>
      <c r="AE44" s="408" t="str">
        <f t="shared" si="11"/>
        <v>3.3.1) 30.¿Se permite la contratación con agrupaciones de recicladores de base en el sistema de gestión de residuos del municipio?</v>
      </c>
      <c r="AF44" s="408" t="str">
        <f>$AE$43</f>
        <v>3.3) Ingreso de los recicladores de base</v>
      </c>
      <c r="AG44" s="405">
        <f>MATCH($D44,Weights!$C$8:$C$78,0)</f>
        <v>63</v>
      </c>
      <c r="AH44" s="405">
        <f>IF(ISERROR($AG44),1,INDEX(Weights!$G$8:$G$159,$AG44))</f>
        <v>1</v>
      </c>
      <c r="AI44" s="405">
        <f t="shared" si="23"/>
        <v>0.25</v>
      </c>
      <c r="AJ44" s="120"/>
      <c r="AK44" s="120"/>
      <c r="AL44" s="120"/>
      <c r="AM44" s="118"/>
      <c r="AN44" s="120"/>
      <c r="AO44" s="120"/>
    </row>
    <row r="45" spans="1:42" s="62" customFormat="1" ht="15" customHeight="1">
      <c r="A45" s="407">
        <v>44</v>
      </c>
      <c r="B45" s="407">
        <v>0</v>
      </c>
      <c r="C45" s="411">
        <v>31</v>
      </c>
      <c r="D45" s="408" t="str">
        <f t="shared" si="24"/>
        <v>MERC3.3.2</v>
      </c>
      <c r="E45" s="408" t="str">
        <f t="shared" ref="E45:E47" si="26">$D$43</f>
        <v>MERC3.3</v>
      </c>
      <c r="F45" s="408">
        <v>3</v>
      </c>
      <c r="G45" s="408" t="s">
        <v>2209</v>
      </c>
      <c r="H45" s="543" t="s">
        <v>2222</v>
      </c>
      <c r="I45" s="408" t="s">
        <v>395</v>
      </c>
      <c r="J45" s="408"/>
      <c r="K45" s="408"/>
      <c r="L45" s="408" t="str">
        <f t="shared" si="3"/>
        <v>31. ¿Existen mecanismos de pago periódico fijo para los recicladores de base por servicios prestados?</v>
      </c>
      <c r="M45" s="408"/>
      <c r="N45" s="408" t="s">
        <v>316</v>
      </c>
      <c r="O45" s="408" t="s">
        <v>473</v>
      </c>
      <c r="P45" s="408" t="str">
        <f t="shared" si="8"/>
        <v xml:space="preserve">0= No
1= Si
</v>
      </c>
      <c r="Q45" s="408" t="s">
        <v>516</v>
      </c>
      <c r="R45" s="408" t="s">
        <v>508</v>
      </c>
      <c r="S45" s="408">
        <v>2016</v>
      </c>
      <c r="T45" s="408" t="s">
        <v>803</v>
      </c>
      <c r="U45" s="408" t="s">
        <v>249</v>
      </c>
      <c r="V45" s="408">
        <v>0</v>
      </c>
      <c r="W45" s="408"/>
      <c r="X45" s="408"/>
      <c r="Y45" s="408">
        <f t="shared" si="4"/>
        <v>0</v>
      </c>
      <c r="Z45" s="408">
        <v>3</v>
      </c>
      <c r="AA45" s="408">
        <v>0</v>
      </c>
      <c r="AB45" s="408">
        <v>1</v>
      </c>
      <c r="AC45" s="408">
        <f t="shared" si="10"/>
        <v>0.25</v>
      </c>
      <c r="AD45" s="408">
        <f t="shared" si="22"/>
        <v>0.25</v>
      </c>
      <c r="AE45" s="408" t="str">
        <f t="shared" si="11"/>
        <v>3.3.2) 31.¿Existen mecanismos de pago periódico fijo para los recicladores de base por servicios prestados?</v>
      </c>
      <c r="AF45" s="408" t="str">
        <f>$AE$43</f>
        <v>3.3) Ingreso de los recicladores de base</v>
      </c>
      <c r="AG45" s="405">
        <f>MATCH($D45,Weights!$C$8:$C$78,0)</f>
        <v>64</v>
      </c>
      <c r="AH45" s="405">
        <f>IF(ISERROR($AG45),1,INDEX(Weights!$G$8:$G$159,$AG45))</f>
        <v>1</v>
      </c>
      <c r="AI45" s="405">
        <f t="shared" si="23"/>
        <v>0.25</v>
      </c>
      <c r="AJ45" s="120"/>
      <c r="AK45" s="120"/>
      <c r="AL45" s="120"/>
      <c r="AM45" s="118"/>
      <c r="AN45" s="120"/>
      <c r="AO45" s="120"/>
    </row>
    <row r="46" spans="1:42" s="62" customFormat="1" ht="15" customHeight="1">
      <c r="A46" s="407">
        <v>45</v>
      </c>
      <c r="B46" s="407">
        <v>0</v>
      </c>
      <c r="C46" s="411">
        <v>32</v>
      </c>
      <c r="D46" s="408" t="str">
        <f t="shared" si="24"/>
        <v>MERC3.3.3</v>
      </c>
      <c r="E46" s="408" t="str">
        <f t="shared" si="26"/>
        <v>MERC3.3</v>
      </c>
      <c r="F46" s="408">
        <v>3</v>
      </c>
      <c r="G46" s="408" t="s">
        <v>2210</v>
      </c>
      <c r="H46" s="543" t="s">
        <v>2223</v>
      </c>
      <c r="I46" s="408" t="s">
        <v>396</v>
      </c>
      <c r="J46" s="408"/>
      <c r="K46" s="408"/>
      <c r="L46" s="408" t="str">
        <f t="shared" si="3"/>
        <v>32. ¿Existen programas de diversificación de los servicios prestados por recicladores?</v>
      </c>
      <c r="M46" s="408"/>
      <c r="N46" s="408" t="s">
        <v>316</v>
      </c>
      <c r="O46" s="408" t="s">
        <v>473</v>
      </c>
      <c r="P46" s="408" t="str">
        <f t="shared" si="8"/>
        <v xml:space="preserve">0= No
1= Si
</v>
      </c>
      <c r="Q46" s="408" t="s">
        <v>516</v>
      </c>
      <c r="R46" s="408" t="s">
        <v>507</v>
      </c>
      <c r="S46" s="408">
        <v>2016</v>
      </c>
      <c r="T46" s="408" t="s">
        <v>804</v>
      </c>
      <c r="U46" s="408" t="s">
        <v>249</v>
      </c>
      <c r="V46" s="408">
        <v>0</v>
      </c>
      <c r="W46" s="408"/>
      <c r="X46" s="408"/>
      <c r="Y46" s="408">
        <f t="shared" si="4"/>
        <v>0</v>
      </c>
      <c r="Z46" s="408">
        <v>3</v>
      </c>
      <c r="AA46" s="408">
        <v>0</v>
      </c>
      <c r="AB46" s="408">
        <v>1</v>
      </c>
      <c r="AC46" s="408">
        <f t="shared" si="10"/>
        <v>0.25</v>
      </c>
      <c r="AD46" s="408">
        <f t="shared" si="22"/>
        <v>0.25</v>
      </c>
      <c r="AE46" s="408" t="str">
        <f t="shared" si="11"/>
        <v>3.3.3) 32.¿Existen programas de diversificación de los servicios prestados por recicladores?</v>
      </c>
      <c r="AF46" s="408" t="str">
        <f>$AE$43</f>
        <v>3.3) Ingreso de los recicladores de base</v>
      </c>
      <c r="AG46" s="405">
        <f>MATCH($D46,Weights!$C$8:$C$78,0)</f>
        <v>65</v>
      </c>
      <c r="AH46" s="405">
        <f>IF(ISERROR($AG46),1,INDEX(Weights!$G$8:$G$159,$AG46))</f>
        <v>1</v>
      </c>
      <c r="AI46" s="405">
        <f t="shared" si="23"/>
        <v>0.25</v>
      </c>
      <c r="AJ46" s="120"/>
      <c r="AK46" s="120"/>
      <c r="AL46" s="120"/>
      <c r="AM46" s="118"/>
      <c r="AN46" s="120"/>
      <c r="AO46" s="120"/>
    </row>
    <row r="47" spans="1:42" s="62" customFormat="1" ht="15" customHeight="1">
      <c r="A47" s="407">
        <v>46</v>
      </c>
      <c r="B47" s="407">
        <v>0</v>
      </c>
      <c r="C47" s="411">
        <v>33</v>
      </c>
      <c r="D47" s="408" t="str">
        <f t="shared" si="24"/>
        <v>MERC3.3.4</v>
      </c>
      <c r="E47" s="408" t="str">
        <f t="shared" si="26"/>
        <v>MERC3.3</v>
      </c>
      <c r="F47" s="408">
        <v>3</v>
      </c>
      <c r="G47" s="408" t="s">
        <v>2211</v>
      </c>
      <c r="H47" s="543" t="s">
        <v>397</v>
      </c>
      <c r="I47" s="408" t="s">
        <v>397</v>
      </c>
      <c r="J47" s="408"/>
      <c r="K47" s="408"/>
      <c r="L47" s="408" t="str">
        <f t="shared" si="3"/>
        <v>33. Ingreso promedio de los recicladores con respecto al salario mínimo nacional</v>
      </c>
      <c r="M47" s="408"/>
      <c r="N47" s="408" t="s">
        <v>316</v>
      </c>
      <c r="O47" s="408" t="s">
        <v>474</v>
      </c>
      <c r="P47" s="408" t="str">
        <f t="shared" si="8"/>
        <v>% entre ingreso promedio / Salario mínimo nacional</v>
      </c>
      <c r="Q47" s="408" t="s">
        <v>242</v>
      </c>
      <c r="R47" s="408" t="s">
        <v>509</v>
      </c>
      <c r="S47" s="408">
        <v>2016</v>
      </c>
      <c r="T47" s="408" t="s">
        <v>805</v>
      </c>
      <c r="U47" s="408" t="s">
        <v>249</v>
      </c>
      <c r="V47" s="418" t="s">
        <v>94</v>
      </c>
      <c r="W47" s="408"/>
      <c r="X47" s="408"/>
      <c r="Y47" s="408">
        <f t="shared" si="4"/>
        <v>0</v>
      </c>
      <c r="Z47" s="408">
        <v>2</v>
      </c>
      <c r="AA47" s="408" t="s">
        <v>670</v>
      </c>
      <c r="AB47" s="408"/>
      <c r="AC47" s="408">
        <f t="shared" si="10"/>
        <v>0.25</v>
      </c>
      <c r="AD47" s="408">
        <f t="shared" si="22"/>
        <v>0.25</v>
      </c>
      <c r="AE47" s="408" t="str">
        <f t="shared" si="11"/>
        <v>3.3.4) 33. Ingreso promedio de los recicladores con respecto al salario mínimo nacional</v>
      </c>
      <c r="AF47" s="408" t="str">
        <f>$AE$43</f>
        <v>3.3) Ingreso de los recicladores de base</v>
      </c>
      <c r="AG47" s="405">
        <f>MATCH($D47,Weights!$C$8:$C$78,0)</f>
        <v>66</v>
      </c>
      <c r="AH47" s="405">
        <f>IF(ISERROR($AG47),1,INDEX(Weights!$G$8:$G$159,$AG47))</f>
        <v>1</v>
      </c>
      <c r="AI47" s="405">
        <f t="shared" si="23"/>
        <v>0.25</v>
      </c>
      <c r="AJ47" s="120"/>
      <c r="AK47" s="120"/>
      <c r="AL47" s="120"/>
      <c r="AM47" s="118"/>
      <c r="AN47" s="120"/>
      <c r="AO47" s="120"/>
    </row>
    <row r="48" spans="1:42" s="62" customFormat="1" ht="15" customHeight="1">
      <c r="A48" s="407">
        <v>47</v>
      </c>
      <c r="B48" s="407">
        <v>0</v>
      </c>
      <c r="C48" s="411"/>
      <c r="D48" s="408" t="str">
        <f t="shared" si="24"/>
        <v>MERC3.4</v>
      </c>
      <c r="E48" s="408" t="str">
        <f>$D$34</f>
        <v>MERC</v>
      </c>
      <c r="F48" s="408">
        <v>2</v>
      </c>
      <c r="G48" s="408">
        <v>3.4</v>
      </c>
      <c r="H48" s="543" t="s">
        <v>398</v>
      </c>
      <c r="I48" s="408"/>
      <c r="J48" s="408"/>
      <c r="K48" s="407" t="str">
        <f>"The indicator score is the weighted sum of the following sub-indicator scores:
"&amp;AE49&amp;"
"&amp;AE50&amp;"
"&amp;AE51&amp;"
"&amp;AE52&amp;""</f>
        <v>The indicator score is the weighted sum of the following sub-indicator scores:
3.4.1) 34.¿Existe trabajo infantil en la cadena de manejo de residuos?
3.4.2) 35.¿Cuál es el nivel de enfoque de género en las condiciones de trabajo?
3.4.3) 36.¿Hay planes inclusivos de cierre de vertederos a cielo abierto?
3.4.4) 37.¿Los recicladores tienen acceso a herramientas de trabajo adecuadas?</v>
      </c>
      <c r="L48" s="408" t="str">
        <f t="shared" si="3"/>
        <v>The indicator score is the weighted sum of the following sub-indicator scores:
3.4.1) 34.¿Existe trabajo infantil en la cadena de manejo de residuos?
3.4.2) 35.¿Cuál es el nivel de enfoque de género en las condiciones de trabajo?
3.4.3) 36.¿Hay planes inclusivos de cierre de vertederos a cielo abierto?
3.4.4) 37.¿Los recicladores tienen acceso a herramientas de trabajo adecuadas?</v>
      </c>
      <c r="M48" s="408"/>
      <c r="N48" s="408" t="s">
        <v>316</v>
      </c>
      <c r="O48" s="408"/>
      <c r="P48" s="408" t="str">
        <f t="shared" si="8"/>
        <v>The indicator score is the weighted sum of the following sub-indicator scores:
3.4.1) 34.¿Existe trabajo infantil en la cadena de manejo de residuos?
3.4.2) 35.¿Cuál es el nivel de enfoque de género en las condiciones de trabajo?
3.4.3) 36.¿Hay planes inclusivos de cierre de vertederos a cielo abierto?
3.4.4) 37.¿Los recicladores tienen acceso a herramientas de trabajo adecuadas?</v>
      </c>
      <c r="Q48" s="408"/>
      <c r="R48" s="408"/>
      <c r="S48" s="408"/>
      <c r="T48" s="408"/>
      <c r="U48" s="408"/>
      <c r="V48" s="408" t="s">
        <v>94</v>
      </c>
      <c r="W48" s="408"/>
      <c r="X48" s="408"/>
      <c r="Y48" s="408" t="str">
        <f t="shared" si="4"/>
        <v/>
      </c>
      <c r="Z48" s="408">
        <v>1</v>
      </c>
      <c r="AA48" s="408" t="s">
        <v>670</v>
      </c>
      <c r="AB48" s="408"/>
      <c r="AC48" s="408">
        <f t="shared" si="10"/>
        <v>0.25</v>
      </c>
      <c r="AD48" s="408">
        <f t="shared" si="22"/>
        <v>0.25</v>
      </c>
      <c r="AE48" s="408" t="str">
        <f t="shared" si="11"/>
        <v>3.4) Condiciones de trabajo de los recicladores de base</v>
      </c>
      <c r="AF48" s="408" t="str">
        <f>$AE$34</f>
        <v>3) MERCADO</v>
      </c>
      <c r="AG48" s="405">
        <f>MATCH($D48,Weights!$C$8:$C$78,0)</f>
        <v>18</v>
      </c>
      <c r="AH48" s="405">
        <f>IF(ISERROR($AG48),1,INDEX(Weights!$G$8:$G$159,$AG48))</f>
        <v>1</v>
      </c>
      <c r="AI48" s="405">
        <f t="shared" si="23"/>
        <v>0.25</v>
      </c>
      <c r="AJ48" s="120"/>
      <c r="AK48" s="120"/>
      <c r="AL48" s="120"/>
      <c r="AM48" s="118"/>
      <c r="AN48" s="120"/>
      <c r="AO48" s="120"/>
    </row>
    <row r="49" spans="1:41" s="62" customFormat="1" ht="15" customHeight="1">
      <c r="A49" s="407">
        <v>48</v>
      </c>
      <c r="B49" s="407">
        <v>0</v>
      </c>
      <c r="C49" s="411">
        <v>34</v>
      </c>
      <c r="D49" s="408" t="str">
        <f t="shared" si="24"/>
        <v>MERC3.4.1</v>
      </c>
      <c r="E49" s="408" t="str">
        <f>$D$48</f>
        <v>MERC3.4</v>
      </c>
      <c r="F49" s="408">
        <v>3</v>
      </c>
      <c r="G49" s="408" t="s">
        <v>414</v>
      </c>
      <c r="H49" s="543" t="s">
        <v>2224</v>
      </c>
      <c r="I49" s="408" t="s">
        <v>399</v>
      </c>
      <c r="J49" s="408"/>
      <c r="K49" s="408"/>
      <c r="L49" s="408" t="str">
        <f t="shared" si="3"/>
        <v>34. ¿Existe trabajo infantil en la cadena de manejo de residuos?</v>
      </c>
      <c r="M49" s="408"/>
      <c r="N49" s="408" t="s">
        <v>316</v>
      </c>
      <c r="O49" s="408" t="s">
        <v>475</v>
      </c>
      <c r="P49" s="408" t="str">
        <f t="shared" si="8"/>
        <v xml:space="preserve">0= Sí
1= Si, pero hay programas para hacer frente a la situación
2= No
</v>
      </c>
      <c r="Q49" s="408" t="s">
        <v>515</v>
      </c>
      <c r="R49" s="408" t="s">
        <v>510</v>
      </c>
      <c r="S49" s="408">
        <v>2016</v>
      </c>
      <c r="T49" s="408" t="s">
        <v>806</v>
      </c>
      <c r="U49" s="408" t="s">
        <v>249</v>
      </c>
      <c r="V49" s="408">
        <v>0</v>
      </c>
      <c r="W49" s="408"/>
      <c r="X49" s="408"/>
      <c r="Y49" s="408">
        <f t="shared" si="4"/>
        <v>0</v>
      </c>
      <c r="Z49" s="408">
        <v>3</v>
      </c>
      <c r="AA49" s="408">
        <v>0</v>
      </c>
      <c r="AB49" s="408">
        <v>2</v>
      </c>
      <c r="AC49" s="408">
        <f t="shared" si="10"/>
        <v>0.25</v>
      </c>
      <c r="AD49" s="408">
        <f t="shared" si="22"/>
        <v>0.25</v>
      </c>
      <c r="AE49" s="408" t="str">
        <f t="shared" si="11"/>
        <v>3.4.1) 34.¿Existe trabajo infantil en la cadena de manejo de residuos?</v>
      </c>
      <c r="AF49" s="408" t="str">
        <f>$AE$48</f>
        <v>3.4) Condiciones de trabajo de los recicladores de base</v>
      </c>
      <c r="AG49" s="405">
        <f>MATCH($D49,Weights!$C$8:$C$78,0)</f>
        <v>68</v>
      </c>
      <c r="AH49" s="405">
        <f>IF(ISERROR($AG49),1,INDEX(Weights!$G$8:$G$159,$AG49))</f>
        <v>1</v>
      </c>
      <c r="AI49" s="405">
        <f t="shared" si="23"/>
        <v>0.25</v>
      </c>
      <c r="AJ49" s="120"/>
      <c r="AK49" s="120"/>
      <c r="AL49" s="120"/>
      <c r="AM49" s="118"/>
      <c r="AN49" s="120"/>
      <c r="AO49" s="120"/>
    </row>
    <row r="50" spans="1:41" s="62" customFormat="1" ht="15" customHeight="1">
      <c r="A50" s="407">
        <v>49</v>
      </c>
      <c r="B50" s="407">
        <v>0</v>
      </c>
      <c r="C50" s="411">
        <v>35</v>
      </c>
      <c r="D50" s="408" t="str">
        <f t="shared" si="24"/>
        <v>MERC3.4.2</v>
      </c>
      <c r="E50" s="408" t="str">
        <f t="shared" ref="E50:E52" si="27">$D$48</f>
        <v>MERC3.4</v>
      </c>
      <c r="F50" s="408">
        <v>3</v>
      </c>
      <c r="G50" s="408" t="s">
        <v>415</v>
      </c>
      <c r="H50" s="543" t="s">
        <v>2225</v>
      </c>
      <c r="I50" s="408" t="s">
        <v>400</v>
      </c>
      <c r="J50" s="408"/>
      <c r="K50" s="408"/>
      <c r="L50" s="408" t="str">
        <f t="shared" si="3"/>
        <v>35. ¿Cuál es el nivel de enfoque de género en las condiciones de trabajo?</v>
      </c>
      <c r="M50" s="408"/>
      <c r="N50" s="408" t="s">
        <v>316</v>
      </c>
      <c r="O50" s="408" t="s">
        <v>476</v>
      </c>
      <c r="P50" s="408" t="str">
        <f t="shared" si="8"/>
        <v xml:space="preserve">0 = Bajo (0 criterios)
1 = Mediano (1-2)
2= Alto (3 o más)
</v>
      </c>
      <c r="Q50" s="408" t="s">
        <v>515</v>
      </c>
      <c r="R50" s="408" t="s">
        <v>511</v>
      </c>
      <c r="S50" s="408">
        <v>2016</v>
      </c>
      <c r="T50" s="408" t="s">
        <v>807</v>
      </c>
      <c r="U50" s="408" t="s">
        <v>249</v>
      </c>
      <c r="V50" s="408">
        <v>0</v>
      </c>
      <c r="W50" s="408"/>
      <c r="X50" s="408"/>
      <c r="Y50" s="408">
        <f t="shared" si="4"/>
        <v>0</v>
      </c>
      <c r="Z50" s="408">
        <v>3</v>
      </c>
      <c r="AA50" s="408">
        <v>0</v>
      </c>
      <c r="AB50" s="408">
        <v>2</v>
      </c>
      <c r="AC50" s="408">
        <f t="shared" si="10"/>
        <v>0.25</v>
      </c>
      <c r="AD50" s="408">
        <f t="shared" si="22"/>
        <v>0.25</v>
      </c>
      <c r="AE50" s="408" t="str">
        <f t="shared" si="11"/>
        <v>3.4.2) 35.¿Cuál es el nivel de enfoque de género en las condiciones de trabajo?</v>
      </c>
      <c r="AF50" s="408" t="str">
        <f>$AE$48</f>
        <v>3.4) Condiciones de trabajo de los recicladores de base</v>
      </c>
      <c r="AG50" s="405">
        <f>MATCH($D50,Weights!$C$8:$C$78,0)</f>
        <v>69</v>
      </c>
      <c r="AH50" s="405">
        <f>IF(ISERROR($AG50),1,INDEX(Weights!$G$8:$G$159,$AG50))</f>
        <v>1</v>
      </c>
      <c r="AI50" s="405">
        <f t="shared" si="23"/>
        <v>0.25</v>
      </c>
      <c r="AJ50" s="120"/>
      <c r="AK50" s="120"/>
      <c r="AL50" s="120"/>
      <c r="AM50" s="118"/>
      <c r="AN50" s="120"/>
      <c r="AO50" s="120"/>
    </row>
    <row r="51" spans="1:41" s="62" customFormat="1" ht="15" customHeight="1">
      <c r="A51" s="407">
        <v>50</v>
      </c>
      <c r="B51" s="407">
        <v>0</v>
      </c>
      <c r="C51" s="411">
        <v>36</v>
      </c>
      <c r="D51" s="408" t="str">
        <f t="shared" si="24"/>
        <v>MERC3.4.3</v>
      </c>
      <c r="E51" s="408" t="str">
        <f t="shared" si="27"/>
        <v>MERC3.4</v>
      </c>
      <c r="F51" s="408">
        <v>3</v>
      </c>
      <c r="G51" s="408" t="s">
        <v>2212</v>
      </c>
      <c r="H51" s="543" t="s">
        <v>2226</v>
      </c>
      <c r="I51" s="408" t="s">
        <v>401</v>
      </c>
      <c r="J51" s="408"/>
      <c r="K51" s="408"/>
      <c r="L51" s="408" t="str">
        <f t="shared" si="3"/>
        <v>36. ¿Hay planes inclusivos de cierre de vertederos a cielo abierto?</v>
      </c>
      <c r="M51" s="408"/>
      <c r="N51" s="408" t="s">
        <v>316</v>
      </c>
      <c r="O51" s="408" t="s">
        <v>2685</v>
      </c>
      <c r="P51" s="408" t="str">
        <f t="shared" si="8"/>
        <v xml:space="preserve">0= No 
1= Sí o no existen vertederos a cielo abierto
</v>
      </c>
      <c r="Q51" s="408" t="s">
        <v>516</v>
      </c>
      <c r="R51" s="408" t="s">
        <v>512</v>
      </c>
      <c r="S51" s="408">
        <v>2016</v>
      </c>
      <c r="T51" s="408" t="s">
        <v>808</v>
      </c>
      <c r="U51" s="408" t="s">
        <v>249</v>
      </c>
      <c r="V51" s="408">
        <v>0</v>
      </c>
      <c r="W51" s="408"/>
      <c r="X51" s="408"/>
      <c r="Y51" s="408">
        <f t="shared" si="4"/>
        <v>0</v>
      </c>
      <c r="Z51" s="408">
        <v>3</v>
      </c>
      <c r="AA51" s="408">
        <v>0</v>
      </c>
      <c r="AB51" s="408">
        <v>1</v>
      </c>
      <c r="AC51" s="408">
        <f t="shared" si="10"/>
        <v>0.25</v>
      </c>
      <c r="AD51" s="408">
        <f t="shared" si="22"/>
        <v>0.25</v>
      </c>
      <c r="AE51" s="408" t="str">
        <f t="shared" si="11"/>
        <v>3.4.3) 36.¿Hay planes inclusivos de cierre de vertederos a cielo abierto?</v>
      </c>
      <c r="AF51" s="408" t="str">
        <f>$AE$48</f>
        <v>3.4) Condiciones de trabajo de los recicladores de base</v>
      </c>
      <c r="AG51" s="405">
        <f>MATCH($D51,Weights!$C$8:$C$78,0)</f>
        <v>70</v>
      </c>
      <c r="AH51" s="405">
        <f>IF(ISERROR($AG51),1,INDEX(Weights!$G$8:$G$159,$AG51))</f>
        <v>1</v>
      </c>
      <c r="AI51" s="405">
        <f t="shared" si="23"/>
        <v>0.25</v>
      </c>
      <c r="AJ51" s="120"/>
      <c r="AK51" s="120"/>
      <c r="AL51" s="120"/>
      <c r="AM51" s="118"/>
      <c r="AN51" s="120"/>
      <c r="AO51" s="120"/>
    </row>
    <row r="52" spans="1:41" s="62" customFormat="1" ht="15" customHeight="1">
      <c r="A52" s="407">
        <v>51</v>
      </c>
      <c r="B52" s="407">
        <v>0</v>
      </c>
      <c r="C52" s="411">
        <v>37</v>
      </c>
      <c r="D52" s="408" t="str">
        <f t="shared" si="24"/>
        <v>MERC3.4.4</v>
      </c>
      <c r="E52" s="408" t="str">
        <f t="shared" si="27"/>
        <v>MERC3.4</v>
      </c>
      <c r="F52" s="408">
        <v>3</v>
      </c>
      <c r="G52" s="408" t="s">
        <v>2213</v>
      </c>
      <c r="H52" s="543" t="s">
        <v>2227</v>
      </c>
      <c r="I52" s="408" t="s">
        <v>402</v>
      </c>
      <c r="J52" s="408"/>
      <c r="K52" s="408"/>
      <c r="L52" s="408" t="str">
        <f t="shared" si="3"/>
        <v>37. ¿Los recicladores tienen acceso a herramientas de trabajo adecuadas?</v>
      </c>
      <c r="M52" s="408"/>
      <c r="N52" s="408" t="s">
        <v>316</v>
      </c>
      <c r="O52" s="408" t="s">
        <v>477</v>
      </c>
      <c r="P52" s="408" t="str">
        <f t="shared" si="8"/>
        <v xml:space="preserve">0= No se cumple ningún criterio.
1= Se cumplen 1 a 3 criterios.
2= Se cumplen 4 o más criterios
</v>
      </c>
      <c r="Q52" s="408" t="s">
        <v>515</v>
      </c>
      <c r="R52" s="408" t="s">
        <v>513</v>
      </c>
      <c r="S52" s="408">
        <v>2016</v>
      </c>
      <c r="T52" s="408" t="s">
        <v>809</v>
      </c>
      <c r="U52" s="408" t="s">
        <v>249</v>
      </c>
      <c r="V52" s="408">
        <v>0</v>
      </c>
      <c r="W52" s="408"/>
      <c r="X52" s="408"/>
      <c r="Y52" s="408">
        <f t="shared" si="4"/>
        <v>0</v>
      </c>
      <c r="Z52" s="408">
        <v>3</v>
      </c>
      <c r="AA52" s="408">
        <v>0</v>
      </c>
      <c r="AB52" s="408">
        <v>2</v>
      </c>
      <c r="AC52" s="408">
        <f t="shared" si="10"/>
        <v>0.25</v>
      </c>
      <c r="AD52" s="408">
        <f t="shared" si="22"/>
        <v>0.25</v>
      </c>
      <c r="AE52" s="408" t="str">
        <f t="shared" si="11"/>
        <v>3.4.4) 37.¿Los recicladores tienen acceso a herramientas de trabajo adecuadas?</v>
      </c>
      <c r="AF52" s="408" t="str">
        <f>$AE$48</f>
        <v>3.4) Condiciones de trabajo de los recicladores de base</v>
      </c>
      <c r="AG52" s="405">
        <f>MATCH($D52,Weights!$C$8:$C$78,0)</f>
        <v>71</v>
      </c>
      <c r="AH52" s="405">
        <f>IF(ISERROR($AG52),1,INDEX(Weights!$G$8:$G$159,$AG52))</f>
        <v>1</v>
      </c>
      <c r="AI52" s="405">
        <f t="shared" si="23"/>
        <v>0.25</v>
      </c>
      <c r="AJ52" s="120"/>
      <c r="AK52" s="120"/>
      <c r="AL52" s="120"/>
      <c r="AM52" s="118"/>
      <c r="AN52" s="120"/>
      <c r="AO52" s="120"/>
    </row>
    <row r="53" spans="1:41" ht="15" customHeight="1">
      <c r="A53" s="410"/>
      <c r="B53" s="410"/>
      <c r="C53" s="410"/>
      <c r="D53" s="410"/>
      <c r="E53" s="406"/>
      <c r="F53" s="406"/>
      <c r="G53" s="406"/>
      <c r="H53" s="545"/>
      <c r="I53" s="406"/>
      <c r="J53" s="406"/>
      <c r="K53" s="406"/>
      <c r="L53" s="406"/>
      <c r="M53" s="406"/>
      <c r="N53" s="406"/>
      <c r="O53" s="406"/>
      <c r="P53" s="406"/>
      <c r="Q53" s="406"/>
      <c r="R53" s="406"/>
      <c r="S53" s="406"/>
      <c r="T53" s="406"/>
      <c r="U53" s="406"/>
      <c r="V53" s="406"/>
      <c r="W53" s="406"/>
      <c r="X53" s="406"/>
      <c r="Y53" s="406"/>
      <c r="Z53" s="406"/>
      <c r="AA53" s="406"/>
      <c r="AB53" s="406"/>
      <c r="AC53" s="406"/>
      <c r="AD53" s="406"/>
      <c r="AE53" s="406"/>
      <c r="AF53" s="406"/>
      <c r="AG53" s="406"/>
      <c r="AH53" s="406"/>
      <c r="AI53" s="406"/>
    </row>
    <row r="54" spans="1:41" ht="15" customHeight="1">
      <c r="A54" s="410"/>
      <c r="B54" s="410"/>
      <c r="C54" s="410"/>
      <c r="D54" s="410"/>
      <c r="E54" s="406"/>
      <c r="F54" s="406"/>
      <c r="G54" s="406"/>
      <c r="H54" s="545"/>
      <c r="I54" s="406"/>
      <c r="J54" s="406"/>
      <c r="K54" s="406"/>
      <c r="L54" s="406"/>
      <c r="M54" s="406"/>
      <c r="N54" s="406"/>
      <c r="O54" s="406"/>
      <c r="P54" s="406"/>
      <c r="Q54" s="406"/>
      <c r="R54" s="406"/>
      <c r="S54" s="406"/>
      <c r="T54" s="406"/>
      <c r="U54" s="406"/>
      <c r="V54" s="406"/>
      <c r="W54" s="406"/>
      <c r="X54" s="406"/>
      <c r="Y54" s="406"/>
      <c r="Z54" s="406"/>
      <c r="AA54" s="406"/>
      <c r="AB54" s="406"/>
      <c r="AC54" s="406"/>
      <c r="AD54" s="406"/>
      <c r="AE54" s="406"/>
      <c r="AF54" s="406"/>
      <c r="AG54" s="406"/>
      <c r="AH54" s="406"/>
      <c r="AI54" s="406"/>
    </row>
    <row r="55" spans="1:41" ht="15" customHeight="1">
      <c r="A55" s="406"/>
      <c r="B55" s="406"/>
      <c r="C55" s="406"/>
      <c r="D55" s="406"/>
      <c r="E55" s="406"/>
      <c r="F55" s="406"/>
      <c r="G55" s="406"/>
      <c r="H55" s="545"/>
      <c r="I55" s="406"/>
      <c r="J55" s="406"/>
      <c r="K55" s="406"/>
      <c r="L55" s="406"/>
      <c r="M55" s="406"/>
      <c r="N55" s="406"/>
      <c r="O55" s="406"/>
      <c r="P55" s="406"/>
      <c r="Q55" s="406"/>
      <c r="R55" s="406"/>
      <c r="S55" s="406"/>
      <c r="T55" s="406"/>
      <c r="U55" s="406"/>
      <c r="V55" s="406"/>
      <c r="W55" s="406"/>
      <c r="X55" s="406"/>
      <c r="Y55" s="406"/>
      <c r="Z55" s="406"/>
      <c r="AA55" s="406"/>
      <c r="AB55" s="406"/>
      <c r="AC55" s="406"/>
      <c r="AD55" s="406"/>
      <c r="AE55" s="406"/>
      <c r="AF55" s="406"/>
      <c r="AG55" s="406"/>
      <c r="AH55" s="406"/>
      <c r="AI55" s="406"/>
    </row>
    <row r="56" spans="1:41" ht="15" customHeight="1">
      <c r="A56" s="406"/>
      <c r="B56" s="406"/>
      <c r="C56" s="406"/>
      <c r="D56" s="406"/>
      <c r="E56" s="406"/>
      <c r="F56" s="406"/>
      <c r="G56" s="406"/>
      <c r="H56" s="545"/>
      <c r="I56" s="406"/>
      <c r="J56" s="406"/>
      <c r="K56" s="406"/>
      <c r="L56" s="406"/>
      <c r="M56" s="406"/>
      <c r="N56" s="406"/>
      <c r="O56" s="406"/>
      <c r="P56" s="406"/>
      <c r="Q56" s="406"/>
      <c r="R56" s="406"/>
      <c r="S56" s="406"/>
      <c r="T56" s="406"/>
      <c r="U56" s="406"/>
      <c r="V56" s="406"/>
      <c r="W56" s="406"/>
      <c r="X56" s="406"/>
      <c r="Y56" s="406"/>
      <c r="Z56" s="406"/>
      <c r="AA56" s="406"/>
      <c r="AB56" s="406"/>
      <c r="AC56" s="406"/>
      <c r="AD56" s="406"/>
      <c r="AE56" s="406"/>
      <c r="AF56" s="406"/>
      <c r="AG56" s="406"/>
      <c r="AH56" s="406"/>
      <c r="AI56" s="406"/>
    </row>
    <row r="57" spans="1:41" ht="15" customHeight="1">
      <c r="A57" s="406"/>
      <c r="B57" s="406"/>
      <c r="C57" s="406"/>
      <c r="D57" s="406"/>
      <c r="E57" s="406"/>
      <c r="F57" s="406"/>
      <c r="G57" s="406"/>
      <c r="H57" s="545"/>
      <c r="I57" s="406"/>
      <c r="J57" s="406"/>
      <c r="K57" s="406"/>
      <c r="L57" s="406"/>
      <c r="M57" s="406"/>
      <c r="N57" s="406"/>
      <c r="O57" s="406"/>
      <c r="P57" s="406"/>
      <c r="Q57" s="406"/>
      <c r="R57" s="406"/>
      <c r="S57" s="406"/>
      <c r="T57" s="406"/>
      <c r="U57" s="406"/>
      <c r="V57" s="406"/>
      <c r="W57" s="406"/>
      <c r="X57" s="406"/>
      <c r="Y57" s="406"/>
      <c r="Z57" s="406"/>
      <c r="AA57" s="406"/>
      <c r="AB57" s="406"/>
      <c r="AC57" s="406"/>
      <c r="AD57" s="406"/>
      <c r="AE57" s="406"/>
      <c r="AF57" s="406"/>
      <c r="AG57" s="406"/>
      <c r="AH57" s="406"/>
      <c r="AI57" s="406"/>
    </row>
    <row r="58" spans="1:41" ht="15" customHeight="1">
      <c r="A58" s="406"/>
      <c r="B58" s="406"/>
      <c r="C58" s="406"/>
      <c r="D58" s="406"/>
      <c r="E58" s="406"/>
      <c r="F58" s="406"/>
      <c r="G58" s="406"/>
      <c r="H58" s="545"/>
      <c r="I58" s="406"/>
      <c r="J58" s="406"/>
      <c r="K58" s="406"/>
      <c r="L58" s="406"/>
      <c r="M58" s="406"/>
      <c r="N58" s="406"/>
      <c r="O58" s="406"/>
      <c r="P58" s="406"/>
      <c r="Q58" s="406"/>
      <c r="R58" s="406"/>
      <c r="S58" s="406"/>
      <c r="T58" s="406"/>
      <c r="U58" s="406"/>
      <c r="V58" s="406"/>
      <c r="W58" s="406"/>
      <c r="X58" s="406"/>
      <c r="Y58" s="406"/>
      <c r="Z58" s="406"/>
      <c r="AA58" s="406"/>
      <c r="AB58" s="406"/>
      <c r="AC58" s="406"/>
      <c r="AD58" s="406"/>
      <c r="AE58" s="406"/>
      <c r="AF58" s="406"/>
      <c r="AG58" s="406"/>
      <c r="AH58" s="406"/>
      <c r="AI58" s="406"/>
    </row>
    <row r="59" spans="1:41" ht="15" customHeight="1">
      <c r="A59" s="406"/>
      <c r="B59" s="406"/>
      <c r="C59" s="406"/>
      <c r="D59" s="406"/>
      <c r="E59" s="406"/>
      <c r="F59" s="406"/>
      <c r="G59" s="406"/>
      <c r="H59" s="545"/>
      <c r="I59" s="406"/>
      <c r="J59" s="406"/>
      <c r="K59" s="406"/>
      <c r="L59" s="406"/>
      <c r="M59" s="406"/>
      <c r="N59" s="406"/>
      <c r="O59" s="406"/>
      <c r="P59" s="406"/>
      <c r="Q59" s="406"/>
      <c r="R59" s="406"/>
      <c r="S59" s="406"/>
      <c r="T59" s="406"/>
      <c r="U59" s="406"/>
      <c r="V59" s="406"/>
      <c r="W59" s="406"/>
      <c r="X59" s="406"/>
      <c r="Y59" s="406"/>
      <c r="Z59" s="406"/>
      <c r="AA59" s="406"/>
      <c r="AB59" s="406"/>
      <c r="AC59" s="406"/>
      <c r="AD59" s="406"/>
      <c r="AE59" s="406"/>
      <c r="AF59" s="406"/>
      <c r="AG59" s="406"/>
      <c r="AH59" s="406"/>
      <c r="AI59" s="406"/>
    </row>
    <row r="60" spans="1:41" ht="15" customHeight="1">
      <c r="A60" s="406"/>
      <c r="B60" s="406"/>
      <c r="C60" s="406"/>
      <c r="D60" s="406"/>
      <c r="E60" s="406"/>
      <c r="F60" s="406"/>
      <c r="G60" s="406"/>
      <c r="H60" s="545"/>
      <c r="I60" s="406"/>
      <c r="J60" s="406"/>
      <c r="K60" s="406"/>
      <c r="L60" s="406"/>
      <c r="M60" s="406"/>
      <c r="N60" s="406"/>
      <c r="O60" s="406"/>
      <c r="P60" s="406"/>
      <c r="Q60" s="406"/>
      <c r="R60" s="406"/>
      <c r="S60" s="406"/>
      <c r="T60" s="406"/>
      <c r="U60" s="406"/>
      <c r="V60" s="406"/>
      <c r="W60" s="406"/>
      <c r="X60" s="406"/>
      <c r="Y60" s="406"/>
      <c r="Z60" s="406"/>
      <c r="AA60" s="406"/>
      <c r="AB60" s="406"/>
      <c r="AC60" s="406"/>
      <c r="AD60" s="406"/>
      <c r="AE60" s="406"/>
      <c r="AF60" s="406"/>
      <c r="AG60" s="406"/>
      <c r="AH60" s="406"/>
      <c r="AI60" s="406"/>
    </row>
    <row r="61" spans="1:41" ht="15" customHeight="1">
      <c r="A61" s="406"/>
      <c r="B61" s="406"/>
      <c r="C61" s="406"/>
      <c r="D61" s="406"/>
      <c r="E61" s="406"/>
      <c r="F61" s="406"/>
      <c r="G61" s="406"/>
      <c r="H61" s="545"/>
      <c r="I61" s="406"/>
      <c r="J61" s="406"/>
      <c r="K61" s="406"/>
      <c r="L61" s="406"/>
      <c r="M61" s="406"/>
      <c r="N61" s="406"/>
      <c r="O61" s="406"/>
      <c r="P61" s="406"/>
      <c r="Q61" s="406"/>
      <c r="R61" s="406"/>
      <c r="S61" s="406"/>
      <c r="T61" s="406"/>
      <c r="U61" s="406"/>
      <c r="V61" s="406"/>
      <c r="W61" s="406"/>
      <c r="X61" s="406"/>
      <c r="Y61" s="406"/>
      <c r="Z61" s="406"/>
      <c r="AA61" s="406"/>
      <c r="AB61" s="406"/>
      <c r="AC61" s="406"/>
      <c r="AD61" s="406"/>
      <c r="AE61" s="406"/>
      <c r="AF61" s="406"/>
      <c r="AG61" s="406"/>
      <c r="AH61" s="406"/>
      <c r="AI61" s="406"/>
    </row>
    <row r="62" spans="1:41" ht="15" customHeight="1">
      <c r="A62" s="406"/>
      <c r="B62" s="406"/>
      <c r="C62" s="406"/>
      <c r="D62" s="406"/>
      <c r="E62" s="406"/>
      <c r="F62" s="406"/>
      <c r="G62" s="406"/>
      <c r="H62" s="545"/>
      <c r="I62" s="406"/>
      <c r="J62" s="406"/>
      <c r="K62" s="406"/>
      <c r="L62" s="406"/>
      <c r="M62" s="406"/>
      <c r="N62" s="406"/>
      <c r="O62" s="406"/>
      <c r="P62" s="406"/>
      <c r="Q62" s="406"/>
      <c r="R62" s="406"/>
      <c r="S62" s="406"/>
      <c r="T62" s="406"/>
      <c r="U62" s="406"/>
      <c r="V62" s="406"/>
      <c r="W62" s="406"/>
      <c r="X62" s="406"/>
      <c r="Y62" s="406"/>
      <c r="Z62" s="406"/>
      <c r="AA62" s="406"/>
      <c r="AB62" s="406"/>
      <c r="AC62" s="406"/>
      <c r="AD62" s="406"/>
      <c r="AE62" s="406"/>
      <c r="AF62" s="406"/>
      <c r="AG62" s="406"/>
      <c r="AH62" s="406"/>
      <c r="AI62" s="406"/>
    </row>
    <row r="63" spans="1:41" ht="15" customHeight="1">
      <c r="A63" s="406"/>
      <c r="B63" s="406"/>
      <c r="C63" s="406"/>
      <c r="D63" s="406"/>
      <c r="E63" s="406"/>
      <c r="F63" s="406"/>
      <c r="G63" s="406"/>
      <c r="H63" s="545"/>
      <c r="I63" s="406"/>
      <c r="J63" s="406"/>
      <c r="K63" s="406"/>
      <c r="L63" s="406"/>
      <c r="M63" s="406"/>
      <c r="N63" s="406"/>
      <c r="O63" s="406"/>
      <c r="P63" s="406"/>
      <c r="Q63" s="406"/>
      <c r="R63" s="406"/>
      <c r="S63" s="406"/>
      <c r="T63" s="406"/>
      <c r="U63" s="406"/>
      <c r="V63" s="406"/>
      <c r="W63" s="406"/>
      <c r="X63" s="406"/>
      <c r="Y63" s="406"/>
      <c r="Z63" s="406"/>
      <c r="AA63" s="406"/>
      <c r="AB63" s="406"/>
      <c r="AC63" s="406"/>
      <c r="AD63" s="406"/>
      <c r="AE63" s="406"/>
      <c r="AF63" s="406"/>
      <c r="AG63" s="406"/>
      <c r="AH63" s="406"/>
      <c r="AI63" s="406"/>
    </row>
    <row r="64" spans="1:41" ht="15" customHeight="1">
      <c r="A64" s="406"/>
      <c r="B64" s="406"/>
      <c r="C64" s="406"/>
      <c r="D64" s="406"/>
      <c r="E64" s="406"/>
      <c r="F64" s="406"/>
      <c r="G64" s="406"/>
      <c r="H64" s="545"/>
      <c r="I64" s="406"/>
      <c r="J64" s="406"/>
      <c r="K64" s="406"/>
      <c r="L64" s="406"/>
      <c r="M64" s="406"/>
      <c r="N64" s="406"/>
      <c r="O64" s="406"/>
      <c r="P64" s="406"/>
      <c r="Q64" s="406"/>
      <c r="R64" s="406"/>
      <c r="S64" s="406"/>
      <c r="T64" s="406"/>
      <c r="U64" s="406"/>
      <c r="V64" s="406"/>
      <c r="W64" s="406"/>
      <c r="X64" s="406"/>
      <c r="Y64" s="406"/>
      <c r="Z64" s="406"/>
      <c r="AA64" s="406"/>
      <c r="AB64" s="406"/>
      <c r="AC64" s="406"/>
      <c r="AD64" s="406"/>
      <c r="AE64" s="406"/>
      <c r="AF64" s="406"/>
      <c r="AG64" s="406"/>
      <c r="AH64" s="406"/>
      <c r="AI64" s="406"/>
    </row>
    <row r="65" spans="1:35" ht="15" customHeight="1">
      <c r="A65" s="406"/>
      <c r="B65" s="406"/>
      <c r="C65" s="406"/>
      <c r="D65" s="406"/>
      <c r="E65" s="406"/>
      <c r="F65" s="406"/>
      <c r="G65" s="406"/>
      <c r="H65" s="545"/>
      <c r="I65" s="406"/>
      <c r="J65" s="406"/>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row>
    <row r="66" spans="1:35" ht="15" customHeight="1">
      <c r="A66" s="406"/>
      <c r="B66" s="406"/>
      <c r="C66" s="406"/>
      <c r="D66" s="406"/>
      <c r="E66" s="406"/>
      <c r="F66" s="406"/>
      <c r="G66" s="406"/>
      <c r="H66" s="545"/>
      <c r="I66" s="406"/>
      <c r="J66" s="406"/>
      <c r="K66" s="406"/>
      <c r="L66" s="406"/>
      <c r="M66" s="406"/>
      <c r="N66" s="406"/>
      <c r="O66" s="406"/>
      <c r="P66" s="406"/>
      <c r="Q66" s="406"/>
      <c r="R66" s="406"/>
      <c r="S66" s="406"/>
      <c r="T66" s="406"/>
      <c r="U66" s="406"/>
      <c r="V66" s="406"/>
      <c r="W66" s="406"/>
      <c r="X66" s="406"/>
      <c r="Y66" s="406"/>
      <c r="Z66" s="406"/>
      <c r="AA66" s="406"/>
      <c r="AB66" s="406"/>
      <c r="AC66" s="406"/>
      <c r="AD66" s="406"/>
      <c r="AE66" s="406"/>
      <c r="AF66" s="406"/>
      <c r="AG66" s="406"/>
      <c r="AH66" s="406"/>
      <c r="AI66" s="406"/>
    </row>
    <row r="67" spans="1:35" ht="15" customHeight="1">
      <c r="A67" s="406"/>
      <c r="B67" s="406"/>
      <c r="C67" s="406"/>
      <c r="D67" s="406"/>
      <c r="E67" s="406"/>
      <c r="F67" s="406"/>
      <c r="G67" s="406"/>
      <c r="H67" s="545"/>
      <c r="I67" s="406"/>
      <c r="J67" s="406"/>
      <c r="K67" s="406"/>
      <c r="L67" s="406"/>
      <c r="M67" s="406"/>
      <c r="N67" s="406"/>
      <c r="O67" s="406"/>
      <c r="P67" s="406"/>
      <c r="Q67" s="406"/>
      <c r="R67" s="406"/>
      <c r="S67" s="406"/>
      <c r="T67" s="406"/>
      <c r="U67" s="406"/>
      <c r="V67" s="406"/>
      <c r="W67" s="406"/>
      <c r="X67" s="406"/>
      <c r="Y67" s="406"/>
      <c r="Z67" s="406"/>
      <c r="AA67" s="406"/>
      <c r="AB67" s="406"/>
      <c r="AC67" s="406"/>
      <c r="AD67" s="406"/>
      <c r="AE67" s="406"/>
      <c r="AF67" s="406"/>
      <c r="AG67" s="406"/>
      <c r="AH67" s="406"/>
      <c r="AI67" s="406"/>
    </row>
    <row r="68" spans="1:35" ht="15" customHeight="1">
      <c r="A68" s="406"/>
      <c r="B68" s="406"/>
      <c r="C68" s="406"/>
      <c r="D68" s="406"/>
      <c r="E68" s="406"/>
      <c r="F68" s="406"/>
      <c r="G68" s="406"/>
      <c r="H68" s="545"/>
      <c r="I68" s="406"/>
      <c r="J68" s="406"/>
      <c r="K68" s="406"/>
      <c r="L68" s="406"/>
      <c r="M68" s="406"/>
      <c r="N68" s="406"/>
      <c r="O68" s="406"/>
      <c r="P68" s="406"/>
      <c r="Q68" s="406"/>
      <c r="R68" s="406"/>
      <c r="S68" s="406"/>
      <c r="T68" s="406"/>
      <c r="U68" s="406"/>
      <c r="V68" s="406"/>
      <c r="W68" s="406"/>
      <c r="X68" s="406"/>
      <c r="Y68" s="406"/>
      <c r="Z68" s="406"/>
      <c r="AA68" s="406"/>
      <c r="AB68" s="406"/>
      <c r="AC68" s="406"/>
      <c r="AD68" s="406"/>
      <c r="AE68" s="406"/>
      <c r="AF68" s="406"/>
      <c r="AG68" s="406"/>
      <c r="AH68" s="406"/>
      <c r="AI68" s="406"/>
    </row>
    <row r="69" spans="1:35" ht="15" customHeight="1">
      <c r="A69" s="406"/>
      <c r="B69" s="406"/>
      <c r="C69" s="406"/>
      <c r="D69" s="406"/>
      <c r="E69" s="406"/>
      <c r="F69" s="406"/>
      <c r="G69" s="406"/>
      <c r="H69" s="545"/>
      <c r="I69" s="406"/>
      <c r="J69" s="406"/>
      <c r="K69" s="406"/>
      <c r="L69" s="406"/>
      <c r="M69" s="406"/>
      <c r="N69" s="406"/>
      <c r="O69" s="406"/>
      <c r="P69" s="406"/>
      <c r="Q69" s="406"/>
      <c r="R69" s="406"/>
      <c r="S69" s="406"/>
      <c r="T69" s="406"/>
      <c r="U69" s="406"/>
      <c r="V69" s="406"/>
      <c r="W69" s="406"/>
      <c r="X69" s="406"/>
      <c r="Y69" s="406"/>
      <c r="Z69" s="406"/>
      <c r="AA69" s="406"/>
      <c r="AB69" s="406"/>
      <c r="AC69" s="406"/>
      <c r="AD69" s="406"/>
      <c r="AE69" s="406"/>
      <c r="AF69" s="406"/>
      <c r="AG69" s="406"/>
      <c r="AH69" s="406"/>
      <c r="AI69" s="406"/>
    </row>
    <row r="70" spans="1:35" ht="15" customHeight="1">
      <c r="A70" s="406"/>
      <c r="B70" s="406"/>
      <c r="C70" s="406"/>
      <c r="D70" s="406"/>
      <c r="E70" s="406"/>
      <c r="F70" s="406"/>
      <c r="G70" s="406"/>
      <c r="H70" s="545"/>
      <c r="I70" s="406"/>
      <c r="J70" s="406"/>
      <c r="K70" s="406"/>
      <c r="L70" s="406"/>
      <c r="M70" s="406"/>
      <c r="N70" s="406"/>
      <c r="O70" s="406"/>
      <c r="P70" s="406"/>
      <c r="Q70" s="406"/>
      <c r="R70" s="406"/>
      <c r="S70" s="406"/>
      <c r="T70" s="406"/>
      <c r="U70" s="406"/>
      <c r="V70" s="406"/>
      <c r="W70" s="406"/>
      <c r="X70" s="406"/>
      <c r="Y70" s="406"/>
      <c r="Z70" s="406"/>
      <c r="AA70" s="406"/>
      <c r="AB70" s="406"/>
      <c r="AC70" s="406"/>
      <c r="AD70" s="406"/>
      <c r="AE70" s="406"/>
      <c r="AF70" s="406"/>
      <c r="AG70" s="406"/>
      <c r="AH70" s="406"/>
      <c r="AI70" s="406"/>
    </row>
    <row r="71" spans="1:35" ht="15" customHeight="1">
      <c r="A71" s="406"/>
      <c r="B71" s="406"/>
      <c r="C71" s="406"/>
      <c r="D71" s="406"/>
      <c r="E71" s="406"/>
      <c r="F71" s="406"/>
      <c r="G71" s="406"/>
      <c r="H71" s="545"/>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row>
    <row r="72" spans="1:35" ht="15" customHeight="1">
      <c r="A72" s="406"/>
      <c r="B72" s="406"/>
      <c r="C72" s="406"/>
      <c r="D72" s="406"/>
      <c r="E72" s="406"/>
      <c r="F72" s="406"/>
      <c r="G72" s="406"/>
      <c r="H72" s="545"/>
      <c r="I72" s="406"/>
      <c r="J72" s="406"/>
      <c r="K72" s="406"/>
      <c r="L72" s="406"/>
      <c r="M72" s="406"/>
      <c r="N72" s="406"/>
      <c r="O72" s="406"/>
      <c r="P72" s="406"/>
      <c r="Q72" s="406"/>
      <c r="R72" s="406"/>
      <c r="S72" s="406"/>
      <c r="T72" s="406"/>
      <c r="U72" s="406"/>
      <c r="V72" s="406"/>
      <c r="W72" s="406"/>
      <c r="X72" s="406"/>
      <c r="Y72" s="406"/>
      <c r="Z72" s="406"/>
      <c r="AA72" s="406"/>
      <c r="AB72" s="406"/>
      <c r="AC72" s="406"/>
      <c r="AD72" s="406"/>
      <c r="AE72" s="406"/>
      <c r="AF72" s="406"/>
      <c r="AG72" s="406"/>
      <c r="AH72" s="406"/>
      <c r="AI72" s="406"/>
    </row>
    <row r="73" spans="1:35" ht="15" customHeight="1">
      <c r="A73" s="406"/>
      <c r="B73" s="406"/>
      <c r="C73" s="406"/>
      <c r="D73" s="406"/>
      <c r="E73" s="406"/>
      <c r="F73" s="406"/>
      <c r="G73" s="406"/>
      <c r="H73" s="545"/>
      <c r="I73" s="406"/>
      <c r="J73" s="406"/>
      <c r="K73" s="406"/>
      <c r="L73" s="406"/>
      <c r="M73" s="406"/>
      <c r="N73" s="406"/>
      <c r="O73" s="406"/>
      <c r="P73" s="406"/>
      <c r="Q73" s="406"/>
      <c r="R73" s="406"/>
      <c r="S73" s="406"/>
      <c r="T73" s="406"/>
      <c r="U73" s="406"/>
      <c r="V73" s="406"/>
      <c r="W73" s="406"/>
      <c r="X73" s="406"/>
      <c r="Y73" s="406"/>
      <c r="Z73" s="406"/>
      <c r="AA73" s="406"/>
      <c r="AB73" s="406"/>
      <c r="AC73" s="406"/>
      <c r="AD73" s="406"/>
      <c r="AE73" s="406"/>
      <c r="AF73" s="406"/>
      <c r="AG73" s="406"/>
      <c r="AH73" s="406"/>
      <c r="AI73" s="406"/>
    </row>
    <row r="74" spans="1:35" ht="15" customHeight="1">
      <c r="A74" s="406"/>
      <c r="B74" s="406"/>
      <c r="C74" s="406"/>
      <c r="D74" s="406"/>
      <c r="E74" s="406"/>
      <c r="F74" s="406"/>
      <c r="G74" s="406"/>
      <c r="H74" s="545"/>
      <c r="I74" s="406"/>
      <c r="J74" s="406"/>
      <c r="K74" s="406"/>
      <c r="L74" s="406"/>
      <c r="M74" s="406"/>
      <c r="N74" s="406"/>
      <c r="O74" s="406"/>
      <c r="P74" s="406"/>
      <c r="Q74" s="406"/>
      <c r="R74" s="406"/>
      <c r="S74" s="406"/>
      <c r="T74" s="406"/>
      <c r="U74" s="406"/>
      <c r="V74" s="406"/>
      <c r="W74" s="406"/>
      <c r="X74" s="406"/>
      <c r="Y74" s="406"/>
      <c r="Z74" s="406"/>
      <c r="AA74" s="406"/>
      <c r="AB74" s="406"/>
      <c r="AC74" s="406"/>
      <c r="AD74" s="406"/>
      <c r="AE74" s="406"/>
      <c r="AF74" s="406"/>
      <c r="AG74" s="406"/>
      <c r="AH74" s="406"/>
      <c r="AI74" s="406"/>
    </row>
    <row r="75" spans="1:35" ht="15" customHeight="1">
      <c r="A75" s="406"/>
      <c r="B75" s="406"/>
      <c r="C75" s="406"/>
      <c r="D75" s="406"/>
      <c r="E75" s="406"/>
      <c r="F75" s="406"/>
      <c r="G75" s="406"/>
      <c r="H75" s="545"/>
      <c r="I75" s="406"/>
      <c r="J75" s="406"/>
      <c r="K75" s="406"/>
      <c r="L75" s="406"/>
      <c r="M75" s="406"/>
      <c r="N75" s="406"/>
      <c r="O75" s="406"/>
      <c r="P75" s="406"/>
      <c r="Q75" s="406"/>
      <c r="R75" s="406"/>
      <c r="S75" s="406"/>
      <c r="T75" s="406"/>
      <c r="U75" s="406"/>
      <c r="V75" s="406"/>
      <c r="W75" s="406"/>
      <c r="X75" s="406"/>
      <c r="Y75" s="406"/>
      <c r="Z75" s="406"/>
      <c r="AA75" s="406"/>
      <c r="AB75" s="406"/>
      <c r="AC75" s="406"/>
      <c r="AD75" s="406"/>
      <c r="AE75" s="406"/>
      <c r="AF75" s="406"/>
      <c r="AG75" s="406"/>
      <c r="AH75" s="406"/>
      <c r="AI75" s="406"/>
    </row>
    <row r="76" spans="1:35" ht="15" customHeight="1">
      <c r="A76" s="406"/>
      <c r="B76" s="406"/>
      <c r="C76" s="406"/>
      <c r="D76" s="406"/>
      <c r="E76" s="406"/>
      <c r="F76" s="406"/>
      <c r="G76" s="406"/>
      <c r="H76" s="545"/>
      <c r="I76" s="406"/>
      <c r="J76" s="406"/>
      <c r="K76" s="406"/>
      <c r="L76" s="406"/>
      <c r="M76" s="406"/>
      <c r="N76" s="406"/>
      <c r="O76" s="406"/>
      <c r="P76" s="406"/>
      <c r="Q76" s="406"/>
      <c r="R76" s="406"/>
      <c r="S76" s="406"/>
      <c r="T76" s="406"/>
      <c r="U76" s="406"/>
      <c r="V76" s="406"/>
      <c r="W76" s="406"/>
      <c r="X76" s="406"/>
      <c r="Y76" s="406"/>
      <c r="Z76" s="406"/>
      <c r="AA76" s="406"/>
      <c r="AB76" s="406"/>
      <c r="AC76" s="406"/>
      <c r="AD76" s="406"/>
      <c r="AE76" s="406"/>
      <c r="AF76" s="406"/>
      <c r="AG76" s="406"/>
      <c r="AH76" s="406"/>
      <c r="AI76" s="406"/>
    </row>
    <row r="77" spans="1:35" ht="15" customHeight="1">
      <c r="A77" s="406"/>
      <c r="B77" s="406"/>
      <c r="C77" s="406"/>
      <c r="D77" s="406"/>
      <c r="E77" s="406"/>
      <c r="F77" s="406"/>
      <c r="G77" s="406"/>
      <c r="H77" s="545"/>
      <c r="I77" s="406"/>
      <c r="J77" s="406"/>
      <c r="K77" s="406"/>
      <c r="L77" s="406"/>
      <c r="M77" s="406"/>
      <c r="N77" s="406"/>
      <c r="O77" s="406"/>
      <c r="P77" s="406"/>
      <c r="Q77" s="406"/>
      <c r="R77" s="406"/>
      <c r="S77" s="406"/>
      <c r="T77" s="406"/>
      <c r="U77" s="406"/>
      <c r="V77" s="406"/>
      <c r="W77" s="406"/>
      <c r="X77" s="406"/>
      <c r="Y77" s="406"/>
      <c r="Z77" s="406"/>
      <c r="AA77" s="406"/>
      <c r="AB77" s="406"/>
      <c r="AC77" s="406"/>
      <c r="AD77" s="406"/>
      <c r="AE77" s="406"/>
      <c r="AF77" s="406"/>
      <c r="AG77" s="406"/>
      <c r="AH77" s="406"/>
      <c r="AI77" s="406"/>
    </row>
    <row r="78" spans="1:35">
      <c r="A78" s="406"/>
      <c r="B78" s="406"/>
      <c r="C78" s="406"/>
      <c r="D78" s="406"/>
      <c r="E78" s="406"/>
      <c r="F78" s="406"/>
      <c r="G78" s="406"/>
      <c r="H78" s="545"/>
      <c r="I78" s="406"/>
      <c r="J78" s="406"/>
      <c r="K78" s="406"/>
      <c r="L78" s="406"/>
      <c r="M78" s="406"/>
      <c r="N78" s="406"/>
      <c r="O78" s="406"/>
      <c r="P78" s="406"/>
      <c r="Q78" s="406"/>
      <c r="R78" s="406"/>
      <c r="S78" s="406"/>
      <c r="T78" s="406"/>
      <c r="U78" s="406"/>
      <c r="V78" s="406"/>
      <c r="W78" s="406"/>
      <c r="X78" s="406"/>
      <c r="Y78" s="406"/>
      <c r="Z78" s="406"/>
      <c r="AA78" s="406"/>
      <c r="AB78" s="406"/>
      <c r="AC78" s="406"/>
      <c r="AD78" s="406"/>
      <c r="AE78" s="406"/>
      <c r="AF78" s="406"/>
      <c r="AG78" s="406"/>
      <c r="AH78" s="406"/>
      <c r="AI78" s="406"/>
    </row>
    <row r="79" spans="1:35">
      <c r="A79" s="406"/>
      <c r="B79" s="406"/>
      <c r="C79" s="406"/>
      <c r="D79" s="406"/>
      <c r="E79" s="406"/>
      <c r="F79" s="406"/>
      <c r="G79" s="406"/>
      <c r="H79" s="545"/>
      <c r="I79" s="406"/>
      <c r="J79" s="406"/>
      <c r="K79" s="406"/>
      <c r="L79" s="406"/>
      <c r="M79" s="406"/>
      <c r="N79" s="406"/>
      <c r="O79" s="406"/>
      <c r="P79" s="406"/>
      <c r="Q79" s="406"/>
      <c r="R79" s="406"/>
      <c r="S79" s="406"/>
      <c r="T79" s="406"/>
      <c r="U79" s="406"/>
      <c r="V79" s="406"/>
      <c r="W79" s="406"/>
      <c r="X79" s="406"/>
      <c r="Y79" s="406"/>
      <c r="Z79" s="406"/>
      <c r="AA79" s="406"/>
      <c r="AB79" s="406"/>
      <c r="AC79" s="406"/>
      <c r="AD79" s="406"/>
      <c r="AE79" s="406"/>
      <c r="AF79" s="406"/>
      <c r="AG79" s="406"/>
      <c r="AH79" s="406"/>
      <c r="AI79" s="406"/>
    </row>
    <row r="80" spans="1:35">
      <c r="A80" s="406"/>
      <c r="B80" s="406"/>
      <c r="C80" s="406"/>
      <c r="D80" s="406"/>
      <c r="E80" s="406"/>
      <c r="F80" s="406"/>
      <c r="G80" s="406"/>
      <c r="H80" s="545"/>
      <c r="I80" s="406"/>
      <c r="J80" s="406"/>
      <c r="K80" s="406"/>
      <c r="L80" s="406"/>
      <c r="M80" s="406"/>
      <c r="N80" s="406"/>
      <c r="O80" s="406"/>
      <c r="P80" s="406"/>
      <c r="Q80" s="406"/>
      <c r="R80" s="406"/>
      <c r="S80" s="406"/>
      <c r="T80" s="406"/>
      <c r="U80" s="406"/>
      <c r="V80" s="406"/>
      <c r="W80" s="406"/>
      <c r="X80" s="406"/>
      <c r="Y80" s="406"/>
      <c r="Z80" s="406"/>
      <c r="AA80" s="406"/>
      <c r="AB80" s="406"/>
      <c r="AC80" s="406"/>
      <c r="AD80" s="406"/>
      <c r="AE80" s="406"/>
      <c r="AF80" s="406"/>
      <c r="AG80" s="406"/>
      <c r="AH80" s="406"/>
      <c r="AI80" s="406"/>
    </row>
    <row r="81" spans="1:35">
      <c r="A81" s="406"/>
      <c r="B81" s="406"/>
      <c r="C81" s="406"/>
      <c r="D81" s="406"/>
      <c r="E81" s="406"/>
      <c r="F81" s="406"/>
      <c r="G81" s="406"/>
      <c r="H81" s="545"/>
      <c r="I81" s="406"/>
      <c r="J81" s="406"/>
      <c r="K81" s="406"/>
      <c r="L81" s="406"/>
      <c r="M81" s="406"/>
      <c r="N81" s="406"/>
      <c r="O81" s="406"/>
      <c r="P81" s="406"/>
      <c r="Q81" s="406"/>
      <c r="R81" s="406"/>
      <c r="S81" s="406"/>
      <c r="T81" s="406"/>
      <c r="U81" s="406"/>
      <c r="V81" s="406"/>
      <c r="W81" s="406"/>
      <c r="X81" s="406"/>
      <c r="Y81" s="406"/>
      <c r="Z81" s="406"/>
      <c r="AA81" s="406"/>
      <c r="AB81" s="406"/>
      <c r="AC81" s="406"/>
      <c r="AD81" s="406"/>
      <c r="AE81" s="406"/>
      <c r="AF81" s="406"/>
      <c r="AG81" s="406"/>
      <c r="AH81" s="406"/>
      <c r="AI81" s="406"/>
    </row>
    <row r="82" spans="1:35">
      <c r="A82" s="406"/>
      <c r="B82" s="406"/>
      <c r="C82" s="406"/>
      <c r="D82" s="406"/>
      <c r="E82" s="406"/>
      <c r="F82" s="406"/>
      <c r="G82" s="406"/>
      <c r="H82" s="545"/>
      <c r="I82" s="406"/>
      <c r="J82" s="406"/>
      <c r="K82" s="406"/>
      <c r="L82" s="406"/>
      <c r="M82" s="406"/>
      <c r="N82" s="406"/>
      <c r="O82" s="406"/>
      <c r="P82" s="406"/>
      <c r="Q82" s="406"/>
      <c r="R82" s="406"/>
      <c r="S82" s="406"/>
      <c r="T82" s="406"/>
      <c r="U82" s="406"/>
      <c r="V82" s="406"/>
      <c r="W82" s="406"/>
      <c r="X82" s="406"/>
      <c r="Y82" s="406"/>
      <c r="Z82" s="406"/>
      <c r="AA82" s="406"/>
      <c r="AB82" s="406"/>
      <c r="AC82" s="406"/>
      <c r="AD82" s="406"/>
      <c r="AE82" s="406"/>
      <c r="AF82" s="406"/>
      <c r="AG82" s="406"/>
      <c r="AH82" s="406"/>
      <c r="AI82" s="406"/>
    </row>
    <row r="83" spans="1:35">
      <c r="A83" s="406"/>
      <c r="B83" s="406"/>
      <c r="C83" s="406"/>
      <c r="D83" s="406"/>
      <c r="E83" s="406"/>
      <c r="F83" s="406"/>
      <c r="G83" s="406"/>
      <c r="H83" s="545"/>
      <c r="I83" s="406"/>
      <c r="J83" s="406"/>
      <c r="K83" s="406"/>
      <c r="L83" s="406"/>
      <c r="M83" s="406"/>
      <c r="N83" s="406"/>
      <c r="O83" s="406"/>
      <c r="P83" s="406"/>
      <c r="Q83" s="406"/>
      <c r="R83" s="406"/>
      <c r="S83" s="406"/>
      <c r="T83" s="406"/>
      <c r="U83" s="406"/>
      <c r="V83" s="406"/>
      <c r="W83" s="406"/>
      <c r="X83" s="406"/>
      <c r="Y83" s="406"/>
      <c r="Z83" s="406"/>
      <c r="AA83" s="406"/>
      <c r="AB83" s="406"/>
      <c r="AC83" s="406"/>
      <c r="AD83" s="406"/>
      <c r="AE83" s="406"/>
      <c r="AF83" s="406"/>
      <c r="AG83" s="406"/>
      <c r="AH83" s="406"/>
      <c r="AI83" s="406"/>
    </row>
  </sheetData>
  <phoneticPr fontId="4" type="noConversion"/>
  <pageMargins left="0.55118110236220474" right="0.55118110236220474" top="0.59055118110236227" bottom="0.78740157480314965" header="0.51181102362204722" footer="0.51181102362204722"/>
  <pageSetup paperSize="9" scale="24" orientation="landscape" horizontalDpi="1200" verticalDpi="1200" r:id="rId1"/>
  <headerFooter alignWithMargins="0">
    <oddHeader>&amp;RResultados del Modelo de Reciclaje Inclusivo</oddHeader>
  </headerFooter>
</worksheet>
</file>

<file path=xl/worksheets/sheet6.xml><?xml version="1.0" encoding="utf-8"?>
<worksheet xmlns="http://schemas.openxmlformats.org/spreadsheetml/2006/main" xmlns:r="http://schemas.openxmlformats.org/officeDocument/2006/relationships">
  <sheetPr codeName="Sheet7">
    <tabColor rgb="FFFFC000"/>
    <pageSetUpPr fitToPage="1"/>
  </sheetPr>
  <dimension ref="A2:W132"/>
  <sheetViews>
    <sheetView showRowColHeaders="0" topLeftCell="A73" zoomScale="80" zoomScaleNormal="80" workbookViewId="0">
      <selection activeCell="C84" sqref="C84"/>
    </sheetView>
  </sheetViews>
  <sheetFormatPr defaultRowHeight="15"/>
  <cols>
    <col min="1" max="1" width="24" style="1" customWidth="1"/>
    <col min="2" max="2" width="9.140625" style="1"/>
    <col min="3" max="3" width="36" style="1" bestFit="1" customWidth="1"/>
    <col min="4" max="6" width="9.140625" style="1"/>
    <col min="7" max="14" width="2.7109375" style="1" customWidth="1"/>
    <col min="15" max="16" width="9.140625" style="1"/>
    <col min="17" max="20" width="16.85546875" style="67" bestFit="1" customWidth="1"/>
    <col min="24" max="16384" width="9.140625" style="1"/>
  </cols>
  <sheetData>
    <row r="2" spans="1:23">
      <c r="A2" s="2" t="s">
        <v>34</v>
      </c>
      <c r="Q2" s="768" t="s">
        <v>214</v>
      </c>
      <c r="R2" s="768"/>
      <c r="S2" s="768"/>
      <c r="T2" s="768"/>
      <c r="U2" s="768"/>
    </row>
    <row r="4" spans="1:23">
      <c r="Q4" s="241" t="s">
        <v>190</v>
      </c>
      <c r="R4" s="242" t="s">
        <v>190</v>
      </c>
      <c r="S4" s="242" t="s">
        <v>190</v>
      </c>
      <c r="T4" s="242" t="s">
        <v>190</v>
      </c>
    </row>
    <row r="5" spans="1:23" ht="23.25">
      <c r="A5" s="242" t="s">
        <v>190</v>
      </c>
      <c r="B5" s="1">
        <f>IF(A5="","",MATCH(A5,tblIndicators!D$2:D$52,0))</f>
        <v>1</v>
      </c>
      <c r="C5" s="1" t="str">
        <f>IF($A5="","",INDEX(tblIndicators!AE$2:AE$52,$B5))</f>
        <v>CATEGORÍA</v>
      </c>
      <c r="Q5" s="409" t="s">
        <v>416</v>
      </c>
      <c r="R5" s="409" t="s">
        <v>416</v>
      </c>
      <c r="S5" s="409" t="s">
        <v>416</v>
      </c>
      <c r="T5" s="409" t="s">
        <v>416</v>
      </c>
    </row>
    <row r="6" spans="1:23" ht="23.25">
      <c r="A6" s="243" t="str">
        <f>R5</f>
        <v>NORM</v>
      </c>
      <c r="B6" s="1">
        <f>IF(A6="","",MATCH(A6,tblIndicators!D$2:D$52,0))</f>
        <v>2</v>
      </c>
      <c r="C6" s="1" t="str">
        <f>IF($A6="","",INDEX(tblIndicators!AE$2:AE$52,$B6))</f>
        <v>1) NORMATIVA</v>
      </c>
      <c r="Q6" s="407" t="s">
        <v>420</v>
      </c>
      <c r="R6" s="409" t="s">
        <v>417</v>
      </c>
      <c r="S6" s="407" t="s">
        <v>420</v>
      </c>
      <c r="T6" s="407" t="s">
        <v>420</v>
      </c>
    </row>
    <row r="7" spans="1:23" ht="23.25">
      <c r="A7" s="243" t="str">
        <f t="shared" ref="A7:A8" si="0">R6</f>
        <v>ORG</v>
      </c>
      <c r="B7" s="1">
        <f>IF(A7="","",MATCH(A7,tblIndicators!D$2:D$52,0))</f>
        <v>22</v>
      </c>
      <c r="C7" s="1" t="str">
        <f>IF($A7="","",INDEX(tblIndicators!AE$2:AE$52,$B7))</f>
        <v>2) ORGANIZATIVA</v>
      </c>
      <c r="Q7" s="407" t="s">
        <v>421</v>
      </c>
      <c r="R7" s="409" t="s">
        <v>418</v>
      </c>
      <c r="S7" s="407" t="s">
        <v>423</v>
      </c>
      <c r="T7" s="407" t="s">
        <v>421</v>
      </c>
    </row>
    <row r="8" spans="1:23" ht="23.25">
      <c r="A8" s="243" t="str">
        <f t="shared" si="0"/>
        <v>MERC</v>
      </c>
      <c r="B8" s="1">
        <f>IF(A8="","",MATCH(A8,tblIndicators!D$2:D$52,0))</f>
        <v>33</v>
      </c>
      <c r="C8" s="1" t="str">
        <f>IF($A8="","",INDEX(tblIndicators!AE$2:AE$52,$B8))</f>
        <v>3) MERCADO</v>
      </c>
      <c r="Q8" s="407" t="s">
        <v>422</v>
      </c>
      <c r="S8" s="407" t="s">
        <v>426</v>
      </c>
      <c r="T8" s="407" t="s">
        <v>422</v>
      </c>
    </row>
    <row r="9" spans="1:23">
      <c r="Q9" s="407" t="s">
        <v>2228</v>
      </c>
      <c r="S9" s="407" t="s">
        <v>427</v>
      </c>
      <c r="T9" s="407" t="s">
        <v>423</v>
      </c>
    </row>
    <row r="10" spans="1:23">
      <c r="Q10" s="407" t="s">
        <v>2229</v>
      </c>
      <c r="S10" s="407" t="s">
        <v>429</v>
      </c>
      <c r="T10" s="407" t="s">
        <v>424</v>
      </c>
    </row>
    <row r="11" spans="1:23" ht="23.25">
      <c r="A11" s="4" t="s">
        <v>325</v>
      </c>
      <c r="C11" s="6"/>
      <c r="Q11" s="407" t="s">
        <v>423</v>
      </c>
      <c r="S11" s="409" t="s">
        <v>417</v>
      </c>
      <c r="T11" s="407" t="s">
        <v>425</v>
      </c>
    </row>
    <row r="12" spans="1:23">
      <c r="A12" s="115" t="s">
        <v>190</v>
      </c>
      <c r="B12" s="1">
        <f>IF(A12="","",MATCH(A12,tblIndicators!D$2:D$52,0))</f>
        <v>1</v>
      </c>
      <c r="C12" s="1" t="str">
        <f>IF($A12="","",INDEX(tblIndicators!AE$2:AE$52,$B12))</f>
        <v>CATEGORÍA</v>
      </c>
      <c r="D12" s="1" t="str">
        <f>IF($A12="","",IF(INDEX(tblIndicators!$C$2:$C$52,$B12)="","",INDEX(tblIndicators!$C$2:$C$52,$B12)))</f>
        <v/>
      </c>
      <c r="Q12" s="407" t="s">
        <v>424</v>
      </c>
      <c r="S12" s="408" t="s">
        <v>431</v>
      </c>
      <c r="T12" s="407" t="s">
        <v>426</v>
      </c>
    </row>
    <row r="13" spans="1:23" ht="23.25">
      <c r="A13" s="409" t="s">
        <v>416</v>
      </c>
      <c r="B13" s="1">
        <f>IF(A13="","",MATCH(A13,tblIndicators!D$2:D$52,0))</f>
        <v>2</v>
      </c>
      <c r="C13" s="1" t="str">
        <f>IF($A13="","",INDEX(tblIndicators!AE$2:AE$52,$B13))</f>
        <v>1) NORMATIVA</v>
      </c>
      <c r="D13" s="1" t="str">
        <f>IF($A13="","",IF(INDEX(tblIndicators!$C$2:$C$52,$B13)="","",INDEX(tblIndicators!$C$2:$C$52,$B13)))</f>
        <v/>
      </c>
      <c r="Q13" s="407" t="s">
        <v>425</v>
      </c>
      <c r="S13" s="408" t="s">
        <v>433</v>
      </c>
      <c r="T13" s="407" t="s">
        <v>427</v>
      </c>
    </row>
    <row r="14" spans="1:23" ht="23.25">
      <c r="A14" s="407" t="s">
        <v>420</v>
      </c>
      <c r="B14" s="1">
        <f>IF(A14="","",MATCH(A14,tblIndicators!D$2:D$52,0))</f>
        <v>3</v>
      </c>
      <c r="C14" s="1" t="str">
        <f>IF($A14="","",INDEX(tblIndicators!AE$2:AE$52,$B14))</f>
        <v>1.1) Normativa sobre gestión de residuos</v>
      </c>
      <c r="D14" s="1" t="str">
        <f>IF($A14="","",IF(INDEX(tblIndicators!$C$2:$C$52,$B14)="","",INDEX(tblIndicators!$C$2:$C$52,$B14)))</f>
        <v/>
      </c>
      <c r="Q14" s="407" t="s">
        <v>426</v>
      </c>
      <c r="S14" s="409" t="s">
        <v>418</v>
      </c>
      <c r="T14" s="407" t="s">
        <v>428</v>
      </c>
      <c r="W14" s="1"/>
    </row>
    <row r="15" spans="1:23">
      <c r="A15" s="407" t="s">
        <v>421</v>
      </c>
      <c r="B15" s="1">
        <f>IF(A15="","",MATCH(A15,tblIndicators!D$2:D$52,0))</f>
        <v>4</v>
      </c>
      <c r="C15" s="1" t="str">
        <f>IF($A15="","",INDEX(tblIndicators!AE$2:AE$52,$B15))</f>
        <v>1.1.1) 1.¿ Existe un marco legal nacional para la gestión de residuos orientado al reciclaje con la inclusión de actores informales?</v>
      </c>
      <c r="D15" s="1">
        <f>IF($A15="","",IF(INDEX(tblIndicators!$C$2:$C$52,$B15)="","",INDEX(tblIndicators!$C$2:$C$52,$B15)))</f>
        <v>1</v>
      </c>
      <c r="Q15" s="407" t="s">
        <v>2230</v>
      </c>
      <c r="S15" s="408" t="s">
        <v>435</v>
      </c>
      <c r="T15" s="407" t="s">
        <v>429</v>
      </c>
      <c r="W15" s="1"/>
    </row>
    <row r="16" spans="1:23">
      <c r="A16" s="407" t="s">
        <v>422</v>
      </c>
      <c r="B16" s="1">
        <f>IF(A16="","",MATCH(A16,tblIndicators!D$2:D$52,0))</f>
        <v>5</v>
      </c>
      <c r="C16" s="1" t="str">
        <f>IF($A16="","",INDEX(tblIndicators!AE$2:AE$52,$B16))</f>
        <v>1.1.2) 2.¿Existe un marco legal municipal para la gestión de residuos orientado al reciclaje y la inclusión de actores informales?</v>
      </c>
      <c r="D16" s="1">
        <f>IF($A16="","",IF(INDEX(tblIndicators!$C$2:$C$52,$B16)="","",INDEX(tblIndicators!$C$2:$C$52,$B16)))</f>
        <v>2</v>
      </c>
      <c r="Q16" s="407" t="s">
        <v>2231</v>
      </c>
      <c r="S16" s="408" t="s">
        <v>438</v>
      </c>
      <c r="T16" s="407" t="s">
        <v>430</v>
      </c>
      <c r="W16" s="1"/>
    </row>
    <row r="17" spans="1:23" ht="23.25">
      <c r="A17" s="407" t="s">
        <v>2228</v>
      </c>
      <c r="B17" s="1">
        <f>IF(A17="","",MATCH(A17,tblIndicators!D$2:D$52,0))</f>
        <v>6</v>
      </c>
      <c r="C17" s="1" t="str">
        <f>IF($A17="","",INDEX(tblIndicators!AE$2:AE$52,$B17))</f>
        <v>1.1.3) 3.¿Son las políticas municipales suficientemente estables para garantizar la continuidad en materia de políticas de reciclaje inclusivo?</v>
      </c>
      <c r="D17" s="1">
        <f>IF($A17="","",IF(INDEX(tblIndicators!$C$2:$C$52,$B17)="","",INDEX(tblIndicators!$C$2:$C$52,$B17)))</f>
        <v>3</v>
      </c>
      <c r="Q17" s="407" t="s">
        <v>2232</v>
      </c>
      <c r="S17" s="408" t="s">
        <v>440</v>
      </c>
      <c r="T17" s="409" t="s">
        <v>417</v>
      </c>
      <c r="W17" s="1"/>
    </row>
    <row r="18" spans="1:23">
      <c r="A18" s="407" t="s">
        <v>2229</v>
      </c>
      <c r="B18" s="1">
        <f>IF(A18="","",MATCH(A18,tblIndicators!D$2:D$52,0))</f>
        <v>7</v>
      </c>
      <c r="C18" s="1" t="str">
        <f>IF($A18="","",INDEX(tblIndicators!AE$2:AE$52,$B18))</f>
        <v>1.1.4) 4.¿Existe un presupuesto (o mecanismo de financiación) municipal asignado para el reciclaje inclusivo?</v>
      </c>
      <c r="D18" s="1">
        <f>IF($A18="","",IF(INDEX(tblIndicators!$C$2:$C$52,$B18)="","",INDEX(tblIndicators!$C$2:$C$52,$B18)))</f>
        <v>4</v>
      </c>
      <c r="Q18" s="407" t="s">
        <v>2233</v>
      </c>
      <c r="S18" s="408" t="s">
        <v>442</v>
      </c>
      <c r="T18" s="408" t="s">
        <v>431</v>
      </c>
    </row>
    <row r="19" spans="1:23">
      <c r="A19" s="407" t="s">
        <v>423</v>
      </c>
      <c r="B19" s="1">
        <f>IF(A19="","",MATCH(A19,tblIndicators!D$2:D$52,0))</f>
        <v>8</v>
      </c>
      <c r="C19" s="1" t="str">
        <f>IF($A19="","",INDEX(tblIndicators!AE$2:AE$52,$B19))</f>
        <v>1.2) Integración del reciclador de base</v>
      </c>
      <c r="D19" s="1" t="str">
        <f>IF($A19="","",IF(INDEX(tblIndicators!$C$2:$C$52,$B19)="","",INDEX(tblIndicators!$C$2:$C$52,$B19)))</f>
        <v/>
      </c>
      <c r="Q19" s="407" t="s">
        <v>2234</v>
      </c>
      <c r="T19" s="408" t="s">
        <v>432</v>
      </c>
    </row>
    <row r="20" spans="1:23">
      <c r="A20" s="407" t="s">
        <v>424</v>
      </c>
      <c r="B20" s="1">
        <f>IF(A20="","",MATCH(A20,tblIndicators!D$2:D$52,0))</f>
        <v>9</v>
      </c>
      <c r="C20" s="1" t="str">
        <f>IF($A20="","",INDEX(tblIndicators!AE$2:AE$52,$B20))</f>
        <v>1.2.1) 5.¿Existe reconocimiento legal de la ocupación de reciclador de base?</v>
      </c>
      <c r="D20" s="1">
        <f>IF($A20="","",IF(INDEX(tblIndicators!$C$2:$C$52,$B20)="","",INDEX(tblIndicators!$C$2:$C$52,$B20)))</f>
        <v>5</v>
      </c>
      <c r="Q20" s="407" t="s">
        <v>427</v>
      </c>
      <c r="T20" s="408" t="s">
        <v>433</v>
      </c>
    </row>
    <row r="21" spans="1:23">
      <c r="A21" s="407" t="s">
        <v>425</v>
      </c>
      <c r="B21" s="1">
        <f>IF(A21="","",MATCH(A21,tblIndicators!D$2:D$52,0))</f>
        <v>10</v>
      </c>
      <c r="C21" s="1" t="str">
        <f>IF($A21="","",INDEX(tblIndicators!AE$2:AE$52,$B21))</f>
        <v>1.2.2) 6.¿Se reconoce a los recicladores de base como prestadores de servicio en la gestión de residuos?</v>
      </c>
      <c r="D21" s="1">
        <f>IF($A21="","",IF(INDEX(tblIndicators!$C$2:$C$52,$B21)="","",INDEX(tblIndicators!$C$2:$C$52,$B21)))</f>
        <v>6</v>
      </c>
      <c r="Q21" s="407" t="s">
        <v>428</v>
      </c>
      <c r="T21" s="408" t="s">
        <v>434</v>
      </c>
    </row>
    <row r="22" spans="1:23" ht="23.25">
      <c r="A22" s="407" t="s">
        <v>426</v>
      </c>
      <c r="B22" s="1">
        <f>IF(A22="","",MATCH(A22,tblIndicators!D$2:D$52,0))</f>
        <v>11</v>
      </c>
      <c r="C22" s="1" t="str">
        <f>IF($A22="","",INDEX(tblIndicators!AE$2:AE$52,$B22))</f>
        <v>1.2.3) 7.¿Se ha identificado la población de recicladores de base a través de un censo?</v>
      </c>
      <c r="D22" s="1">
        <f>IF($A22="","",IF(INDEX(tblIndicators!$C$2:$C$52,$B22)="","",INDEX(tblIndicators!$C$2:$C$52,$B22)))</f>
        <v>7</v>
      </c>
      <c r="Q22" s="407" t="s">
        <v>2235</v>
      </c>
      <c r="T22" s="409" t="s">
        <v>418</v>
      </c>
    </row>
    <row r="23" spans="1:23">
      <c r="A23" s="407" t="s">
        <v>2230</v>
      </c>
      <c r="B23" s="1">
        <f>IF(A23="","",MATCH(A23,tblIndicators!D$2:D$52,0))</f>
        <v>12</v>
      </c>
      <c r="C23" s="1" t="str">
        <f>IF($A23="","",INDEX(tblIndicators!AE$2:AE$52,$B23))</f>
        <v>1.2.4) 8.¿Cuál es el grado de transparencia e inclusión en los procesos de licitación para el reciclaje?</v>
      </c>
      <c r="D23" s="1">
        <f>IF($A23="","",IF(INDEX(tblIndicators!$C$2:$C$52,$B23)="","",INDEX(tblIndicators!$C$2:$C$52,$B23)))</f>
        <v>8</v>
      </c>
      <c r="Q23" s="407" t="s">
        <v>429</v>
      </c>
      <c r="T23" s="408" t="s">
        <v>435</v>
      </c>
    </row>
    <row r="24" spans="1:23">
      <c r="A24" s="407" t="s">
        <v>2231</v>
      </c>
      <c r="B24" s="1">
        <f>IF(A24="","",MATCH(A24,tblIndicators!D$2:D$52,0))</f>
        <v>13</v>
      </c>
      <c r="C24" s="1" t="str">
        <f>IF($A24="","",INDEX(tblIndicators!AE$2:AE$52,$B24))</f>
        <v>1.2.5) 9.¿La normativa/ estrategia municipal de residuos sólidos: fue desarrollada de manera participativa?</v>
      </c>
      <c r="D24" s="1">
        <f>IF($A24="","",IF(INDEX(tblIndicators!$C$2:$C$52,$B24)="","",INDEX(tblIndicators!$C$2:$C$52,$B24)))</f>
        <v>9</v>
      </c>
      <c r="Q24" s="407" t="s">
        <v>430</v>
      </c>
      <c r="T24" s="408" t="s">
        <v>436</v>
      </c>
    </row>
    <row r="25" spans="1:23" ht="23.25">
      <c r="A25" s="407" t="s">
        <v>2232</v>
      </c>
      <c r="B25" s="1">
        <f>IF(A25="","",MATCH(A25,tblIndicators!D$2:D$52,0))</f>
        <v>14</v>
      </c>
      <c r="C25" s="1" t="str">
        <f>IF($A25="","",INDEX(tblIndicators!AE$2:AE$52,$B25))</f>
        <v>1.2.6) 10.¿Hay programas de formación/capacitación a nivel municipal?</v>
      </c>
      <c r="D25" s="1">
        <f>IF($A25="","",IF(INDEX(tblIndicators!$C$2:$C$52,$B25)="","",INDEX(tblIndicators!$C$2:$C$52,$B25)))</f>
        <v>10</v>
      </c>
      <c r="Q25" s="409" t="s">
        <v>417</v>
      </c>
      <c r="T25" s="408" t="s">
        <v>437</v>
      </c>
    </row>
    <row r="26" spans="1:23">
      <c r="A26" s="407" t="s">
        <v>2233</v>
      </c>
      <c r="B26" s="1">
        <f>IF(A26="","",MATCH(A26,tblIndicators!D$2:D$52,0))</f>
        <v>15</v>
      </c>
      <c r="C26" s="1" t="str">
        <f>IF($A26="","",INDEX(tblIndicators!AE$2:AE$52,$B26))</f>
        <v>1.2.7) 11.¿Existen incentivos, programas y/o acciones concretas para el fortalecimiento de la ocupación del reciclador de base?</v>
      </c>
      <c r="D26" s="1">
        <f>IF($A26="","",IF(INDEX(tblIndicators!$C$2:$C$52,$B26)="","",INDEX(tblIndicators!$C$2:$C$52,$B26)))</f>
        <v>11</v>
      </c>
      <c r="Q26" s="408" t="s">
        <v>431</v>
      </c>
      <c r="T26" s="408" t="s">
        <v>438</v>
      </c>
    </row>
    <row r="27" spans="1:23">
      <c r="A27" s="407" t="s">
        <v>2234</v>
      </c>
      <c r="B27" s="1">
        <f>IF(A27="","",MATCH(A27,tblIndicators!D$2:D$52,0))</f>
        <v>16</v>
      </c>
      <c r="C27" s="1" t="str">
        <f>IF($A27="","",INDEX(tblIndicators!AE$2:AE$52,$B27))</f>
        <v xml:space="preserve">1.2.8) 12.¿Existen incentivos de reciclaje para los usuarios? </v>
      </c>
      <c r="D27" s="1">
        <f>IF($A27="","",IF(INDEX(tblIndicators!$C$2:$C$52,$B27)="","",INDEX(tblIndicators!$C$2:$C$52,$B27)))</f>
        <v>12</v>
      </c>
      <c r="Q27" s="408" t="s">
        <v>432</v>
      </c>
      <c r="T27" s="408" t="s">
        <v>439</v>
      </c>
    </row>
    <row r="28" spans="1:23">
      <c r="A28" s="407" t="s">
        <v>427</v>
      </c>
      <c r="B28" s="1">
        <f>IF(A28="","",MATCH(A28,tblIndicators!D$2:D$52,0))</f>
        <v>17</v>
      </c>
      <c r="C28" s="1" t="str">
        <f>IF($A28="","",INDEX(tblIndicators!AE$2:AE$52,$B28))</f>
        <v>1.3) Generación de información</v>
      </c>
      <c r="D28" s="1" t="str">
        <f>IF($A28="","",IF(INDEX(tblIndicators!$C$2:$C$52,$B28)="","",INDEX(tblIndicators!$C$2:$C$52,$B28)))</f>
        <v/>
      </c>
      <c r="Q28" s="408" t="s">
        <v>2236</v>
      </c>
      <c r="T28" s="408" t="s">
        <v>440</v>
      </c>
    </row>
    <row r="29" spans="1:23">
      <c r="A29" s="407" t="s">
        <v>428</v>
      </c>
      <c r="B29" s="1">
        <f>IF(A29="","",MATCH(A29,tblIndicators!D$2:D$52,0))</f>
        <v>18</v>
      </c>
      <c r="C29" s="1" t="str">
        <f>IF($A29="","",INDEX(tblIndicators!AE$2:AE$52,$B29))</f>
        <v>1.3.1) 13.¿Hay un sistema municipal de recolección de información de reciclaje inclusivo?</v>
      </c>
      <c r="D29" s="1">
        <f>IF($A29="","",IF(INDEX(tblIndicators!$C$2:$C$52,$B29)="","",INDEX(tblIndicators!$C$2:$C$52,$B29)))</f>
        <v>13</v>
      </c>
      <c r="Q29" s="408" t="s">
        <v>2237</v>
      </c>
      <c r="T29" s="408" t="s">
        <v>441</v>
      </c>
    </row>
    <row r="30" spans="1:23">
      <c r="A30" s="407" t="s">
        <v>2235</v>
      </c>
      <c r="B30" s="1">
        <f>IF(A30="","",MATCH(A30,tblIndicators!D$2:D$52,0))</f>
        <v>19</v>
      </c>
      <c r="C30" s="1" t="str">
        <f>IF($A30="","",INDEX(tblIndicators!AE$2:AE$52,$B30))</f>
        <v>1.3.2) 14.¿Hay campañas de comunicación para fomentar el reciclaje inclusivo con difusión en el municipio?</v>
      </c>
      <c r="D30" s="1">
        <f>IF($A30="","",IF(INDEX(tblIndicators!$C$2:$C$52,$B30)="","",INDEX(tblIndicators!$C$2:$C$52,$B30)))</f>
        <v>14</v>
      </c>
      <c r="Q30" s="408" t="s">
        <v>2238</v>
      </c>
      <c r="T30" s="408" t="s">
        <v>442</v>
      </c>
    </row>
    <row r="31" spans="1:23">
      <c r="A31" s="407" t="s">
        <v>429</v>
      </c>
      <c r="B31" s="1">
        <f>IF(A31="","",MATCH(A31,tblIndicators!D$2:D$52,0))</f>
        <v>20</v>
      </c>
      <c r="C31" s="1" t="str">
        <f>IF($A31="","",INDEX(tblIndicators!AE$2:AE$52,$B31))</f>
        <v>1.4) Salud pública y el medioambiente</v>
      </c>
      <c r="D31" s="1" t="str">
        <f>IF($A31="","",IF(INDEX(tblIndicators!$C$2:$C$52,$B31)="","",INDEX(tblIndicators!$C$2:$C$52,$B31)))</f>
        <v/>
      </c>
      <c r="Q31" s="408" t="s">
        <v>2239</v>
      </c>
      <c r="T31" s="408" t="s">
        <v>443</v>
      </c>
    </row>
    <row r="32" spans="1:23">
      <c r="A32" s="407" t="s">
        <v>430</v>
      </c>
      <c r="B32" s="1">
        <f>IF(A32="","",MATCH(A32,tblIndicators!D$2:D$52,0))</f>
        <v>21</v>
      </c>
      <c r="C32" s="1" t="str">
        <f>IF($A32="","",INDEX(tblIndicators!AE$2:AE$52,$B32))</f>
        <v>1.4.1) 15.¿Existe adecuada regulación y control sobre clasificación y manejo de desechos especiales y/o  peligrosos y sobre clasificación en la calle?</v>
      </c>
      <c r="D32" s="1">
        <f>IF($A32="","",IF(INDEX(tblIndicators!$C$2:$C$52,$B32)="","",INDEX(tblIndicators!$C$2:$C$52,$B32)))</f>
        <v>15</v>
      </c>
      <c r="Q32" s="408" t="s">
        <v>433</v>
      </c>
      <c r="T32" s="408" t="s">
        <v>444</v>
      </c>
    </row>
    <row r="33" spans="1:23" ht="23.25">
      <c r="A33" s="409" t="s">
        <v>417</v>
      </c>
      <c r="B33" s="1">
        <f>IF(A33="","",MATCH(A33,tblIndicators!D$2:D$52,0))</f>
        <v>22</v>
      </c>
      <c r="C33" s="1" t="str">
        <f>IF($A33="","",INDEX(tblIndicators!AE$2:AE$52,$B33))</f>
        <v>2) ORGANIZATIVA</v>
      </c>
      <c r="D33" s="1" t="str">
        <f>IF($A33="","",IF(INDEX(tblIndicators!$C$2:$C$52,$B33)="","",INDEX(tblIndicators!$C$2:$C$52,$B33)))</f>
        <v/>
      </c>
      <c r="Q33" s="408" t="s">
        <v>434</v>
      </c>
    </row>
    <row r="34" spans="1:23">
      <c r="A34" s="408" t="s">
        <v>431</v>
      </c>
      <c r="B34" s="1">
        <f>IF(A34="","",MATCH(A34,tblIndicators!D$2:D$52,0))</f>
        <v>23</v>
      </c>
      <c r="C34" s="1" t="str">
        <f>IF($A34="","",INDEX(tblIndicators!AE$2:AE$52,$B34))</f>
        <v>2.1) Asociatividad</v>
      </c>
      <c r="D34" s="1" t="str">
        <f>IF($A34="","",IF(INDEX(tblIndicators!$C$2:$C$52,$B34)="","",INDEX(tblIndicators!$C$2:$C$52,$B34)))</f>
        <v/>
      </c>
      <c r="Q34" s="408" t="s">
        <v>2240</v>
      </c>
    </row>
    <row r="35" spans="1:23">
      <c r="A35" s="408" t="s">
        <v>432</v>
      </c>
      <c r="B35" s="1">
        <f>IF(A35="","",MATCH(A35,tblIndicators!D$2:D$52,0))</f>
        <v>24</v>
      </c>
      <c r="C35" s="1" t="str">
        <f>IF($A35="","",INDEX(tblIndicators!AE$2:AE$52,$B35))</f>
        <v>2.1.1) 16.¿Cuán dinámicas son las asociaciones?</v>
      </c>
      <c r="D35" s="1">
        <f>IF($A35="","",IF(INDEX(tblIndicators!$C$2:$C$52,$B35)="","",INDEX(tblIndicators!$C$2:$C$52,$B35)))</f>
        <v>16</v>
      </c>
      <c r="Q35" s="408" t="s">
        <v>2241</v>
      </c>
    </row>
    <row r="36" spans="1:23" ht="23.25">
      <c r="A36" s="408" t="s">
        <v>2236</v>
      </c>
      <c r="B36" s="1">
        <f>IF(A36="","",MATCH(A36,tblIndicators!D$2:D$52,0))</f>
        <v>25</v>
      </c>
      <c r="C36" s="1" t="str">
        <f>IF($A36="","",INDEX(tblIndicators!AE$2:AE$52,$B36))</f>
        <v xml:space="preserve">2.1.2) 17.¿Qué nivel de inclusión  presentan estas asociaciones? </v>
      </c>
      <c r="D36" s="1">
        <f>IF($A36="","",IF(INDEX(tblIndicators!$C$2:$C$52,$B36)="","",INDEX(tblIndicators!$C$2:$C$52,$B36)))</f>
        <v>17</v>
      </c>
      <c r="Q36" s="409" t="s">
        <v>418</v>
      </c>
      <c r="U36" s="28"/>
      <c r="V36" s="28"/>
      <c r="W36" s="28"/>
    </row>
    <row r="37" spans="1:23">
      <c r="A37" s="408" t="s">
        <v>2237</v>
      </c>
      <c r="B37" s="1">
        <f>IF(A37="","",MATCH(A37,tblIndicators!D$2:D$52,0))</f>
        <v>26</v>
      </c>
      <c r="C37" s="1" t="str">
        <f>IF($A37="","",INDEX(tblIndicators!AE$2:AE$52,$B37))</f>
        <v>2.1.3) 18.¿Las asociaciones: participan en espacios de interlocución o diálogo con pares?</v>
      </c>
      <c r="D37" s="1">
        <f>IF($A37="","",IF(INDEX(tblIndicators!$C$2:$C$52,$B37)="","",INDEX(tblIndicators!$C$2:$C$52,$B37)))</f>
        <v>18</v>
      </c>
      <c r="Q37" s="408" t="s">
        <v>435</v>
      </c>
      <c r="U37" s="28"/>
      <c r="V37" s="28"/>
      <c r="W37" s="28"/>
    </row>
    <row r="38" spans="1:23">
      <c r="A38" s="408" t="s">
        <v>2238</v>
      </c>
      <c r="B38" s="1">
        <f>IF(A38="","",MATCH(A38,tblIndicators!D$2:D$52,0))</f>
        <v>27</v>
      </c>
      <c r="C38" s="1" t="str">
        <f>IF($A38="","",INDEX(tblIndicators!AE$2:AE$52,$B38))</f>
        <v>2.1.4) 19.¿Existen espacios de diálogo y coordinación entre diferentes actores de la cadena de valor del reciclaje?</v>
      </c>
      <c r="D38" s="1">
        <f>IF($A38="","",IF(INDEX(tblIndicators!$C$2:$C$52,$B38)="","",INDEX(tblIndicators!$C$2:$C$52,$B38)))</f>
        <v>19</v>
      </c>
      <c r="Q38" s="408" t="s">
        <v>436</v>
      </c>
      <c r="U38" s="28"/>
      <c r="V38" s="28"/>
      <c r="W38" s="28"/>
    </row>
    <row r="39" spans="1:23">
      <c r="A39" s="408" t="s">
        <v>2239</v>
      </c>
      <c r="B39" s="1">
        <f>IF(A39="","",MATCH(A39,tblIndicators!D$2:D$52,0))</f>
        <v>28</v>
      </c>
      <c r="C39" s="1" t="str">
        <f>IF($A39="","",INDEX(tblIndicators!AE$2:AE$52,$B39))</f>
        <v>2.1.5) 20.¿Cuál es el nivel de representación de las mujeres en las asociaciones?</v>
      </c>
      <c r="D39" s="1">
        <f>IF($A39="","",IF(INDEX(tblIndicators!$C$2:$C$52,$B39)="","",INDEX(tblIndicators!$C$2:$C$52,$B39)))</f>
        <v>20</v>
      </c>
      <c r="Q39" s="408" t="s">
        <v>437</v>
      </c>
      <c r="U39" s="28"/>
      <c r="V39" s="28"/>
      <c r="W39" s="28"/>
    </row>
    <row r="40" spans="1:23">
      <c r="A40" s="408" t="s">
        <v>433</v>
      </c>
      <c r="B40" s="1">
        <f>IF(A40="","",MATCH(A40,tblIndicators!D$2:D$52,0))</f>
        <v>29</v>
      </c>
      <c r="C40" s="1" t="str">
        <f>IF($A40="","",INDEX(tblIndicators!AE$2:AE$52,$B40))</f>
        <v>2.2) Organizaciones comerciales</v>
      </c>
      <c r="D40" s="1" t="str">
        <f>IF($A40="","",IF(INDEX(tblIndicators!$C$2:$C$52,$B40)="","",INDEX(tblIndicators!$C$2:$C$52,$B40)))</f>
        <v/>
      </c>
      <c r="Q40" s="408" t="s">
        <v>2242</v>
      </c>
      <c r="U40" s="28"/>
      <c r="V40" s="28"/>
      <c r="W40" s="28"/>
    </row>
    <row r="41" spans="1:23">
      <c r="A41" s="408" t="s">
        <v>434</v>
      </c>
      <c r="B41" s="1">
        <f>IF(A41="","",MATCH(A41,tblIndicators!D$2:D$52,0))</f>
        <v>30</v>
      </c>
      <c r="C41" s="1" t="str">
        <f>IF($A41="","",INDEX(tblIndicators!AE$2:AE$52,$B41))</f>
        <v xml:space="preserve">2.2.1) 21.¿Existen organizaciones de recicladores con actividad comercial en el municipio (cooperativas y/o microempresas)? </v>
      </c>
      <c r="D41" s="1">
        <f>IF($A41="","",IF(INDEX(tblIndicators!$C$2:$C$52,$B41)="","",INDEX(tblIndicators!$C$2:$C$52,$B41)))</f>
        <v>21</v>
      </c>
      <c r="Q41" s="408" t="s">
        <v>2243</v>
      </c>
      <c r="U41" s="28"/>
      <c r="V41" s="28"/>
      <c r="W41" s="28"/>
    </row>
    <row r="42" spans="1:23">
      <c r="A42" s="408" t="s">
        <v>2240</v>
      </c>
      <c r="B42" s="1">
        <f>IF(A42="","",MATCH(A42,tblIndicators!D$2:D$52,0))</f>
        <v>31</v>
      </c>
      <c r="C42" s="1" t="str">
        <f>IF($A42="","",INDEX(tblIndicators!AE$2:AE$52,$B42))</f>
        <v>2.2.2) 22.¿Cuál es el nivel de participación de las organizaciones de recicladores en la cadena de valor del reciclaje?</v>
      </c>
      <c r="D42" s="1">
        <f>IF($A42="","",IF(INDEX(tblIndicators!$C$2:$C$52,$B42)="","",INDEX(tblIndicators!$C$2:$C$52,$B42)))</f>
        <v>22</v>
      </c>
      <c r="Q42" s="408" t="s">
        <v>438</v>
      </c>
      <c r="U42" s="28"/>
      <c r="V42" s="28"/>
      <c r="W42" s="28"/>
    </row>
    <row r="43" spans="1:23">
      <c r="A43" s="408" t="s">
        <v>2241</v>
      </c>
      <c r="B43" s="1">
        <f>IF(A43="","",MATCH(A43,tblIndicators!D$2:D$52,0))</f>
        <v>32</v>
      </c>
      <c r="C43" s="1" t="str">
        <f>IF($A43="","",INDEX(tblIndicators!AE$2:AE$52,$B43))</f>
        <v>2.2.3) 23. Las organizaciones comerciales de recicladores: ¿Tienen acceso a mecanismos de financiamiento?</v>
      </c>
      <c r="D43" s="1">
        <f>IF($A43="","",IF(INDEX(tblIndicators!$C$2:$C$52,$B43)="","",INDEX(tblIndicators!$C$2:$C$52,$B43)))</f>
        <v>23</v>
      </c>
      <c r="Q43" s="408" t="s">
        <v>439</v>
      </c>
      <c r="U43" s="28"/>
      <c r="V43" s="28"/>
      <c r="W43" s="28"/>
    </row>
    <row r="44" spans="1:23" ht="23.25">
      <c r="A44" s="409" t="s">
        <v>418</v>
      </c>
      <c r="B44" s="1">
        <f>IF(A44="","",MATCH(A44,tblIndicators!D$2:D$52,0))</f>
        <v>33</v>
      </c>
      <c r="C44" s="1" t="str">
        <f>IF($A44="","",INDEX(tblIndicators!AE$2:AE$52,$B44))</f>
        <v>3) MERCADO</v>
      </c>
      <c r="D44" s="1" t="str">
        <f>IF($A44="","",IF(INDEX(tblIndicators!$C$2:$C$52,$B44)="","",INDEX(tblIndicators!$C$2:$C$52,$B44)))</f>
        <v/>
      </c>
      <c r="Q44" s="408" t="s">
        <v>2244</v>
      </c>
      <c r="U44" s="28"/>
      <c r="V44" s="28"/>
      <c r="W44" s="28"/>
    </row>
    <row r="45" spans="1:23">
      <c r="A45" s="408" t="s">
        <v>435</v>
      </c>
      <c r="B45" s="1">
        <f>IF(A45="","",MATCH(A45,tblIndicators!D$2:D$52,0))</f>
        <v>34</v>
      </c>
      <c r="C45" s="1" t="str">
        <f>IF($A45="","",INDEX(tblIndicators!AE$2:AE$52,$B45))</f>
        <v>3.1) Condiciones de acceso y almacenamiento de residuos</v>
      </c>
      <c r="D45" s="1" t="str">
        <f>IF($A45="","",IF(INDEX(tblIndicators!$C$2:$C$52,$B45)="","",INDEX(tblIndicators!$C$2:$C$52,$B45)))</f>
        <v/>
      </c>
      <c r="Q45" s="408" t="s">
        <v>440</v>
      </c>
      <c r="U45" s="28"/>
      <c r="V45" s="28"/>
      <c r="W45" s="28"/>
    </row>
    <row r="46" spans="1:23">
      <c r="A46" s="408" t="s">
        <v>436</v>
      </c>
      <c r="B46" s="1">
        <f>IF(A46="","",MATCH(A46,tblIndicators!D$2:D$52,0))</f>
        <v>35</v>
      </c>
      <c r="C46" s="1" t="str">
        <f>IF($A46="","",INDEX(tblIndicators!AE$2:AE$52,$B46))</f>
        <v>3.1.1) 24.¿Cómo es el acceso del material reciclable?</v>
      </c>
      <c r="D46" s="1">
        <f>IF($A46="","",IF(INDEX(tblIndicators!$C$2:$C$52,$B46)="","",INDEX(tblIndicators!$C$2:$C$52,$B46)))</f>
        <v>24</v>
      </c>
      <c r="Q46" s="408" t="s">
        <v>441</v>
      </c>
      <c r="U46" s="28"/>
      <c r="V46" s="28"/>
      <c r="W46" s="28"/>
    </row>
    <row r="47" spans="1:23">
      <c r="A47" s="408" t="s">
        <v>437</v>
      </c>
      <c r="B47" s="1">
        <f>IF(A47="","",MATCH(A47,tblIndicators!D$2:D$52,0))</f>
        <v>36</v>
      </c>
      <c r="C47" s="1" t="str">
        <f>IF($A47="","",INDEX(tblIndicators!AE$2:AE$52,$B47))</f>
        <v>3.1.2) 25.¿Existen esquemas formales de recolección diferenciada de residuos reciclables en el municipio que involucran a recicladores de base?</v>
      </c>
      <c r="D47" s="1">
        <f>IF($A47="","",IF(INDEX(tblIndicators!$C$2:$C$52,$B47)="","",INDEX(tblIndicators!$C$2:$C$52,$B47)))</f>
        <v>25</v>
      </c>
      <c r="Q47" s="408" t="s">
        <v>2245</v>
      </c>
      <c r="U47" s="28"/>
      <c r="V47" s="28"/>
      <c r="W47" s="28"/>
    </row>
    <row r="48" spans="1:23">
      <c r="A48" s="408" t="s">
        <v>2242</v>
      </c>
      <c r="B48" s="1">
        <f>IF(A48="","",MATCH(A48,tblIndicators!D$2:D$52,0))</f>
        <v>37</v>
      </c>
      <c r="C48" s="1" t="str">
        <f>IF($A48="","",INDEX(tblIndicators!AE$2:AE$52,$B48))</f>
        <v>3.1.3) 26.¿Los recicladores tienen acceso a instalaciones para el almacenamiento y la clasificación de materiales?</v>
      </c>
      <c r="D48" s="1">
        <f>IF($A48="","",IF(INDEX(tblIndicators!$C$2:$C$52,$B48)="","",INDEX(tblIndicators!$C$2:$C$52,$B48)))</f>
        <v>26</v>
      </c>
      <c r="Q48" s="408" t="s">
        <v>2246</v>
      </c>
      <c r="U48" s="28"/>
      <c r="V48" s="28"/>
      <c r="W48" s="28"/>
    </row>
    <row r="49" spans="1:23">
      <c r="A49" s="408" t="s">
        <v>2243</v>
      </c>
      <c r="B49" s="1">
        <f>IF(A49="","",MATCH(A49,tblIndicators!D$2:D$52,0))</f>
        <v>38</v>
      </c>
      <c r="C49" s="1" t="str">
        <f>IF($A49="","",INDEX(tblIndicators!AE$2:AE$52,$B49))</f>
        <v>3.1.4) 27.¿Cuál es el nivel de desarrollo técnico alcanzado en la clasificación (o pre-procesamiento) de materiales reciclables por parte de agrupaciones de recicladores?</v>
      </c>
      <c r="D49" s="1">
        <f>IF($A49="","",IF(INDEX(tblIndicators!$C$2:$C$52,$B49)="","",INDEX(tblIndicators!$C$2:$C$52,$B49)))</f>
        <v>27</v>
      </c>
      <c r="Q49" s="408" t="s">
        <v>2247</v>
      </c>
      <c r="U49" s="28"/>
      <c r="V49" s="28"/>
      <c r="W49" s="28"/>
    </row>
    <row r="50" spans="1:23">
      <c r="A50" s="408" t="s">
        <v>438</v>
      </c>
      <c r="B50" s="1">
        <f>IF(A50="","",MATCH(A50,tblIndicators!D$2:D$52,0))</f>
        <v>39</v>
      </c>
      <c r="C50" s="1" t="str">
        <f>IF($A50="","",INDEX(tblIndicators!AE$2:AE$52,$B50))</f>
        <v>3.2) Condiciones para la comercialización de material reciclable</v>
      </c>
      <c r="D50" s="1" t="str">
        <f>IF($A50="","",IF(INDEX(tblIndicators!$C$2:$C$52,$B50)="","",INDEX(tblIndicators!$C$2:$C$52,$B50)))</f>
        <v/>
      </c>
      <c r="Q50" s="408" t="s">
        <v>442</v>
      </c>
      <c r="U50" s="28"/>
      <c r="V50" s="28"/>
      <c r="W50" s="28"/>
    </row>
    <row r="51" spans="1:23">
      <c r="A51" s="408" t="s">
        <v>439</v>
      </c>
      <c r="B51" s="1">
        <f>IF(A51="","",MATCH(A51,tblIndicators!D$2:D$52,0))</f>
        <v>40</v>
      </c>
      <c r="C51" s="1" t="str">
        <f>IF($A51="","",INDEX(tblIndicators!AE$2:AE$52,$B51))</f>
        <v>3.2.1) 28.¿Cuál es la diferencia de valor del material en los diferentes eslabones de la cadena del reciclaje?</v>
      </c>
      <c r="D51" s="1">
        <f>IF($A51="","",IF(INDEX(tblIndicators!$C$2:$C$52,$B51)="","",INDEX(tblIndicators!$C$2:$C$52,$B51)))</f>
        <v>28</v>
      </c>
      <c r="Q51" s="408" t="s">
        <v>443</v>
      </c>
      <c r="U51" s="28"/>
      <c r="V51" s="28"/>
      <c r="W51" s="28"/>
    </row>
    <row r="52" spans="1:23">
      <c r="A52" s="408" t="s">
        <v>2244</v>
      </c>
      <c r="B52" s="1">
        <f>IF(A52="","",MATCH(A52,tblIndicators!D$2:D$52,0))</f>
        <v>41</v>
      </c>
      <c r="C52" s="1" t="str">
        <f>IF($A52="","",INDEX(tblIndicators!AE$2:AE$52,$B52))</f>
        <v>3.2.2) 29.¿Cuál es el nivel de desarrollo de la industria transformadora a nivel nacional?</v>
      </c>
      <c r="D52" s="1">
        <f>IF($A52="","",IF(INDEX(tblIndicators!$C$2:$C$52,$B52)="","",INDEX(tblIndicators!$C$2:$C$52,$B52)))</f>
        <v>29</v>
      </c>
      <c r="Q52" s="408" t="s">
        <v>444</v>
      </c>
      <c r="U52" s="28"/>
      <c r="V52" s="28"/>
      <c r="W52" s="28"/>
    </row>
    <row r="53" spans="1:23">
      <c r="A53" s="408" t="s">
        <v>440</v>
      </c>
      <c r="B53" s="1">
        <f>IF(A53="","",MATCH(A53,tblIndicators!D$2:D$52,0))</f>
        <v>42</v>
      </c>
      <c r="C53" s="1" t="str">
        <f>IF($A53="","",INDEX(tblIndicators!AE$2:AE$52,$B53))</f>
        <v>3.3) Ingreso de los recicladores de base</v>
      </c>
      <c r="D53" s="1" t="str">
        <f>IF($A53="","",IF(INDEX(tblIndicators!$C$2:$C$52,$B53)="","",INDEX(tblIndicators!$C$2:$C$52,$B53)))</f>
        <v/>
      </c>
      <c r="Q53" s="408" t="s">
        <v>2248</v>
      </c>
      <c r="U53" s="28"/>
      <c r="V53" s="28"/>
      <c r="W53" s="28"/>
    </row>
    <row r="54" spans="1:23">
      <c r="A54" s="408" t="s">
        <v>441</v>
      </c>
      <c r="B54" s="1">
        <f>IF(A54="","",MATCH(A54,tblIndicators!D$2:D$52,0))</f>
        <v>43</v>
      </c>
      <c r="C54" s="1" t="str">
        <f>IF($A54="","",INDEX(tblIndicators!AE$2:AE$52,$B54))</f>
        <v>3.3.1) 30.¿Se permite la contratación con agrupaciones de recicladores de base en el sistema de gestión de residuos del municipio?</v>
      </c>
      <c r="D54" s="1">
        <f>IF($A54="","",IF(INDEX(tblIndicators!$C$2:$C$52,$B54)="","",INDEX(tblIndicators!$C$2:$C$52,$B54)))</f>
        <v>30</v>
      </c>
      <c r="Q54" s="408" t="s">
        <v>2249</v>
      </c>
      <c r="U54" s="28"/>
      <c r="V54" s="28"/>
      <c r="W54" s="28"/>
    </row>
    <row r="55" spans="1:23">
      <c r="A55" s="408" t="s">
        <v>2245</v>
      </c>
      <c r="B55" s="1">
        <f>IF(A55="","",MATCH(A55,tblIndicators!D$2:D$52,0))</f>
        <v>44</v>
      </c>
      <c r="C55" s="1" t="str">
        <f>IF($A55="","",INDEX(tblIndicators!AE$2:AE$52,$B55))</f>
        <v>3.3.2) 31.¿Existen mecanismos de pago periódico fijo para los recicladores de base por servicios prestados?</v>
      </c>
      <c r="D55" s="1">
        <f>IF($A55="","",IF(INDEX(tblIndicators!$C$2:$C$52,$B55)="","",INDEX(tblIndicators!$C$2:$C$52,$B55)))</f>
        <v>31</v>
      </c>
      <c r="Q55" s="408"/>
      <c r="U55" s="28"/>
      <c r="V55" s="28"/>
      <c r="W55" s="28"/>
    </row>
    <row r="56" spans="1:23">
      <c r="A56" s="408" t="s">
        <v>2246</v>
      </c>
      <c r="B56" s="1">
        <f>IF(A56="","",MATCH(A56,tblIndicators!D$2:D$52,0))</f>
        <v>45</v>
      </c>
      <c r="C56" s="1" t="str">
        <f>IF($A56="","",INDEX(tblIndicators!AE$2:AE$52,$B56))</f>
        <v>3.3.3) 32.¿Existen programas de diversificación de los servicios prestados por recicladores?</v>
      </c>
      <c r="D56" s="1">
        <f>IF($A56="","",IF(INDEX(tblIndicators!$C$2:$C$52,$B56)="","",INDEX(tblIndicators!$C$2:$C$52,$B56)))</f>
        <v>32</v>
      </c>
      <c r="Q56" s="408"/>
      <c r="U56" s="28"/>
      <c r="V56" s="28"/>
      <c r="W56" s="28"/>
    </row>
    <row r="57" spans="1:23">
      <c r="A57" s="408" t="s">
        <v>2247</v>
      </c>
      <c r="B57" s="1">
        <f>IF(A57="","",MATCH(A57,tblIndicators!D$2:D$52,0))</f>
        <v>46</v>
      </c>
      <c r="C57" s="1" t="str">
        <f>IF($A57="","",INDEX(tblIndicators!AE$2:AE$52,$B57))</f>
        <v>3.3.4) 33. Ingreso promedio de los recicladores con respecto al salario mínimo nacional</v>
      </c>
      <c r="D57" s="1">
        <f>IF($A57="","",IF(INDEX(tblIndicators!$C$2:$C$52,$B57)="","",INDEX(tblIndicators!$C$2:$C$52,$B57)))</f>
        <v>33</v>
      </c>
      <c r="Q57" s="408"/>
      <c r="U57" s="28"/>
      <c r="V57" s="28"/>
      <c r="W57" s="28"/>
    </row>
    <row r="58" spans="1:23">
      <c r="A58" s="408" t="s">
        <v>442</v>
      </c>
      <c r="B58" s="1">
        <f>IF(A58="","",MATCH(A58,tblIndicators!D$2:D$52,0))</f>
        <v>47</v>
      </c>
      <c r="C58" s="1" t="str">
        <f>IF($A58="","",INDEX(tblIndicators!AE$2:AE$52,$B58))</f>
        <v>3.4) Condiciones de trabajo de los recicladores de base</v>
      </c>
      <c r="D58" s="1" t="str">
        <f>IF($A58="","",IF(INDEX(tblIndicators!$C$2:$C$52,$B58)="","",INDEX(tblIndicators!$C$2:$C$52,$B58)))</f>
        <v/>
      </c>
      <c r="Q58" s="408"/>
      <c r="U58" s="28"/>
      <c r="V58" s="28"/>
      <c r="W58" s="28"/>
    </row>
    <row r="59" spans="1:23">
      <c r="A59" s="408" t="s">
        <v>443</v>
      </c>
      <c r="B59" s="1">
        <f>IF(A59="","",MATCH(A59,tblIndicators!D$2:D$52,0))</f>
        <v>48</v>
      </c>
      <c r="C59" s="1" t="str">
        <f>IF($A59="","",INDEX(tblIndicators!AE$2:AE$52,$B59))</f>
        <v>3.4.1) 34.¿Existe trabajo infantil en la cadena de manejo de residuos?</v>
      </c>
      <c r="D59" s="1">
        <f>IF($A59="","",IF(INDEX(tblIndicators!$C$2:$C$52,$B59)="","",INDEX(tblIndicators!$C$2:$C$52,$B59)))</f>
        <v>34</v>
      </c>
      <c r="Q59" s="408"/>
      <c r="U59" s="28"/>
      <c r="V59" s="28"/>
      <c r="W59" s="28"/>
    </row>
    <row r="60" spans="1:23">
      <c r="A60" s="408" t="s">
        <v>444</v>
      </c>
      <c r="B60" s="1">
        <f>IF(A60="","",MATCH(A60,tblIndicators!D$2:D$52,0))</f>
        <v>49</v>
      </c>
      <c r="C60" s="1" t="str">
        <f>IF($A60="","",INDEX(tblIndicators!AE$2:AE$52,$B60))</f>
        <v>3.4.2) 35.¿Cuál es el nivel de enfoque de género en las condiciones de trabajo?</v>
      </c>
      <c r="D60" s="1">
        <f>IF($A60="","",IF(INDEX(tblIndicators!$C$2:$C$52,$B60)="","",INDEX(tblIndicators!$C$2:$C$52,$B60)))</f>
        <v>35</v>
      </c>
      <c r="Q60" s="408"/>
      <c r="U60" s="28"/>
      <c r="V60" s="28"/>
      <c r="W60" s="28"/>
    </row>
    <row r="61" spans="1:23">
      <c r="A61" s="408" t="s">
        <v>2248</v>
      </c>
      <c r="B61" s="1">
        <f>IF(A61="","",MATCH(A61,tblIndicators!D$2:D$52,0))</f>
        <v>50</v>
      </c>
      <c r="C61" s="1" t="str">
        <f>IF($A61="","",INDEX(tblIndicators!AE$2:AE$52,$B61))</f>
        <v>3.4.3) 36.¿Hay planes inclusivos de cierre de vertederos a cielo abierto?</v>
      </c>
      <c r="D61" s="1">
        <f>IF($A61="","",IF(INDEX(tblIndicators!$C$2:$C$52,$B61)="","",INDEX(tblIndicators!$C$2:$C$52,$B61)))</f>
        <v>36</v>
      </c>
      <c r="Q61" s="408"/>
      <c r="U61" s="28"/>
      <c r="V61" s="28"/>
      <c r="W61" s="28"/>
    </row>
    <row r="62" spans="1:23">
      <c r="A62" s="408" t="s">
        <v>2249</v>
      </c>
      <c r="B62" s="1">
        <f>IF(A62="","",MATCH(A62,tblIndicators!D$2:D$52,0))</f>
        <v>51</v>
      </c>
      <c r="C62" s="1" t="str">
        <f>IF($A62="","",INDEX(tblIndicators!AE$2:AE$52,$B62))</f>
        <v>3.4.4) 37.¿Los recicladores tienen acceso a herramientas de trabajo adecuadas?</v>
      </c>
      <c r="D62" s="1">
        <f>IF($A62="","",IF(INDEX(tblIndicators!$C$2:$C$52,$B62)="","",INDEX(tblIndicators!$C$2:$C$52,$B62)))</f>
        <v>37</v>
      </c>
      <c r="Q62" s="408"/>
      <c r="U62" s="28"/>
      <c r="V62" s="28"/>
      <c r="W62" s="28"/>
    </row>
    <row r="63" spans="1:23">
      <c r="U63" s="28"/>
      <c r="V63" s="28"/>
      <c r="W63" s="28"/>
    </row>
    <row r="64" spans="1:23">
      <c r="U64" s="28"/>
      <c r="V64" s="28"/>
      <c r="W64" s="28"/>
    </row>
    <row r="67" spans="1:21">
      <c r="A67" s="4" t="s">
        <v>27</v>
      </c>
      <c r="C67" s="6"/>
      <c r="E67" s="19"/>
      <c r="F67" s="19"/>
      <c r="G67" s="19"/>
    </row>
    <row r="68" spans="1:21">
      <c r="A68" s="115" t="s">
        <v>190</v>
      </c>
      <c r="B68" s="1">
        <f>IF(A68="","",MATCH(A68,tblIndicators!D$2:D$52,0))</f>
        <v>1</v>
      </c>
      <c r="C68" s="1" t="str">
        <f>IF($A68="","",INDEX(tblIndicators!AE$2:AE$52,$B68))</f>
        <v>CATEGORÍA</v>
      </c>
      <c r="D68" s="28"/>
      <c r="E68" s="18"/>
      <c r="F68" s="18"/>
      <c r="G68" s="18"/>
      <c r="U68" s="28"/>
    </row>
    <row r="69" spans="1:21" ht="23.25">
      <c r="A69" s="409" t="s">
        <v>416</v>
      </c>
      <c r="B69" s="1">
        <f>IF(A69="","",MATCH(A69,tblIndicators!D$2:D$52,0))</f>
        <v>2</v>
      </c>
      <c r="C69" s="1" t="str">
        <f>IF($A69="","",INDEX(tblIndicators!AE$2:AE$52,$B69))</f>
        <v>1) NORMATIVA</v>
      </c>
      <c r="D69" s="28"/>
      <c r="E69" s="18"/>
      <c r="F69" s="18"/>
      <c r="G69" s="18"/>
      <c r="H69" s="19"/>
      <c r="I69" s="19"/>
      <c r="J69" s="19"/>
      <c r="U69" s="28"/>
    </row>
    <row r="70" spans="1:21">
      <c r="A70" s="407" t="s">
        <v>420</v>
      </c>
      <c r="B70" s="1">
        <f>IF(A70="","",MATCH(A70,tblIndicators!D$2:D$52,0))</f>
        <v>3</v>
      </c>
      <c r="C70" s="1" t="str">
        <f>IF($A70="","",INDEX(tblIndicators!AE$2:AE$52,$B70))</f>
        <v>1.1) Normativa sobre gestión de residuos</v>
      </c>
      <c r="D70" s="28"/>
      <c r="E70" s="18"/>
      <c r="F70" s="18"/>
      <c r="G70" s="18"/>
      <c r="H70" s="18"/>
      <c r="I70" s="18"/>
      <c r="J70" s="18"/>
      <c r="K70" s="19"/>
      <c r="L70" s="19"/>
      <c r="M70" s="19"/>
      <c r="N70" s="19"/>
      <c r="O70" s="19"/>
    </row>
    <row r="71" spans="1:21">
      <c r="A71" s="407" t="s">
        <v>423</v>
      </c>
      <c r="B71" s="1">
        <f>IF(A71="","",MATCH(A71,tblIndicators!D$2:D$52,0))</f>
        <v>8</v>
      </c>
      <c r="C71" s="1" t="str">
        <f>IF($A71="","",INDEX(tblIndicators!AE$2:AE$52,$B71))</f>
        <v>1.2) Integración del reciclador de base</v>
      </c>
      <c r="D71" s="28"/>
      <c r="E71" s="18"/>
      <c r="F71" s="18"/>
      <c r="G71" s="18"/>
      <c r="H71" s="18"/>
      <c r="I71" s="18"/>
      <c r="J71" s="18"/>
      <c r="K71" s="18"/>
      <c r="L71" s="18"/>
      <c r="M71" s="18"/>
      <c r="N71" s="18"/>
      <c r="O71" s="18"/>
    </row>
    <row r="72" spans="1:21">
      <c r="A72" s="407" t="s">
        <v>427</v>
      </c>
      <c r="B72" s="1">
        <f>IF(A72="","",MATCH(A72,tblIndicators!D$2:D$52,0))</f>
        <v>17</v>
      </c>
      <c r="C72" s="1" t="str">
        <f>IF($A72="","",INDEX(tblIndicators!AE$2:AE$52,$B72))</f>
        <v>1.3) Generación de información</v>
      </c>
      <c r="D72" s="28"/>
      <c r="E72" s="19"/>
      <c r="F72" s="19"/>
      <c r="G72" s="19"/>
      <c r="H72" s="18"/>
      <c r="I72" s="18"/>
      <c r="J72" s="18"/>
      <c r="K72" s="18"/>
      <c r="L72" s="18"/>
      <c r="M72" s="18"/>
      <c r="N72" s="18"/>
      <c r="O72" s="18"/>
    </row>
    <row r="73" spans="1:21">
      <c r="A73" s="407" t="s">
        <v>429</v>
      </c>
      <c r="B73" s="1">
        <f>IF(A73="","",MATCH(A73,tblIndicators!D$2:D$52,0))</f>
        <v>20</v>
      </c>
      <c r="C73" s="1" t="str">
        <f>IF($A73="","",INDEX(tblIndicators!AE$2:AE$52,$B73))</f>
        <v>1.4) Salud pública y el medioambiente</v>
      </c>
      <c r="D73" s="28"/>
      <c r="E73" s="18"/>
      <c r="F73" s="18"/>
      <c r="G73" s="18"/>
      <c r="H73" s="18"/>
      <c r="I73" s="18"/>
      <c r="J73" s="18"/>
      <c r="K73" s="18"/>
      <c r="L73" s="18"/>
      <c r="M73" s="18"/>
      <c r="N73" s="18"/>
      <c r="O73" s="18"/>
    </row>
    <row r="74" spans="1:21" ht="23.25">
      <c r="A74" s="409" t="s">
        <v>417</v>
      </c>
      <c r="B74" s="1">
        <f>IF(A74="","",MATCH(A74,tblIndicators!D$2:D$52,0))</f>
        <v>22</v>
      </c>
      <c r="C74" s="1" t="str">
        <f>IF($A74="","",INDEX(tblIndicators!AE$2:AE$52,$B74))</f>
        <v>2) ORGANIZATIVA</v>
      </c>
      <c r="D74" s="28"/>
      <c r="E74" s="18"/>
      <c r="F74" s="18"/>
      <c r="G74" s="18"/>
      <c r="H74" s="19"/>
      <c r="I74" s="19"/>
      <c r="J74" s="19"/>
      <c r="K74" s="18"/>
      <c r="L74" s="18"/>
      <c r="M74" s="18"/>
      <c r="N74" s="18"/>
      <c r="O74" s="18"/>
    </row>
    <row r="75" spans="1:21">
      <c r="A75" s="408" t="s">
        <v>431</v>
      </c>
      <c r="B75" s="1">
        <f>IF(A75="","",MATCH(A75,tblIndicators!D$2:D$52,0))</f>
        <v>23</v>
      </c>
      <c r="C75" s="1" t="str">
        <f>IF($A75="","",INDEX(tblIndicators!AE$2:AE$52,$B75))</f>
        <v>2.1) Asociatividad</v>
      </c>
      <c r="D75" s="28"/>
      <c r="E75" s="18"/>
      <c r="F75" s="18"/>
      <c r="G75" s="18"/>
      <c r="H75" s="18"/>
      <c r="I75" s="18"/>
      <c r="J75" s="18"/>
      <c r="K75" s="19"/>
      <c r="L75" s="19"/>
      <c r="M75" s="19"/>
      <c r="N75" s="19"/>
      <c r="O75" s="19"/>
    </row>
    <row r="76" spans="1:21">
      <c r="A76" s="408" t="s">
        <v>433</v>
      </c>
      <c r="B76" s="1">
        <f>IF(A76="","",MATCH(A76,tblIndicators!D$2:D$52,0))</f>
        <v>29</v>
      </c>
      <c r="C76" s="1" t="str">
        <f>IF($A76="","",INDEX(tblIndicators!AE$2:AE$52,$B76))</f>
        <v>2.2) Organizaciones comerciales</v>
      </c>
      <c r="D76" s="28"/>
      <c r="E76" s="18"/>
      <c r="F76" s="18"/>
      <c r="G76" s="18"/>
      <c r="H76" s="18"/>
      <c r="I76" s="18"/>
      <c r="J76" s="18"/>
      <c r="K76" s="18"/>
      <c r="L76" s="18"/>
      <c r="M76" s="18"/>
      <c r="N76" s="18"/>
      <c r="O76" s="18"/>
    </row>
    <row r="77" spans="1:21" ht="23.25">
      <c r="A77" s="409" t="s">
        <v>418</v>
      </c>
      <c r="B77" s="1">
        <f>IF(A77="","",MATCH(A77,tblIndicators!D$2:D$52,0))</f>
        <v>33</v>
      </c>
      <c r="C77" s="1" t="str">
        <f>IF($A77="","",INDEX(tblIndicators!AE$2:AE$52,$B77))</f>
        <v>3) MERCADO</v>
      </c>
      <c r="D77" s="28"/>
      <c r="E77" s="18"/>
      <c r="F77" s="18"/>
      <c r="G77" s="18"/>
      <c r="H77" s="18"/>
      <c r="I77" s="18"/>
      <c r="J77" s="18"/>
      <c r="K77" s="18"/>
      <c r="L77" s="18"/>
      <c r="M77" s="18"/>
      <c r="N77" s="18"/>
      <c r="O77" s="18"/>
    </row>
    <row r="78" spans="1:21">
      <c r="A78" s="408" t="s">
        <v>435</v>
      </c>
      <c r="B78" s="1">
        <f>IF(A78="","",MATCH(A78,tblIndicators!D$2:D$52,0))</f>
        <v>34</v>
      </c>
      <c r="C78" s="1" t="str">
        <f>IF($A78="","",INDEX(tblIndicators!AE$2:AE$52,$B78))</f>
        <v>3.1) Condiciones de acceso y almacenamiento de residuos</v>
      </c>
      <c r="D78" s="28"/>
      <c r="E78" s="19"/>
      <c r="F78" s="19"/>
      <c r="G78" s="19"/>
      <c r="H78" s="18"/>
      <c r="I78" s="18"/>
      <c r="J78" s="18"/>
      <c r="K78" s="18"/>
      <c r="L78" s="18"/>
      <c r="M78" s="18"/>
      <c r="N78" s="18"/>
      <c r="O78" s="18"/>
    </row>
    <row r="79" spans="1:21">
      <c r="A79" s="408" t="s">
        <v>438</v>
      </c>
      <c r="B79" s="1">
        <f>IF(A79="","",MATCH(A79,tblIndicators!D$2:D$52,0))</f>
        <v>39</v>
      </c>
      <c r="C79" s="1" t="str">
        <f>IF($A79="","",INDEX(tblIndicators!AE$2:AE$52,$B79))</f>
        <v>3.2) Condiciones para la comercialización de material reciclable</v>
      </c>
      <c r="D79" s="28"/>
      <c r="E79" s="18"/>
      <c r="F79" s="18"/>
      <c r="G79" s="18"/>
      <c r="H79" s="18"/>
      <c r="I79" s="18"/>
      <c r="J79" s="18"/>
      <c r="K79" s="18"/>
      <c r="L79" s="18"/>
      <c r="M79" s="18"/>
      <c r="N79" s="18"/>
      <c r="O79" s="18"/>
    </row>
    <row r="80" spans="1:21">
      <c r="A80" s="408" t="s">
        <v>440</v>
      </c>
      <c r="B80" s="1">
        <f>IF(A80="","",MATCH(A80,tblIndicators!D$2:D$52,0))</f>
        <v>42</v>
      </c>
      <c r="C80" s="1" t="str">
        <f>IF($A80="","",INDEX(tblIndicators!AE$2:AE$52,$B80))</f>
        <v>3.3) Ingreso de los recicladores de base</v>
      </c>
      <c r="D80" s="28"/>
      <c r="E80" s="18"/>
      <c r="F80" s="18"/>
      <c r="G80" s="18"/>
      <c r="H80" s="19"/>
      <c r="I80" s="19"/>
      <c r="J80" s="19"/>
      <c r="K80" s="18"/>
      <c r="L80" s="18"/>
      <c r="M80" s="18"/>
      <c r="N80" s="18"/>
      <c r="O80" s="18"/>
    </row>
    <row r="81" spans="1:15">
      <c r="A81" s="408" t="s">
        <v>442</v>
      </c>
      <c r="B81" s="1">
        <f>IF(A81="","",MATCH(A81,tblIndicators!D$2:D$52,0))</f>
        <v>47</v>
      </c>
      <c r="C81" s="1" t="str">
        <f>IF($A81="","",INDEX(tblIndicators!AE$2:AE$52,$B81))</f>
        <v>3.4) Condiciones de trabajo de los recicladores de base</v>
      </c>
      <c r="D81" s="28"/>
      <c r="E81" s="18"/>
      <c r="F81" s="18"/>
      <c r="G81" s="18"/>
      <c r="H81" s="18"/>
      <c r="I81" s="18"/>
      <c r="J81" s="18"/>
      <c r="K81" s="19"/>
      <c r="L81" s="19"/>
      <c r="M81" s="19"/>
      <c r="N81" s="19"/>
      <c r="O81" s="19"/>
    </row>
    <row r="82" spans="1:15">
      <c r="A82" s="239"/>
    </row>
    <row r="83" spans="1:15">
      <c r="A83" s="76" t="s">
        <v>150</v>
      </c>
      <c r="B83" s="28"/>
      <c r="C83" s="28" t="s">
        <v>2336</v>
      </c>
      <c r="D83" s="28"/>
      <c r="E83" s="28"/>
      <c r="F83" s="28"/>
      <c r="G83" s="28"/>
    </row>
    <row r="84" spans="1:15" ht="23.25">
      <c r="A84" s="243" t="str">
        <f>R5</f>
        <v>NORM</v>
      </c>
      <c r="B84" s="1">
        <f>IF(A84="","",MATCH(A84,tblIndicators!D$2:D$52,0))</f>
        <v>2</v>
      </c>
      <c r="C84" s="1" t="str">
        <f>IF($A84="","",INDEX(tblIndicators!AE$2:AE$52,$B84))</f>
        <v>1) NORMATIVA</v>
      </c>
      <c r="D84" s="6"/>
      <c r="E84" s="6"/>
      <c r="F84" s="6"/>
      <c r="G84" s="6"/>
    </row>
    <row r="85" spans="1:15" ht="23.25">
      <c r="A85" s="243" t="str">
        <f t="shared" ref="A85:A86" si="1">R6</f>
        <v>ORG</v>
      </c>
      <c r="B85" s="1">
        <f>IF(A85="","",MATCH(A85,tblIndicators!D$2:D$52,0))</f>
        <v>22</v>
      </c>
      <c r="C85" s="1" t="str">
        <f>IF($A85="","",INDEX(tblIndicators!AE$2:AE$52,$B85))</f>
        <v>2) ORGANIZATIVA</v>
      </c>
      <c r="D85" s="6"/>
      <c r="E85" s="6"/>
      <c r="F85" s="6"/>
      <c r="G85" s="6"/>
      <c r="H85" s="28"/>
      <c r="I85" s="28"/>
      <c r="J85" s="28"/>
    </row>
    <row r="86" spans="1:15" ht="23.25">
      <c r="A86" s="243" t="str">
        <f t="shared" si="1"/>
        <v>MERC</v>
      </c>
      <c r="B86" s="1">
        <f>IF(A86="","",MATCH(A86,tblIndicators!D$2:D$52,0))</f>
        <v>33</v>
      </c>
      <c r="C86" s="1" t="str">
        <f>IF($A86="","",INDEX(tblIndicators!AE$2:AE$52,$B86))</f>
        <v>3) MERCADO</v>
      </c>
      <c r="D86" s="6"/>
      <c r="E86" s="6"/>
      <c r="F86" s="6"/>
      <c r="G86" s="6"/>
      <c r="H86" s="6"/>
      <c r="I86" s="6"/>
      <c r="J86" s="6"/>
      <c r="K86" s="28"/>
      <c r="L86" s="28"/>
    </row>
    <row r="87" spans="1:15">
      <c r="A87" s="6"/>
      <c r="B87" s="6"/>
      <c r="C87" s="6"/>
      <c r="D87" s="6"/>
      <c r="E87" s="6"/>
      <c r="F87" s="6"/>
      <c r="G87" s="6"/>
      <c r="H87" s="6"/>
      <c r="I87" s="6"/>
      <c r="J87" s="6"/>
      <c r="K87" s="6"/>
      <c r="L87" s="6"/>
      <c r="M87" s="6"/>
      <c r="N87" s="6"/>
      <c r="O87" s="6"/>
    </row>
    <row r="88" spans="1:15">
      <c r="A88" s="6"/>
      <c r="B88" s="6"/>
      <c r="C88" s="6"/>
      <c r="D88" s="28"/>
      <c r="E88" s="28"/>
      <c r="F88" s="6"/>
      <c r="G88" s="6"/>
      <c r="H88" s="6"/>
      <c r="I88" s="6"/>
      <c r="J88" s="6"/>
      <c r="K88" s="6"/>
      <c r="L88" s="6"/>
      <c r="M88" s="6"/>
      <c r="N88" s="6"/>
      <c r="O88" s="6"/>
    </row>
    <row r="90" spans="1:15">
      <c r="A90" s="407" t="s">
        <v>421</v>
      </c>
      <c r="B90" s="1">
        <f>IF(A90="","",MATCH(A90,tblIndicators!D$2:D$52,0))</f>
        <v>4</v>
      </c>
      <c r="C90" s="1" t="str">
        <f>IF($A90="","",INDEX(tblIndicators!AE$2:AE$52,$B90))</f>
        <v>1.1.1) 1.¿ Existe un marco legal nacional para la gestión de residuos orientado al reciclaje con la inclusión de actores informales?</v>
      </c>
    </row>
    <row r="91" spans="1:15">
      <c r="A91" s="407" t="s">
        <v>422</v>
      </c>
      <c r="B91" s="1">
        <f>IF(A91="","",MATCH(A91,tblIndicators!D$2:D$52,0))</f>
        <v>5</v>
      </c>
      <c r="C91" s="1" t="str">
        <f>IF($A91="","",INDEX(tblIndicators!AE$2:AE$52,$B91))</f>
        <v>1.1.2) 2.¿Existe un marco legal municipal para la gestión de residuos orientado al reciclaje y la inclusión de actores informales?</v>
      </c>
    </row>
    <row r="92" spans="1:15">
      <c r="A92" s="407" t="s">
        <v>2228</v>
      </c>
      <c r="B92" s="1">
        <f>IF(A92="","",MATCH(A92,tblIndicators!D$2:D$52,0))</f>
        <v>6</v>
      </c>
      <c r="C92" s="1" t="str">
        <f>IF($A92="","",INDEX(tblIndicators!AE$2:AE$52,$B92))</f>
        <v>1.1.3) 3.¿Son las políticas municipales suficientemente estables para garantizar la continuidad en materia de políticas de reciclaje inclusivo?</v>
      </c>
    </row>
    <row r="93" spans="1:15">
      <c r="A93" s="407" t="s">
        <v>2229</v>
      </c>
      <c r="B93" s="1">
        <f>IF(A93="","",MATCH(A93,tblIndicators!D$2:D$52,0))</f>
        <v>7</v>
      </c>
      <c r="C93" s="1" t="str">
        <f>IF($A93="","",INDEX(tblIndicators!AE$2:AE$52,$B93))</f>
        <v>1.1.4) 4.¿Existe un presupuesto (o mecanismo de financiación) municipal asignado para el reciclaje inclusivo?</v>
      </c>
    </row>
    <row r="94" spans="1:15">
      <c r="A94" s="407" t="s">
        <v>424</v>
      </c>
      <c r="B94" s="1">
        <f>IF(A94="","",MATCH(A94,tblIndicators!D$2:D$52,0))</f>
        <v>9</v>
      </c>
      <c r="C94" s="1" t="str">
        <f>IF($A94="","",INDEX(tblIndicators!AE$2:AE$52,$B94))</f>
        <v>1.2.1) 5.¿Existe reconocimiento legal de la ocupación de reciclador de base?</v>
      </c>
    </row>
    <row r="95" spans="1:15">
      <c r="A95" s="407" t="s">
        <v>425</v>
      </c>
      <c r="B95" s="1">
        <f>IF(A95="","",MATCH(A95,tblIndicators!D$2:D$52,0))</f>
        <v>10</v>
      </c>
      <c r="C95" s="1" t="str">
        <f>IF($A95="","",INDEX(tblIndicators!AE$2:AE$52,$B95))</f>
        <v>1.2.2) 6.¿Se reconoce a los recicladores de base como prestadores de servicio en la gestión de residuos?</v>
      </c>
    </row>
    <row r="96" spans="1:15">
      <c r="A96" s="407" t="s">
        <v>426</v>
      </c>
      <c r="B96" s="1">
        <f>IF(A96="","",MATCH(A96,tblIndicators!D$2:D$52,0))</f>
        <v>11</v>
      </c>
      <c r="C96" s="1" t="str">
        <f>IF($A96="","",INDEX(tblIndicators!AE$2:AE$52,$B96))</f>
        <v>1.2.3) 7.¿Se ha identificado la población de recicladores de base a través de un censo?</v>
      </c>
    </row>
    <row r="97" spans="1:3">
      <c r="A97" s="407" t="s">
        <v>2230</v>
      </c>
      <c r="B97" s="1">
        <f>IF(A97="","",MATCH(A97,tblIndicators!D$2:D$52,0))</f>
        <v>12</v>
      </c>
      <c r="C97" s="1" t="str">
        <f>IF($A97="","",INDEX(tblIndicators!AE$2:AE$52,$B97))</f>
        <v>1.2.4) 8.¿Cuál es el grado de transparencia e inclusión en los procesos de licitación para el reciclaje?</v>
      </c>
    </row>
    <row r="98" spans="1:3">
      <c r="A98" s="407" t="s">
        <v>2231</v>
      </c>
      <c r="B98" s="1">
        <f>IF(A98="","",MATCH(A98,tblIndicators!D$2:D$52,0))</f>
        <v>13</v>
      </c>
      <c r="C98" s="1" t="str">
        <f>IF($A98="","",INDEX(tblIndicators!AE$2:AE$52,$B98))</f>
        <v>1.2.5) 9.¿La normativa/ estrategia municipal de residuos sólidos: fue desarrollada de manera participativa?</v>
      </c>
    </row>
    <row r="99" spans="1:3">
      <c r="A99" s="407" t="s">
        <v>2232</v>
      </c>
      <c r="B99" s="1">
        <f>IF(A99="","",MATCH(A99,tblIndicators!D$2:D$52,0))</f>
        <v>14</v>
      </c>
      <c r="C99" s="1" t="str">
        <f>IF($A99="","",INDEX(tblIndicators!AE$2:AE$52,$B99))</f>
        <v>1.2.6) 10.¿Hay programas de formación/capacitación a nivel municipal?</v>
      </c>
    </row>
    <row r="100" spans="1:3">
      <c r="A100" s="407" t="s">
        <v>2233</v>
      </c>
      <c r="B100" s="1">
        <f>IF(A100="","",MATCH(A100,tblIndicators!D$2:D$52,0))</f>
        <v>15</v>
      </c>
      <c r="C100" s="1" t="str">
        <f>IF($A100="","",INDEX(tblIndicators!AE$2:AE$52,$B100))</f>
        <v>1.2.7) 11.¿Existen incentivos, programas y/o acciones concretas para el fortalecimiento de la ocupación del reciclador de base?</v>
      </c>
    </row>
    <row r="101" spans="1:3">
      <c r="A101" s="407" t="s">
        <v>2234</v>
      </c>
      <c r="B101" s="1">
        <f>IF(A101="","",MATCH(A101,tblIndicators!D$2:D$52,0))</f>
        <v>16</v>
      </c>
      <c r="C101" s="1" t="str">
        <f>IF($A101="","",INDEX(tblIndicators!AE$2:AE$52,$B101))</f>
        <v xml:space="preserve">1.2.8) 12.¿Existen incentivos de reciclaje para los usuarios? </v>
      </c>
    </row>
    <row r="102" spans="1:3">
      <c r="A102" s="407" t="s">
        <v>428</v>
      </c>
      <c r="B102" s="1">
        <f>IF(A102="","",MATCH(A102,tblIndicators!D$2:D$52,0))</f>
        <v>18</v>
      </c>
      <c r="C102" s="1" t="str">
        <f>IF($A102="","",INDEX(tblIndicators!AE$2:AE$52,$B102))</f>
        <v>1.3.1) 13.¿Hay un sistema municipal de recolección de información de reciclaje inclusivo?</v>
      </c>
    </row>
    <row r="103" spans="1:3">
      <c r="A103" s="407" t="s">
        <v>2235</v>
      </c>
      <c r="B103" s="1">
        <f>IF(A103="","",MATCH(A103,tblIndicators!D$2:D$52,0))</f>
        <v>19</v>
      </c>
      <c r="C103" s="1" t="str">
        <f>IF($A103="","",INDEX(tblIndicators!AE$2:AE$52,$B103))</f>
        <v>1.3.2) 14.¿Hay campañas de comunicación para fomentar el reciclaje inclusivo con difusión en el municipio?</v>
      </c>
    </row>
    <row r="104" spans="1:3">
      <c r="A104" s="407" t="s">
        <v>430</v>
      </c>
      <c r="B104" s="1">
        <f>IF(A104="","",MATCH(A104,tblIndicators!D$2:D$52,0))</f>
        <v>21</v>
      </c>
      <c r="C104" s="1" t="str">
        <f>IF($A104="","",INDEX(tblIndicators!AE$2:AE$52,$B104))</f>
        <v>1.4.1) 15.¿Existe adecuada regulación y control sobre clasificación y manejo de desechos especiales y/o  peligrosos y sobre clasificación en la calle?</v>
      </c>
    </row>
    <row r="105" spans="1:3">
      <c r="A105" s="408" t="s">
        <v>432</v>
      </c>
      <c r="B105" s="1">
        <f>IF(A105="","",MATCH(A105,tblIndicators!D$2:D$52,0))</f>
        <v>24</v>
      </c>
      <c r="C105" s="1" t="str">
        <f>IF($A105="","",INDEX(tblIndicators!AE$2:AE$52,$B105))</f>
        <v>2.1.1) 16.¿Cuán dinámicas son las asociaciones?</v>
      </c>
    </row>
    <row r="106" spans="1:3">
      <c r="A106" s="408" t="s">
        <v>2236</v>
      </c>
      <c r="B106" s="1">
        <f>IF(A106="","",MATCH(A106,tblIndicators!D$2:D$52,0))</f>
        <v>25</v>
      </c>
      <c r="C106" s="1" t="str">
        <f>IF($A106="","",INDEX(tblIndicators!AE$2:AE$52,$B106))</f>
        <v xml:space="preserve">2.1.2) 17.¿Qué nivel de inclusión  presentan estas asociaciones? </v>
      </c>
    </row>
    <row r="107" spans="1:3">
      <c r="A107" s="408" t="s">
        <v>2237</v>
      </c>
      <c r="B107" s="1">
        <f>IF(A107="","",MATCH(A107,tblIndicators!D$2:D$52,0))</f>
        <v>26</v>
      </c>
      <c r="C107" s="1" t="str">
        <f>IF($A107="","",INDEX(tblIndicators!AE$2:AE$52,$B107))</f>
        <v>2.1.3) 18.¿Las asociaciones: participan en espacios de interlocución o diálogo con pares?</v>
      </c>
    </row>
    <row r="108" spans="1:3">
      <c r="A108" s="408" t="s">
        <v>2238</v>
      </c>
      <c r="B108" s="1">
        <f>IF(A108="","",MATCH(A108,tblIndicators!D$2:D$52,0))</f>
        <v>27</v>
      </c>
      <c r="C108" s="1" t="str">
        <f>IF($A108="","",INDEX(tblIndicators!AE$2:AE$52,$B108))</f>
        <v>2.1.4) 19.¿Existen espacios de diálogo y coordinación entre diferentes actores de la cadena de valor del reciclaje?</v>
      </c>
    </row>
    <row r="109" spans="1:3">
      <c r="A109" s="408" t="s">
        <v>2239</v>
      </c>
      <c r="B109" s="1">
        <f>IF(A109="","",MATCH(A109,tblIndicators!D$2:D$52,0))</f>
        <v>28</v>
      </c>
      <c r="C109" s="1" t="str">
        <f>IF($A109="","",INDEX(tblIndicators!AE$2:AE$52,$B109))</f>
        <v>2.1.5) 20.¿Cuál es el nivel de representación de las mujeres en las asociaciones?</v>
      </c>
    </row>
    <row r="110" spans="1:3">
      <c r="A110" s="408" t="s">
        <v>434</v>
      </c>
      <c r="B110" s="1">
        <f>IF(A110="","",MATCH(A110,tblIndicators!D$2:D$52,0))</f>
        <v>30</v>
      </c>
      <c r="C110" s="1" t="str">
        <f>IF($A110="","",INDEX(tblIndicators!AE$2:AE$52,$B110))</f>
        <v xml:space="preserve">2.2.1) 21.¿Existen organizaciones de recicladores con actividad comercial en el municipio (cooperativas y/o microempresas)? </v>
      </c>
    </row>
    <row r="111" spans="1:3">
      <c r="A111" s="408" t="s">
        <v>2240</v>
      </c>
      <c r="B111" s="1">
        <f>IF(A111="","",MATCH(A111,tblIndicators!D$2:D$52,0))</f>
        <v>31</v>
      </c>
      <c r="C111" s="1" t="str">
        <f>IF($A111="","",INDEX(tblIndicators!AE$2:AE$52,$B111))</f>
        <v>2.2.2) 22.¿Cuál es el nivel de participación de las organizaciones de recicladores en la cadena de valor del reciclaje?</v>
      </c>
    </row>
    <row r="112" spans="1:3">
      <c r="A112" s="408" t="s">
        <v>2241</v>
      </c>
      <c r="B112" s="1">
        <f>IF(A112="","",MATCH(A112,tblIndicators!D$2:D$52,0))</f>
        <v>32</v>
      </c>
      <c r="C112" s="1" t="str">
        <f>IF($A112="","",INDEX(tblIndicators!AE$2:AE$52,$B112))</f>
        <v>2.2.3) 23. Las organizaciones comerciales de recicladores: ¿Tienen acceso a mecanismos de financiamiento?</v>
      </c>
    </row>
    <row r="113" spans="1:3">
      <c r="A113" s="408" t="s">
        <v>436</v>
      </c>
      <c r="B113" s="1">
        <f>IF(A113="","",MATCH(A113,tblIndicators!D$2:D$52,0))</f>
        <v>35</v>
      </c>
      <c r="C113" s="1" t="str">
        <f>IF($A113="","",INDEX(tblIndicators!AE$2:AE$52,$B113))</f>
        <v>3.1.1) 24.¿Cómo es el acceso del material reciclable?</v>
      </c>
    </row>
    <row r="114" spans="1:3">
      <c r="A114" s="408" t="s">
        <v>437</v>
      </c>
      <c r="B114" s="1">
        <f>IF(A114="","",MATCH(A114,tblIndicators!D$2:D$52,0))</f>
        <v>36</v>
      </c>
      <c r="C114" s="1" t="str">
        <f>IF($A114="","",INDEX(tblIndicators!AE$2:AE$52,$B114))</f>
        <v>3.1.2) 25.¿Existen esquemas formales de recolección diferenciada de residuos reciclables en el municipio que involucran a recicladores de base?</v>
      </c>
    </row>
    <row r="115" spans="1:3">
      <c r="A115" s="408" t="s">
        <v>2242</v>
      </c>
      <c r="B115" s="1">
        <f>IF(A115="","",MATCH(A115,tblIndicators!D$2:D$52,0))</f>
        <v>37</v>
      </c>
      <c r="C115" s="1" t="str">
        <f>IF($A115="","",INDEX(tblIndicators!AE$2:AE$52,$B115))</f>
        <v>3.1.3) 26.¿Los recicladores tienen acceso a instalaciones para el almacenamiento y la clasificación de materiales?</v>
      </c>
    </row>
    <row r="116" spans="1:3">
      <c r="A116" s="408" t="s">
        <v>2243</v>
      </c>
      <c r="B116" s="1">
        <f>IF(A116="","",MATCH(A116,tblIndicators!D$2:D$52,0))</f>
        <v>38</v>
      </c>
      <c r="C116" s="1" t="str">
        <f>IF($A116="","",INDEX(tblIndicators!AE$2:AE$52,$B116))</f>
        <v>3.1.4) 27.¿Cuál es el nivel de desarrollo técnico alcanzado en la clasificación (o pre-procesamiento) de materiales reciclables por parte de agrupaciones de recicladores?</v>
      </c>
    </row>
    <row r="117" spans="1:3">
      <c r="A117" s="408" t="s">
        <v>439</v>
      </c>
      <c r="B117" s="1">
        <f>IF(A117="","",MATCH(A117,tblIndicators!D$2:D$52,0))</f>
        <v>40</v>
      </c>
      <c r="C117" s="1" t="str">
        <f>IF($A117="","",INDEX(tblIndicators!AE$2:AE$52,$B117))</f>
        <v>3.2.1) 28.¿Cuál es la diferencia de valor del material en los diferentes eslabones de la cadena del reciclaje?</v>
      </c>
    </row>
    <row r="118" spans="1:3">
      <c r="A118" s="408" t="s">
        <v>2244</v>
      </c>
      <c r="B118" s="1">
        <f>IF(A118="","",MATCH(A118,tblIndicators!D$2:D$52,0))</f>
        <v>41</v>
      </c>
      <c r="C118" s="1" t="str">
        <f>IF($A118="","",INDEX(tblIndicators!AE$2:AE$52,$B118))</f>
        <v>3.2.2) 29.¿Cuál es el nivel de desarrollo de la industria transformadora a nivel nacional?</v>
      </c>
    </row>
    <row r="119" spans="1:3">
      <c r="A119" s="408" t="s">
        <v>441</v>
      </c>
      <c r="B119" s="1">
        <f>IF(A119="","",MATCH(A119,tblIndicators!D$2:D$52,0))</f>
        <v>43</v>
      </c>
      <c r="C119" s="1" t="str">
        <f>IF($A119="","",INDEX(tblIndicators!AE$2:AE$52,$B119))</f>
        <v>3.3.1) 30.¿Se permite la contratación con agrupaciones de recicladores de base en el sistema de gestión de residuos del municipio?</v>
      </c>
    </row>
    <row r="120" spans="1:3">
      <c r="A120" s="408" t="s">
        <v>2245</v>
      </c>
      <c r="B120" s="1">
        <f>IF(A120="","",MATCH(A120,tblIndicators!D$2:D$52,0))</f>
        <v>44</v>
      </c>
      <c r="C120" s="1" t="str">
        <f>IF($A120="","",INDEX(tblIndicators!AE$2:AE$52,$B120))</f>
        <v>3.3.2) 31.¿Existen mecanismos de pago periódico fijo para los recicladores de base por servicios prestados?</v>
      </c>
    </row>
    <row r="121" spans="1:3">
      <c r="A121" s="408" t="s">
        <v>2246</v>
      </c>
      <c r="B121" s="1">
        <f>IF(A121="","",MATCH(A121,tblIndicators!D$2:D$52,0))</f>
        <v>45</v>
      </c>
      <c r="C121" s="1" t="str">
        <f>IF($A121="","",INDEX(tblIndicators!AE$2:AE$52,$B121))</f>
        <v>3.3.3) 32.¿Existen programas de diversificación de los servicios prestados por recicladores?</v>
      </c>
    </row>
    <row r="122" spans="1:3">
      <c r="A122" s="408" t="s">
        <v>2247</v>
      </c>
      <c r="B122" s="1">
        <f>IF(A122="","",MATCH(A122,tblIndicators!D$2:D$52,0))</f>
        <v>46</v>
      </c>
      <c r="C122" s="1" t="str">
        <f>IF($A122="","",INDEX(tblIndicators!AE$2:AE$52,$B122))</f>
        <v>3.3.4) 33. Ingreso promedio de los recicladores con respecto al salario mínimo nacional</v>
      </c>
    </row>
    <row r="123" spans="1:3">
      <c r="A123" s="408" t="s">
        <v>443</v>
      </c>
      <c r="B123" s="1">
        <f>IF(A123="","",MATCH(A123,tblIndicators!D$2:D$52,0))</f>
        <v>48</v>
      </c>
      <c r="C123" s="1" t="str">
        <f>IF($A123="","",INDEX(tblIndicators!AE$2:AE$52,$B123))</f>
        <v>3.4.1) 34.¿Existe trabajo infantil en la cadena de manejo de residuos?</v>
      </c>
    </row>
    <row r="124" spans="1:3">
      <c r="A124" s="408" t="s">
        <v>444</v>
      </c>
      <c r="B124" s="1">
        <f>IF(A124="","",MATCH(A124,tblIndicators!D$2:D$52,0))</f>
        <v>49</v>
      </c>
      <c r="C124" s="1" t="str">
        <f>IF($A124="","",INDEX(tblIndicators!AE$2:AE$52,$B124))</f>
        <v>3.4.2) 35.¿Cuál es el nivel de enfoque de género en las condiciones de trabajo?</v>
      </c>
    </row>
    <row r="125" spans="1:3">
      <c r="A125" s="408" t="s">
        <v>2248</v>
      </c>
      <c r="B125" s="1">
        <f>IF(A125="","",MATCH(A125,tblIndicators!D$2:D$52,0))</f>
        <v>50</v>
      </c>
      <c r="C125" s="1" t="str">
        <f>IF($A125="","",INDEX(tblIndicators!AE$2:AE$52,$B125))</f>
        <v>3.4.3) 36.¿Hay planes inclusivos de cierre de vertederos a cielo abierto?</v>
      </c>
    </row>
    <row r="126" spans="1:3">
      <c r="A126" s="408" t="s">
        <v>2249</v>
      </c>
      <c r="B126" s="1">
        <f>IF(A126="","",MATCH(A126,tblIndicators!D$2:D$52,0))</f>
        <v>51</v>
      </c>
      <c r="C126" s="1" t="str">
        <f>IF($A126="","",INDEX(tblIndicators!AE$2:AE$52,$B126))</f>
        <v>3.4.4) 37.¿Los recicladores tienen acceso a herramientas de trabajo adecuadas?</v>
      </c>
    </row>
    <row r="129" spans="1:2">
      <c r="A129" s="204" t="s">
        <v>2312</v>
      </c>
      <c r="B129" s="95"/>
    </row>
    <row r="130" spans="1:2">
      <c r="A130" s="95">
        <v>1</v>
      </c>
      <c r="B130" s="95" t="str">
        <f>lang!C153</f>
        <v>Círculos; area=valor</v>
      </c>
    </row>
    <row r="131" spans="1:2">
      <c r="A131" s="95">
        <v>2</v>
      </c>
      <c r="B131" s="95" t="str">
        <f>lang!C154</f>
        <v>Círculos; color=grupo</v>
      </c>
    </row>
    <row r="132" spans="1:2">
      <c r="A132" s="95">
        <v>3</v>
      </c>
      <c r="B132" s="95" t="str">
        <f>lang!C155</f>
        <v>Círculos; area=valor, color=grupo</v>
      </c>
    </row>
  </sheetData>
  <mergeCells count="1">
    <mergeCell ref="Q2:U2"/>
  </mergeCells>
  <phoneticPr fontId="4" type="noConversion"/>
  <pageMargins left="0.55118110236220474" right="0.55118110236220474" top="0.59055118110236227" bottom="0.78740157480314965" header="0.51181102362204722" footer="0.51181102362204722"/>
  <pageSetup paperSize="9" scale="25" orientation="landscape" horizontalDpi="1200" verticalDpi="1200" r:id="rId1"/>
  <headerFooter alignWithMargins="0">
    <oddHeader>&amp;RResultados del Modelo de Reciclaje Inclusivo</oddHeader>
  </headerFooter>
</worksheet>
</file>

<file path=xl/worksheets/sheet7.xml><?xml version="1.0" encoding="utf-8"?>
<worksheet xmlns="http://schemas.openxmlformats.org/spreadsheetml/2006/main" xmlns:r="http://schemas.openxmlformats.org/officeDocument/2006/relationships">
  <sheetPr codeName="Sheet29">
    <tabColor rgb="FFFFC000"/>
    <pageSetUpPr fitToPage="1"/>
  </sheetPr>
  <dimension ref="A1:AA52"/>
  <sheetViews>
    <sheetView showRowColHeaders="0" zoomScale="80" zoomScaleNormal="80" workbookViewId="0">
      <pane xSplit="3" ySplit="1" topLeftCell="L18" activePane="bottomRight" state="frozen"/>
      <selection activeCell="Z8" sqref="Z8"/>
      <selection pane="topRight" activeCell="Z8" sqref="Z8"/>
      <selection pane="bottomLeft" activeCell="Z8" sqref="Z8"/>
      <selection pane="bottomRight" activeCell="M49" sqref="M49"/>
    </sheetView>
  </sheetViews>
  <sheetFormatPr defaultColWidth="9.140625" defaultRowHeight="11.25"/>
  <cols>
    <col min="1" max="2" width="9.140625" style="6"/>
    <col min="3" max="3" width="69.85546875" style="6" customWidth="1"/>
    <col min="4" max="4" width="9.140625" style="6"/>
    <col min="5" max="5" width="6.42578125" style="6" customWidth="1"/>
    <col min="6" max="6" width="9.140625" style="6"/>
    <col min="7" max="7" width="9.140625" style="22"/>
    <col min="8" max="8" width="18.28515625" style="6" customWidth="1"/>
    <col min="9" max="17" width="9.140625" style="6"/>
    <col min="18" max="18" width="9.140625" style="97"/>
    <col min="19" max="20" width="9.140625" style="98"/>
    <col min="21" max="16384" width="9.140625" style="6"/>
  </cols>
  <sheetData>
    <row r="1" spans="1:27">
      <c r="A1" s="4" t="s">
        <v>57</v>
      </c>
      <c r="B1" s="4" t="s">
        <v>90</v>
      </c>
      <c r="C1" s="4" t="s">
        <v>89</v>
      </c>
      <c r="D1" s="4" t="s">
        <v>33</v>
      </c>
      <c r="E1" s="4" t="s">
        <v>91</v>
      </c>
      <c r="F1" s="5" t="s">
        <v>15</v>
      </c>
      <c r="G1" s="20" t="s">
        <v>151</v>
      </c>
      <c r="M1" s="6">
        <v>1</v>
      </c>
      <c r="N1" s="6">
        <v>2</v>
      </c>
      <c r="O1" s="6">
        <v>3</v>
      </c>
      <c r="P1" s="6">
        <v>4</v>
      </c>
      <c r="U1" s="6" t="s">
        <v>166</v>
      </c>
      <c r="X1" s="6">
        <v>1</v>
      </c>
      <c r="Y1" s="6">
        <v>2</v>
      </c>
      <c r="Z1" s="6">
        <v>3</v>
      </c>
      <c r="AA1" s="6">
        <v>4</v>
      </c>
    </row>
    <row r="2" spans="1:27">
      <c r="A2" s="6">
        <v>0</v>
      </c>
      <c r="C2" s="6" t="s">
        <v>16</v>
      </c>
      <c r="D2" s="6" t="str">
        <f t="shared" ref="D2:D7" si="0">C2</f>
        <v>&lt;none&gt;</v>
      </c>
      <c r="F2" s="7">
        <v>0</v>
      </c>
      <c r="G2" s="21"/>
      <c r="I2" s="8"/>
      <c r="K2" s="6" t="s">
        <v>92</v>
      </c>
      <c r="M2" s="6" t="str">
        <f>INDEX($K$2:$K$7,M1)</f>
        <v>All</v>
      </c>
      <c r="N2" s="6" t="str">
        <f>INDEX($K$2:$K$7,N1)</f>
        <v>1) NORMATIVA</v>
      </c>
      <c r="O2" s="6" t="str">
        <f>INDEX($K$2:$K$7,O1)</f>
        <v>2) ORGANIZATIVA</v>
      </c>
      <c r="P2" s="6" t="str">
        <f>INDEX($K$2:$K$7,P1)</f>
        <v>3) MERCADO</v>
      </c>
      <c r="V2" s="6" t="s">
        <v>92</v>
      </c>
      <c r="X2" s="6" t="str">
        <f>INDEX($K$2:$K$7,X1)</f>
        <v>All</v>
      </c>
      <c r="Y2" s="6" t="str">
        <f>INDEX($K$2:$K$7,Y1)</f>
        <v>1) NORMATIVA</v>
      </c>
      <c r="Z2" s="6" t="str">
        <f>INDEX($K$2:$K$7,Z1)</f>
        <v>2) ORGANIZATIVA</v>
      </c>
      <c r="AA2" s="6" t="str">
        <f>INDEX($K$2:$K$7,AA1)</f>
        <v>3) MERCADO</v>
      </c>
    </row>
    <row r="3" spans="1:27" ht="12.75">
      <c r="A3" s="6">
        <f>A2+1</f>
        <v>1</v>
      </c>
      <c r="C3" s="74" t="str">
        <f>tblIndicators!AE3</f>
        <v>1) NORMATIVA</v>
      </c>
      <c r="D3" s="6" t="str">
        <f t="shared" si="0"/>
        <v>1) NORMATIVA</v>
      </c>
      <c r="F3" s="8">
        <f>INDEX(M3:P3,uxb_works!$B$40)</f>
        <v>1</v>
      </c>
      <c r="G3" s="75"/>
      <c r="H3" s="6" t="s">
        <v>144</v>
      </c>
      <c r="I3" s="8">
        <f>uxb_works!B7</f>
        <v>0</v>
      </c>
      <c r="K3" s="6" t="str">
        <f>tblIndiSets!C6</f>
        <v>1) NORMATIVA</v>
      </c>
      <c r="L3" s="6">
        <v>1</v>
      </c>
      <c r="M3" s="6">
        <v>1</v>
      </c>
      <c r="N3" s="6">
        <v>1</v>
      </c>
      <c r="O3" s="6">
        <v>0</v>
      </c>
      <c r="P3" s="6">
        <v>0</v>
      </c>
      <c r="T3" s="8">
        <f>INDEX(X3:AB3,uxb_works!$B$40)</f>
        <v>0</v>
      </c>
      <c r="V3" s="6" t="str">
        <f>K3</f>
        <v>1) NORMATIVA</v>
      </c>
      <c r="W3" s="6">
        <v>1</v>
      </c>
      <c r="X3" s="6">
        <v>1</v>
      </c>
      <c r="Y3" s="6">
        <v>0</v>
      </c>
      <c r="Z3" s="6">
        <v>0</v>
      </c>
      <c r="AA3" s="6">
        <v>0</v>
      </c>
    </row>
    <row r="4" spans="1:27" ht="12.75">
      <c r="A4" s="6">
        <f t="shared" ref="A4:A52" si="1">A3+1</f>
        <v>2</v>
      </c>
      <c r="C4" s="74" t="str">
        <f>tblIndicators!AE4</f>
        <v>1.1) Normativa sobre gestión de residuos</v>
      </c>
      <c r="D4" s="6" t="str">
        <f t="shared" si="0"/>
        <v>1.1) Normativa sobre gestión de residuos</v>
      </c>
      <c r="F4" s="8">
        <f>INDEX(M4:P4,uxb_works!$B$40)</f>
        <v>1</v>
      </c>
      <c r="G4" s="75"/>
      <c r="H4" s="6" t="s">
        <v>18</v>
      </c>
      <c r="I4" s="8">
        <v>1</v>
      </c>
      <c r="K4" s="6" t="str">
        <f>tblIndiSets!C7</f>
        <v>2) ORGANIZATIVA</v>
      </c>
      <c r="L4" s="6">
        <v>1</v>
      </c>
      <c r="M4" s="6">
        <v>1</v>
      </c>
      <c r="N4" s="6">
        <v>1</v>
      </c>
      <c r="O4" s="6">
        <v>0</v>
      </c>
      <c r="P4" s="6">
        <v>0</v>
      </c>
      <c r="T4" s="8">
        <f>INDEX(X4:AB4,uxb_works!$B$40)</f>
        <v>1</v>
      </c>
      <c r="V4" s="6" t="str">
        <f>K4</f>
        <v>2) ORGANIZATIVA</v>
      </c>
      <c r="W4" s="6">
        <v>1</v>
      </c>
      <c r="X4" s="6">
        <v>0</v>
      </c>
      <c r="Y4" s="6">
        <v>1</v>
      </c>
      <c r="Z4" s="6">
        <v>0</v>
      </c>
      <c r="AA4" s="6">
        <v>0</v>
      </c>
    </row>
    <row r="5" spans="1:27" ht="12.75">
      <c r="A5" s="6">
        <f t="shared" si="1"/>
        <v>3</v>
      </c>
      <c r="C5" s="74" t="str">
        <f>tblIndicators!AE5</f>
        <v>1.1.1) 1.¿ Existe un marco legal nacional para la gestión de residuos orientado al reciclaje con la inclusión de actores informales?</v>
      </c>
      <c r="D5" s="6" t="str">
        <f t="shared" si="0"/>
        <v>1.1.1) 1.¿ Existe un marco legal nacional para la gestión de residuos orientado al reciclaje con la inclusión de actores informales?</v>
      </c>
      <c r="F5" s="8">
        <f>INDEX(M5:P5,uxb_works!$B$40)</f>
        <v>1</v>
      </c>
      <c r="G5" s="75"/>
      <c r="I5" s="8"/>
      <c r="K5" s="6" t="str">
        <f>tblIndiSets!C8</f>
        <v>3) MERCADO</v>
      </c>
      <c r="L5" s="6">
        <v>1</v>
      </c>
      <c r="M5" s="6">
        <v>0</v>
      </c>
      <c r="N5" s="6">
        <v>1</v>
      </c>
      <c r="O5" s="6">
        <v>0</v>
      </c>
      <c r="P5" s="6">
        <v>0</v>
      </c>
      <c r="T5" s="8">
        <f>INDEX(X5:AB5,uxb_works!$B$40)</f>
        <v>0</v>
      </c>
      <c r="V5" s="6" t="str">
        <f>K5</f>
        <v>3) MERCADO</v>
      </c>
      <c r="W5" s="6">
        <v>1</v>
      </c>
      <c r="X5" s="6">
        <v>0</v>
      </c>
      <c r="Y5" s="6">
        <v>0</v>
      </c>
      <c r="Z5" s="6">
        <v>0</v>
      </c>
      <c r="AA5" s="6">
        <v>0</v>
      </c>
    </row>
    <row r="6" spans="1:27" ht="12.75">
      <c r="A6" s="6">
        <f t="shared" si="1"/>
        <v>4</v>
      </c>
      <c r="C6" s="74" t="str">
        <f>tblIndicators!AE6</f>
        <v>1.1.2) 2.¿Existe un marco legal municipal para la gestión de residuos orientado al reciclaje y la inclusión de actores informales?</v>
      </c>
      <c r="D6" s="6" t="str">
        <f t="shared" si="0"/>
        <v>1.1.2) 2.¿Existe un marco legal municipal para la gestión de residuos orientado al reciclaje y la inclusión de actores informales?</v>
      </c>
      <c r="F6" s="8">
        <f>INDEX(M6:P6,uxb_works!$B$40)</f>
        <v>1</v>
      </c>
      <c r="G6" s="75"/>
      <c r="L6" s="6">
        <v>1</v>
      </c>
      <c r="M6" s="6">
        <v>0</v>
      </c>
      <c r="N6" s="6">
        <v>1</v>
      </c>
      <c r="O6" s="6">
        <v>0</v>
      </c>
      <c r="P6" s="6">
        <v>0</v>
      </c>
      <c r="T6" s="8">
        <f>INDEX(X6:AB6,uxb_works!$B$40)</f>
        <v>0</v>
      </c>
      <c r="W6" s="6">
        <v>1</v>
      </c>
      <c r="X6" s="6">
        <v>0</v>
      </c>
      <c r="Y6" s="6">
        <v>0</v>
      </c>
      <c r="Z6" s="6">
        <v>0</v>
      </c>
      <c r="AA6" s="6">
        <v>0</v>
      </c>
    </row>
    <row r="7" spans="1:27" ht="15" customHeight="1">
      <c r="A7" s="6">
        <f t="shared" si="1"/>
        <v>5</v>
      </c>
      <c r="C7" s="74" t="str">
        <f>tblIndicators!AE7</f>
        <v>1.1.3) 3.¿Son las políticas municipales suficientemente estables para garantizar la continuidad en materia de políticas de reciclaje inclusivo?</v>
      </c>
      <c r="D7" s="6" t="str">
        <f t="shared" si="0"/>
        <v>1.1.3) 3.¿Son las políticas municipales suficientemente estables para garantizar la continuidad en materia de políticas de reciclaje inclusivo?</v>
      </c>
      <c r="F7" s="8">
        <f>INDEX(M7:P7,uxb_works!$B$40)</f>
        <v>1</v>
      </c>
      <c r="G7" s="75"/>
      <c r="L7" s="6">
        <v>1</v>
      </c>
      <c r="M7" s="6">
        <v>0</v>
      </c>
      <c r="N7" s="6">
        <v>1</v>
      </c>
      <c r="O7" s="6">
        <v>0</v>
      </c>
      <c r="P7" s="6">
        <v>0</v>
      </c>
      <c r="T7" s="8">
        <f>INDEX(X7:AB7,uxb_works!$B$40)</f>
        <v>0</v>
      </c>
      <c r="W7" s="6">
        <v>1</v>
      </c>
      <c r="X7" s="6">
        <v>0</v>
      </c>
      <c r="Y7" s="6">
        <v>0</v>
      </c>
      <c r="Z7" s="6">
        <v>0</v>
      </c>
      <c r="AA7" s="6">
        <v>0</v>
      </c>
    </row>
    <row r="8" spans="1:27" ht="15" customHeight="1">
      <c r="A8" s="6">
        <f t="shared" si="1"/>
        <v>6</v>
      </c>
      <c r="C8" s="74" t="str">
        <f>tblIndicators!AE8</f>
        <v>1.1.4) 4.¿Existe un presupuesto (o mecanismo de financiación) municipal asignado para el reciclaje inclusivo?</v>
      </c>
      <c r="D8" s="6" t="str">
        <f t="shared" ref="D8:D25" si="2">C8</f>
        <v>1.1.4) 4.¿Existe un presupuesto (o mecanismo de financiación) municipal asignado para el reciclaje inclusivo?</v>
      </c>
      <c r="F8" s="8">
        <f>INDEX(M8:P8,uxb_works!$B$40)</f>
        <v>1</v>
      </c>
      <c r="G8" s="75"/>
      <c r="L8" s="6">
        <v>1</v>
      </c>
      <c r="M8" s="6">
        <v>0</v>
      </c>
      <c r="N8" s="6">
        <v>1</v>
      </c>
      <c r="O8" s="6">
        <v>0</v>
      </c>
      <c r="P8" s="6">
        <v>0</v>
      </c>
      <c r="T8" s="8">
        <f>INDEX(X8:AB8,uxb_works!$B$40)</f>
        <v>0</v>
      </c>
      <c r="W8" s="6">
        <v>1</v>
      </c>
      <c r="X8" s="6">
        <v>0</v>
      </c>
      <c r="Y8" s="6">
        <v>0</v>
      </c>
      <c r="Z8" s="6">
        <v>0</v>
      </c>
      <c r="AA8" s="6">
        <v>0</v>
      </c>
    </row>
    <row r="9" spans="1:27" ht="15" customHeight="1">
      <c r="A9" s="6">
        <f t="shared" si="1"/>
        <v>7</v>
      </c>
      <c r="C9" s="74" t="str">
        <f>tblIndicators!AE9</f>
        <v>1.2) Integración del reciclador de base</v>
      </c>
      <c r="D9" s="6" t="str">
        <f t="shared" si="2"/>
        <v>1.2) Integración del reciclador de base</v>
      </c>
      <c r="F9" s="8">
        <f>INDEX(M9:P9,uxb_works!$B$40)</f>
        <v>1</v>
      </c>
      <c r="G9" s="75"/>
      <c r="L9" s="6">
        <v>1</v>
      </c>
      <c r="M9" s="6">
        <v>1</v>
      </c>
      <c r="N9" s="6">
        <v>1</v>
      </c>
      <c r="O9" s="6">
        <v>0</v>
      </c>
      <c r="P9" s="6">
        <v>0</v>
      </c>
      <c r="T9" s="8">
        <f>INDEX(X9:AB9,uxb_works!$B$40)</f>
        <v>1</v>
      </c>
      <c r="W9" s="6">
        <v>1</v>
      </c>
      <c r="X9" s="6">
        <v>0</v>
      </c>
      <c r="Y9" s="6">
        <v>1</v>
      </c>
      <c r="Z9" s="6">
        <v>0</v>
      </c>
      <c r="AA9" s="6">
        <v>0</v>
      </c>
    </row>
    <row r="10" spans="1:27" ht="15" customHeight="1">
      <c r="A10" s="6">
        <f t="shared" si="1"/>
        <v>8</v>
      </c>
      <c r="C10" s="74" t="str">
        <f>tblIndicators!AE10</f>
        <v>1.2.1) 5.¿Existe reconocimiento legal de la ocupación de reciclador de base?</v>
      </c>
      <c r="D10" s="6" t="str">
        <f t="shared" si="2"/>
        <v>1.2.1) 5.¿Existe reconocimiento legal de la ocupación de reciclador de base?</v>
      </c>
      <c r="F10" s="8">
        <f>INDEX(M10:P10,uxb_works!$B$40)</f>
        <v>1</v>
      </c>
      <c r="G10" s="75"/>
      <c r="L10" s="6">
        <v>1</v>
      </c>
      <c r="M10" s="6">
        <v>0</v>
      </c>
      <c r="N10" s="6">
        <v>1</v>
      </c>
      <c r="O10" s="6">
        <v>0</v>
      </c>
      <c r="P10" s="6">
        <v>0</v>
      </c>
      <c r="T10" s="8">
        <f>INDEX(X10:AB10,uxb_works!$B$40)</f>
        <v>0</v>
      </c>
      <c r="W10" s="6">
        <v>1</v>
      </c>
      <c r="X10" s="6">
        <v>0</v>
      </c>
      <c r="Y10" s="6">
        <v>0</v>
      </c>
      <c r="Z10" s="6">
        <v>0</v>
      </c>
      <c r="AA10" s="6">
        <v>0</v>
      </c>
    </row>
    <row r="11" spans="1:27" ht="15" customHeight="1">
      <c r="A11" s="6">
        <f t="shared" si="1"/>
        <v>9</v>
      </c>
      <c r="C11" s="74" t="str">
        <f>tblIndicators!AE11</f>
        <v>1.2.2) 6.¿Se reconoce a los recicladores de base como prestadores de servicio en la gestión de residuos?</v>
      </c>
      <c r="D11" s="6" t="str">
        <f t="shared" si="2"/>
        <v>1.2.2) 6.¿Se reconoce a los recicladores de base como prestadores de servicio en la gestión de residuos?</v>
      </c>
      <c r="F11" s="8">
        <f>INDEX(M11:P11,uxb_works!$B$40)</f>
        <v>1</v>
      </c>
      <c r="G11" s="75"/>
      <c r="L11" s="6">
        <v>1</v>
      </c>
      <c r="M11" s="6">
        <v>0</v>
      </c>
      <c r="N11" s="6">
        <v>1</v>
      </c>
      <c r="O11" s="6">
        <v>0</v>
      </c>
      <c r="P11" s="6">
        <v>0</v>
      </c>
      <c r="T11" s="8">
        <f>INDEX(X11:AB11,uxb_works!$B$40)</f>
        <v>0</v>
      </c>
      <c r="W11" s="6">
        <v>1</v>
      </c>
      <c r="X11" s="6">
        <v>0</v>
      </c>
      <c r="Y11" s="6">
        <v>0</v>
      </c>
      <c r="Z11" s="6">
        <v>0</v>
      </c>
      <c r="AA11" s="6">
        <v>0</v>
      </c>
    </row>
    <row r="12" spans="1:27" ht="15" customHeight="1">
      <c r="A12" s="6">
        <f t="shared" si="1"/>
        <v>10</v>
      </c>
      <c r="C12" s="74" t="str">
        <f>tblIndicators!AE12</f>
        <v>1.2.3) 7.¿Se ha identificado la población de recicladores de base a través de un censo?</v>
      </c>
      <c r="D12" s="6" t="str">
        <f t="shared" si="2"/>
        <v>1.2.3) 7.¿Se ha identificado la población de recicladores de base a través de un censo?</v>
      </c>
      <c r="F12" s="8">
        <f>INDEX(M12:P12,uxb_works!$B$40)</f>
        <v>1</v>
      </c>
      <c r="G12" s="75"/>
      <c r="L12" s="6">
        <v>1</v>
      </c>
      <c r="M12" s="6">
        <v>0</v>
      </c>
      <c r="N12" s="6">
        <v>1</v>
      </c>
      <c r="O12" s="6">
        <v>0</v>
      </c>
      <c r="P12" s="6">
        <v>0</v>
      </c>
      <c r="T12" s="8">
        <f>INDEX(X12:AB12,uxb_works!$B$40)</f>
        <v>0</v>
      </c>
      <c r="W12" s="6">
        <v>1</v>
      </c>
      <c r="X12" s="6">
        <v>0</v>
      </c>
      <c r="Y12" s="6">
        <v>0</v>
      </c>
      <c r="Z12" s="6">
        <v>0</v>
      </c>
      <c r="AA12" s="6">
        <v>0</v>
      </c>
    </row>
    <row r="13" spans="1:27" ht="15" customHeight="1">
      <c r="A13" s="6">
        <f t="shared" si="1"/>
        <v>11</v>
      </c>
      <c r="C13" s="74" t="str">
        <f>tblIndicators!AE13</f>
        <v>1.2.4) 8.¿Cuál es el grado de transparencia e inclusión en los procesos de licitación para el reciclaje?</v>
      </c>
      <c r="D13" s="6" t="str">
        <f t="shared" si="2"/>
        <v>1.2.4) 8.¿Cuál es el grado de transparencia e inclusión en los procesos de licitación para el reciclaje?</v>
      </c>
      <c r="F13" s="8">
        <f>INDEX(M13:P13,uxb_works!$B$40)</f>
        <v>1</v>
      </c>
      <c r="G13" s="75"/>
      <c r="L13" s="6">
        <v>1</v>
      </c>
      <c r="M13" s="6">
        <v>0</v>
      </c>
      <c r="N13" s="6">
        <v>1</v>
      </c>
      <c r="O13" s="6">
        <v>0</v>
      </c>
      <c r="P13" s="6">
        <v>0</v>
      </c>
      <c r="T13" s="8">
        <f>INDEX(X13:AB13,uxb_works!$B$40)</f>
        <v>0</v>
      </c>
      <c r="W13" s="6">
        <v>1</v>
      </c>
      <c r="X13" s="6">
        <v>0</v>
      </c>
      <c r="Y13" s="6">
        <v>0</v>
      </c>
      <c r="Z13" s="6">
        <v>0</v>
      </c>
      <c r="AA13" s="6">
        <v>0</v>
      </c>
    </row>
    <row r="14" spans="1:27" ht="15" customHeight="1">
      <c r="A14" s="6">
        <f t="shared" si="1"/>
        <v>12</v>
      </c>
      <c r="C14" s="74" t="str">
        <f>tblIndicators!AE14</f>
        <v>1.2.5) 9.¿La normativa/ estrategia municipal de residuos sólidos: fue desarrollada de manera participativa?</v>
      </c>
      <c r="D14" s="6" t="str">
        <f t="shared" si="2"/>
        <v>1.2.5) 9.¿La normativa/ estrategia municipal de residuos sólidos: fue desarrollada de manera participativa?</v>
      </c>
      <c r="F14" s="8">
        <f>INDEX(M14:P14,uxb_works!$B$40)</f>
        <v>1</v>
      </c>
      <c r="G14" s="75"/>
      <c r="L14" s="6">
        <v>1</v>
      </c>
      <c r="M14" s="6">
        <v>0</v>
      </c>
      <c r="N14" s="6">
        <v>1</v>
      </c>
      <c r="O14" s="6">
        <v>0</v>
      </c>
      <c r="P14" s="6">
        <v>0</v>
      </c>
      <c r="T14" s="8">
        <f>INDEX(X14:AB14,uxb_works!$B$40)</f>
        <v>0</v>
      </c>
      <c r="W14" s="6">
        <v>1</v>
      </c>
      <c r="X14" s="6">
        <v>0</v>
      </c>
      <c r="Y14" s="6">
        <v>0</v>
      </c>
      <c r="Z14" s="6">
        <v>0</v>
      </c>
      <c r="AA14" s="6">
        <v>0</v>
      </c>
    </row>
    <row r="15" spans="1:27" ht="15" customHeight="1">
      <c r="A15" s="6">
        <f t="shared" si="1"/>
        <v>13</v>
      </c>
      <c r="C15" s="74" t="str">
        <f>tblIndicators!AE15</f>
        <v>1.2.6) 10.¿Hay programas de formación/capacitación a nivel municipal?</v>
      </c>
      <c r="D15" s="6" t="str">
        <f t="shared" si="2"/>
        <v>1.2.6) 10.¿Hay programas de formación/capacitación a nivel municipal?</v>
      </c>
      <c r="F15" s="8">
        <f>INDEX(M15:P15,uxb_works!$B$40)</f>
        <v>1</v>
      </c>
      <c r="G15" s="75"/>
      <c r="L15" s="6">
        <v>1</v>
      </c>
      <c r="M15" s="6">
        <v>0</v>
      </c>
      <c r="N15" s="6">
        <v>1</v>
      </c>
      <c r="O15" s="6">
        <v>0</v>
      </c>
      <c r="P15" s="6">
        <v>0</v>
      </c>
      <c r="T15" s="8">
        <f>INDEX(X15:AB15,uxb_works!$B$40)</f>
        <v>0</v>
      </c>
      <c r="W15" s="6">
        <v>1</v>
      </c>
      <c r="X15" s="6">
        <v>0</v>
      </c>
      <c r="Y15" s="6">
        <v>0</v>
      </c>
      <c r="Z15" s="6">
        <v>0</v>
      </c>
      <c r="AA15" s="6">
        <v>0</v>
      </c>
    </row>
    <row r="16" spans="1:27" ht="15" customHeight="1">
      <c r="A16" s="6">
        <f t="shared" si="1"/>
        <v>14</v>
      </c>
      <c r="C16" s="74" t="str">
        <f>tblIndicators!AE16</f>
        <v>1.2.7) 11.¿Existen incentivos, programas y/o acciones concretas para el fortalecimiento de la ocupación del reciclador de base?</v>
      </c>
      <c r="D16" s="6" t="str">
        <f t="shared" si="2"/>
        <v>1.2.7) 11.¿Existen incentivos, programas y/o acciones concretas para el fortalecimiento de la ocupación del reciclador de base?</v>
      </c>
      <c r="F16" s="8">
        <f>INDEX(M16:P16,uxb_works!$B$40)</f>
        <v>1</v>
      </c>
      <c r="G16" s="75"/>
      <c r="L16" s="6">
        <v>1</v>
      </c>
      <c r="M16" s="6">
        <v>0</v>
      </c>
      <c r="N16" s="6">
        <v>1</v>
      </c>
      <c r="O16" s="6">
        <v>0</v>
      </c>
      <c r="P16" s="6">
        <v>0</v>
      </c>
      <c r="T16" s="8">
        <f>INDEX(X16:AB16,uxb_works!$B$40)</f>
        <v>0</v>
      </c>
      <c r="W16" s="6">
        <v>1</v>
      </c>
      <c r="X16" s="6">
        <v>0</v>
      </c>
      <c r="Y16" s="6">
        <v>0</v>
      </c>
      <c r="Z16" s="6">
        <v>0</v>
      </c>
      <c r="AA16" s="6">
        <v>0</v>
      </c>
    </row>
    <row r="17" spans="1:27" ht="15" customHeight="1">
      <c r="A17" s="6">
        <f t="shared" si="1"/>
        <v>15</v>
      </c>
      <c r="C17" s="74" t="str">
        <f>tblIndicators!AE17</f>
        <v xml:space="preserve">1.2.8) 12.¿Existen incentivos de reciclaje para los usuarios? </v>
      </c>
      <c r="D17" s="6" t="str">
        <f t="shared" si="2"/>
        <v xml:space="preserve">1.2.8) 12.¿Existen incentivos de reciclaje para los usuarios? </v>
      </c>
      <c r="F17" s="8">
        <f>INDEX(M17:P17,uxb_works!$B$40)</f>
        <v>1</v>
      </c>
      <c r="G17" s="75"/>
      <c r="L17" s="6">
        <v>1</v>
      </c>
      <c r="M17" s="6">
        <v>0</v>
      </c>
      <c r="N17" s="6">
        <v>1</v>
      </c>
      <c r="O17" s="6">
        <v>0</v>
      </c>
      <c r="P17" s="6">
        <v>0</v>
      </c>
      <c r="T17" s="8">
        <f>INDEX(X17:AB17,uxb_works!$B$40)</f>
        <v>0</v>
      </c>
      <c r="W17" s="6">
        <v>1</v>
      </c>
      <c r="X17" s="6">
        <v>0</v>
      </c>
      <c r="Y17" s="6">
        <v>0</v>
      </c>
      <c r="Z17" s="6">
        <v>0</v>
      </c>
      <c r="AA17" s="6">
        <v>0</v>
      </c>
    </row>
    <row r="18" spans="1:27" ht="15" customHeight="1">
      <c r="A18" s="6">
        <f t="shared" si="1"/>
        <v>16</v>
      </c>
      <c r="C18" s="74" t="str">
        <f>tblIndicators!AE18</f>
        <v>1.3) Generación de información</v>
      </c>
      <c r="D18" s="6" t="str">
        <f t="shared" si="2"/>
        <v>1.3) Generación de información</v>
      </c>
      <c r="F18" s="8">
        <f>INDEX(M18:P18,uxb_works!$B$40)</f>
        <v>1</v>
      </c>
      <c r="G18" s="75"/>
      <c r="L18" s="6">
        <v>1</v>
      </c>
      <c r="M18" s="6">
        <v>1</v>
      </c>
      <c r="N18" s="6">
        <v>1</v>
      </c>
      <c r="O18" s="6">
        <v>0</v>
      </c>
      <c r="P18" s="6">
        <v>0</v>
      </c>
      <c r="T18" s="8">
        <f>INDEX(X18:AB18,uxb_works!$B$40)</f>
        <v>1</v>
      </c>
      <c r="W18" s="6">
        <v>1</v>
      </c>
      <c r="X18" s="6">
        <v>0</v>
      </c>
      <c r="Y18" s="6">
        <v>1</v>
      </c>
      <c r="Z18" s="6">
        <v>0</v>
      </c>
      <c r="AA18" s="6">
        <v>0</v>
      </c>
    </row>
    <row r="19" spans="1:27" ht="15" customHeight="1">
      <c r="A19" s="6">
        <f t="shared" si="1"/>
        <v>17</v>
      </c>
      <c r="C19" s="74" t="str">
        <f>tblIndicators!AE19</f>
        <v>1.3.1) 13.¿Hay un sistema municipal de recolección de información de reciclaje inclusivo?</v>
      </c>
      <c r="D19" s="6" t="str">
        <f t="shared" si="2"/>
        <v>1.3.1) 13.¿Hay un sistema municipal de recolección de información de reciclaje inclusivo?</v>
      </c>
      <c r="F19" s="8">
        <f>INDEX(M19:P19,uxb_works!$B$40)</f>
        <v>1</v>
      </c>
      <c r="G19" s="75"/>
      <c r="L19" s="6">
        <v>1</v>
      </c>
      <c r="M19" s="6">
        <v>0</v>
      </c>
      <c r="N19" s="6">
        <v>1</v>
      </c>
      <c r="O19" s="6">
        <v>0</v>
      </c>
      <c r="P19" s="6">
        <v>0</v>
      </c>
      <c r="T19" s="8">
        <f>INDEX(X19:AB19,uxb_works!$B$40)</f>
        <v>0</v>
      </c>
      <c r="W19" s="6">
        <v>1</v>
      </c>
      <c r="X19" s="6">
        <v>0</v>
      </c>
      <c r="Y19" s="6">
        <v>0</v>
      </c>
      <c r="Z19" s="6">
        <v>0</v>
      </c>
      <c r="AA19" s="6">
        <v>0</v>
      </c>
    </row>
    <row r="20" spans="1:27" ht="15" customHeight="1">
      <c r="A20" s="6">
        <f t="shared" si="1"/>
        <v>18</v>
      </c>
      <c r="C20" s="74" t="str">
        <f>tblIndicators!AE20</f>
        <v>1.3.2) 14.¿Hay campañas de comunicación para fomentar el reciclaje inclusivo con difusión en el municipio?</v>
      </c>
      <c r="D20" s="6" t="str">
        <f t="shared" si="2"/>
        <v>1.3.2) 14.¿Hay campañas de comunicación para fomentar el reciclaje inclusivo con difusión en el municipio?</v>
      </c>
      <c r="F20" s="8">
        <f>INDEX(M20:P20,uxb_works!$B$40)</f>
        <v>1</v>
      </c>
      <c r="G20" s="75"/>
      <c r="L20" s="6">
        <v>1</v>
      </c>
      <c r="M20" s="6">
        <v>0</v>
      </c>
      <c r="N20" s="6">
        <v>1</v>
      </c>
      <c r="O20" s="6">
        <v>0</v>
      </c>
      <c r="P20" s="6">
        <v>0</v>
      </c>
      <c r="T20" s="8">
        <f>INDEX(X20:AB20,uxb_works!$B$40)</f>
        <v>0</v>
      </c>
      <c r="W20" s="6">
        <v>1</v>
      </c>
      <c r="X20" s="6">
        <v>0</v>
      </c>
      <c r="Y20" s="6">
        <v>0</v>
      </c>
      <c r="Z20" s="6">
        <v>0</v>
      </c>
      <c r="AA20" s="6">
        <v>0</v>
      </c>
    </row>
    <row r="21" spans="1:27" ht="15" customHeight="1">
      <c r="A21" s="6">
        <f t="shared" si="1"/>
        <v>19</v>
      </c>
      <c r="C21" s="74" t="str">
        <f>tblIndicators!AE21</f>
        <v>1.4) Salud pública y el medioambiente</v>
      </c>
      <c r="D21" s="6" t="str">
        <f t="shared" si="2"/>
        <v>1.4) Salud pública y el medioambiente</v>
      </c>
      <c r="F21" s="8">
        <f>INDEX(M21:P21,uxb_works!$B$40)</f>
        <v>1</v>
      </c>
      <c r="G21" s="75"/>
      <c r="L21" s="6">
        <v>1</v>
      </c>
      <c r="M21" s="6">
        <v>1</v>
      </c>
      <c r="N21" s="6">
        <v>1</v>
      </c>
      <c r="O21" s="6">
        <v>0</v>
      </c>
      <c r="P21" s="6">
        <v>0</v>
      </c>
      <c r="T21" s="8">
        <f>INDEX(X21:AB21,uxb_works!$B$40)</f>
        <v>1</v>
      </c>
      <c r="W21" s="6">
        <v>1</v>
      </c>
      <c r="X21" s="6">
        <v>0</v>
      </c>
      <c r="Y21" s="6">
        <v>1</v>
      </c>
      <c r="Z21" s="6">
        <v>0</v>
      </c>
      <c r="AA21" s="6">
        <v>0</v>
      </c>
    </row>
    <row r="22" spans="1:27" ht="15" customHeight="1">
      <c r="A22" s="6">
        <f t="shared" si="1"/>
        <v>20</v>
      </c>
      <c r="C22" s="74" t="str">
        <f>tblIndicators!AE22</f>
        <v>1.4.1) 15.¿Existe adecuada regulación y control sobre clasificación y manejo de desechos especiales y/o  peligrosos y sobre clasificación en la calle?</v>
      </c>
      <c r="D22" s="6" t="str">
        <f t="shared" si="2"/>
        <v>1.4.1) 15.¿Existe adecuada regulación y control sobre clasificación y manejo de desechos especiales y/o  peligrosos y sobre clasificación en la calle?</v>
      </c>
      <c r="F22" s="8">
        <f>INDEX(M22:P22,uxb_works!$B$40)</f>
        <v>1</v>
      </c>
      <c r="G22" s="75"/>
      <c r="L22" s="6">
        <v>1</v>
      </c>
      <c r="M22" s="6">
        <v>0</v>
      </c>
      <c r="N22" s="6">
        <v>1</v>
      </c>
      <c r="O22" s="6">
        <v>0</v>
      </c>
      <c r="P22" s="6">
        <v>0</v>
      </c>
      <c r="T22" s="8">
        <f>INDEX(X22:AB22,uxb_works!$B$40)</f>
        <v>0</v>
      </c>
      <c r="W22" s="6">
        <v>1</v>
      </c>
      <c r="X22" s="6">
        <v>0</v>
      </c>
      <c r="Y22" s="6">
        <v>0</v>
      </c>
      <c r="Z22" s="6">
        <v>0</v>
      </c>
      <c r="AA22" s="6">
        <v>0</v>
      </c>
    </row>
    <row r="23" spans="1:27" ht="15" customHeight="1">
      <c r="A23" s="6">
        <f t="shared" si="1"/>
        <v>21</v>
      </c>
      <c r="C23" s="74" t="str">
        <f>tblIndicators!AE23</f>
        <v>2) ORGANIZATIVA</v>
      </c>
      <c r="D23" s="6" t="str">
        <f t="shared" si="2"/>
        <v>2) ORGANIZATIVA</v>
      </c>
      <c r="F23" s="8">
        <f>INDEX(M23:P23,uxb_works!$B$40)</f>
        <v>0</v>
      </c>
      <c r="G23" s="75"/>
      <c r="L23" s="6">
        <v>1</v>
      </c>
      <c r="M23" s="6">
        <v>1</v>
      </c>
      <c r="N23" s="6">
        <v>0</v>
      </c>
      <c r="O23" s="6">
        <v>1</v>
      </c>
      <c r="P23" s="6">
        <v>0</v>
      </c>
      <c r="T23" s="8">
        <f>INDEX(X23:AB23,uxb_works!$B$40)</f>
        <v>0</v>
      </c>
      <c r="W23" s="6">
        <v>1</v>
      </c>
      <c r="X23" s="6">
        <v>1</v>
      </c>
      <c r="Y23" s="6">
        <v>0</v>
      </c>
      <c r="Z23" s="6">
        <v>0</v>
      </c>
      <c r="AA23" s="6">
        <v>0</v>
      </c>
    </row>
    <row r="24" spans="1:27" ht="15" customHeight="1">
      <c r="A24" s="6">
        <f t="shared" si="1"/>
        <v>22</v>
      </c>
      <c r="C24" s="74" t="str">
        <f>tblIndicators!AE24</f>
        <v>2.1) Asociatividad</v>
      </c>
      <c r="D24" s="6" t="str">
        <f t="shared" si="2"/>
        <v>2.1) Asociatividad</v>
      </c>
      <c r="F24" s="8">
        <f>INDEX(M24:P24,uxb_works!$B$40)</f>
        <v>0</v>
      </c>
      <c r="G24" s="75"/>
      <c r="L24" s="6">
        <v>1</v>
      </c>
      <c r="M24" s="6">
        <v>1</v>
      </c>
      <c r="N24" s="6">
        <v>0</v>
      </c>
      <c r="O24" s="6">
        <v>1</v>
      </c>
      <c r="P24" s="6">
        <v>0</v>
      </c>
      <c r="T24" s="8">
        <f>INDEX(X24:AB24,uxb_works!$B$40)</f>
        <v>0</v>
      </c>
      <c r="W24" s="6">
        <v>1</v>
      </c>
      <c r="X24" s="6">
        <v>0</v>
      </c>
      <c r="Y24" s="6">
        <v>0</v>
      </c>
      <c r="Z24" s="6">
        <v>1</v>
      </c>
      <c r="AA24" s="6">
        <v>0</v>
      </c>
    </row>
    <row r="25" spans="1:27" ht="15" customHeight="1">
      <c r="A25" s="6">
        <f t="shared" si="1"/>
        <v>23</v>
      </c>
      <c r="C25" s="74" t="str">
        <f>tblIndicators!AE25</f>
        <v>2.1.1) 16.¿Cuán dinámicas son las asociaciones?</v>
      </c>
      <c r="D25" s="6" t="str">
        <f t="shared" si="2"/>
        <v>2.1.1) 16.¿Cuán dinámicas son las asociaciones?</v>
      </c>
      <c r="F25" s="8">
        <f>INDEX(M25:P25,uxb_works!$B$40)</f>
        <v>0</v>
      </c>
      <c r="G25" s="75"/>
      <c r="L25" s="6">
        <v>1</v>
      </c>
      <c r="M25" s="6">
        <v>0</v>
      </c>
      <c r="N25" s="6">
        <v>0</v>
      </c>
      <c r="O25" s="6">
        <v>1</v>
      </c>
      <c r="P25" s="6">
        <v>0</v>
      </c>
      <c r="T25" s="8">
        <f>INDEX(X25:AB25,uxb_works!$B$40)</f>
        <v>0</v>
      </c>
      <c r="W25" s="6">
        <v>1</v>
      </c>
      <c r="X25" s="6">
        <v>0</v>
      </c>
      <c r="Y25" s="6">
        <v>0</v>
      </c>
      <c r="Z25" s="6">
        <v>0</v>
      </c>
      <c r="AA25" s="6">
        <v>0</v>
      </c>
    </row>
    <row r="26" spans="1:27" ht="15" customHeight="1">
      <c r="A26" s="6">
        <f t="shared" si="1"/>
        <v>24</v>
      </c>
      <c r="C26" s="74" t="str">
        <f>tblIndicators!AE26</f>
        <v xml:space="preserve">2.1.2) 17.¿Qué nivel de inclusión  presentan estas asociaciones? </v>
      </c>
      <c r="D26" s="6" t="str">
        <f t="shared" ref="D26:D52" si="3">C26</f>
        <v xml:space="preserve">2.1.2) 17.¿Qué nivel de inclusión  presentan estas asociaciones? </v>
      </c>
      <c r="F26" s="8">
        <f>INDEX(M26:P26,uxb_works!$B$40)</f>
        <v>0</v>
      </c>
      <c r="G26" s="75"/>
      <c r="L26" s="6">
        <v>1</v>
      </c>
      <c r="M26" s="6">
        <v>0</v>
      </c>
      <c r="N26" s="6">
        <v>0</v>
      </c>
      <c r="O26" s="6">
        <v>1</v>
      </c>
      <c r="P26" s="6">
        <v>0</v>
      </c>
      <c r="T26" s="8">
        <f>INDEX(X26:AB26,uxb_works!$B$40)</f>
        <v>0</v>
      </c>
      <c r="W26" s="6">
        <v>1</v>
      </c>
      <c r="X26" s="6">
        <v>0</v>
      </c>
      <c r="Y26" s="6">
        <v>0</v>
      </c>
      <c r="Z26" s="6">
        <v>0</v>
      </c>
      <c r="AA26" s="6">
        <v>0</v>
      </c>
    </row>
    <row r="27" spans="1:27" ht="15" customHeight="1">
      <c r="A27" s="6">
        <f t="shared" si="1"/>
        <v>25</v>
      </c>
      <c r="C27" s="74" t="str">
        <f>tblIndicators!AE27</f>
        <v>2.1.3) 18.¿Las asociaciones: participan en espacios de interlocución o diálogo con pares?</v>
      </c>
      <c r="D27" s="6" t="str">
        <f t="shared" si="3"/>
        <v>2.1.3) 18.¿Las asociaciones: participan en espacios de interlocución o diálogo con pares?</v>
      </c>
      <c r="F27" s="8">
        <f>INDEX(M27:P27,uxb_works!$B$40)</f>
        <v>0</v>
      </c>
      <c r="G27" s="75"/>
      <c r="L27" s="6">
        <v>1</v>
      </c>
      <c r="M27" s="6">
        <v>0</v>
      </c>
      <c r="N27" s="6">
        <v>0</v>
      </c>
      <c r="O27" s="6">
        <v>1</v>
      </c>
      <c r="P27" s="6">
        <v>0</v>
      </c>
      <c r="T27" s="8">
        <f>INDEX(X27:AB27,uxb_works!$B$40)</f>
        <v>0</v>
      </c>
      <c r="W27" s="6">
        <v>1</v>
      </c>
      <c r="X27" s="6">
        <v>0</v>
      </c>
      <c r="Y27" s="6">
        <v>0</v>
      </c>
      <c r="Z27" s="6">
        <v>0</v>
      </c>
      <c r="AA27" s="6">
        <v>0</v>
      </c>
    </row>
    <row r="28" spans="1:27" ht="15" customHeight="1">
      <c r="A28" s="6">
        <f t="shared" si="1"/>
        <v>26</v>
      </c>
      <c r="C28" s="74" t="str">
        <f>tblIndicators!AE28</f>
        <v>2.1.4) 19.¿Existen espacios de diálogo y coordinación entre diferentes actores de la cadena de valor del reciclaje?</v>
      </c>
      <c r="D28" s="6" t="str">
        <f t="shared" si="3"/>
        <v>2.1.4) 19.¿Existen espacios de diálogo y coordinación entre diferentes actores de la cadena de valor del reciclaje?</v>
      </c>
      <c r="F28" s="8">
        <f>INDEX(M28:P28,uxb_works!$B$40)</f>
        <v>0</v>
      </c>
      <c r="G28" s="75"/>
      <c r="L28" s="6">
        <v>1</v>
      </c>
      <c r="M28" s="6">
        <v>0</v>
      </c>
      <c r="N28" s="6">
        <v>0</v>
      </c>
      <c r="O28" s="6">
        <v>1</v>
      </c>
      <c r="P28" s="6">
        <v>0</v>
      </c>
      <c r="T28" s="8">
        <f>INDEX(X28:AB28,uxb_works!$B$40)</f>
        <v>0</v>
      </c>
      <c r="W28" s="6">
        <v>1</v>
      </c>
      <c r="X28" s="6">
        <v>0</v>
      </c>
      <c r="Y28" s="6">
        <v>0</v>
      </c>
      <c r="Z28" s="6">
        <v>0</v>
      </c>
      <c r="AA28" s="6">
        <v>0</v>
      </c>
    </row>
    <row r="29" spans="1:27" ht="15" customHeight="1">
      <c r="A29" s="6">
        <f t="shared" si="1"/>
        <v>27</v>
      </c>
      <c r="C29" s="74" t="str">
        <f>tblIndicators!AE29</f>
        <v>2.1.5) 20.¿Cuál es el nivel de representación de las mujeres en las asociaciones?</v>
      </c>
      <c r="D29" s="6" t="str">
        <f t="shared" si="3"/>
        <v>2.1.5) 20.¿Cuál es el nivel de representación de las mujeres en las asociaciones?</v>
      </c>
      <c r="F29" s="8">
        <f>INDEX(M29:P29,uxb_works!$B$40)</f>
        <v>0</v>
      </c>
      <c r="G29" s="75"/>
      <c r="L29" s="6">
        <v>1</v>
      </c>
      <c r="M29" s="6">
        <v>0</v>
      </c>
      <c r="N29" s="6">
        <v>0</v>
      </c>
      <c r="O29" s="6">
        <v>1</v>
      </c>
      <c r="P29" s="6">
        <v>0</v>
      </c>
      <c r="T29" s="8">
        <f>INDEX(X29:AB29,uxb_works!$B$40)</f>
        <v>0</v>
      </c>
      <c r="W29" s="6">
        <v>1</v>
      </c>
      <c r="X29" s="6">
        <v>0</v>
      </c>
      <c r="Y29" s="6">
        <v>0</v>
      </c>
      <c r="Z29" s="6">
        <v>0</v>
      </c>
      <c r="AA29" s="6">
        <v>0</v>
      </c>
    </row>
    <row r="30" spans="1:27" ht="15" customHeight="1">
      <c r="A30" s="6">
        <f t="shared" si="1"/>
        <v>28</v>
      </c>
      <c r="C30" s="74" t="str">
        <f>tblIndicators!AE30</f>
        <v>2.2) Organizaciones comerciales</v>
      </c>
      <c r="D30" s="6" t="str">
        <f t="shared" si="3"/>
        <v>2.2) Organizaciones comerciales</v>
      </c>
      <c r="F30" s="8">
        <f>INDEX(M30:P30,uxb_works!$B$40)</f>
        <v>0</v>
      </c>
      <c r="G30" s="75"/>
      <c r="L30" s="6">
        <v>1</v>
      </c>
      <c r="M30" s="6">
        <v>1</v>
      </c>
      <c r="N30" s="6">
        <v>0</v>
      </c>
      <c r="O30" s="6">
        <v>1</v>
      </c>
      <c r="P30" s="6">
        <v>0</v>
      </c>
      <c r="T30" s="8">
        <f>INDEX(X30:AB30,uxb_works!$B$40)</f>
        <v>0</v>
      </c>
      <c r="W30" s="6">
        <v>1</v>
      </c>
      <c r="X30" s="6">
        <v>0</v>
      </c>
      <c r="Y30" s="6">
        <v>0</v>
      </c>
      <c r="Z30" s="6">
        <v>1</v>
      </c>
      <c r="AA30" s="6">
        <v>0</v>
      </c>
    </row>
    <row r="31" spans="1:27" ht="15" customHeight="1">
      <c r="A31" s="6">
        <f t="shared" si="1"/>
        <v>29</v>
      </c>
      <c r="C31" s="74" t="str">
        <f>tblIndicators!AE31</f>
        <v xml:space="preserve">2.2.1) 21.¿Existen organizaciones de recicladores con actividad comercial en el municipio (cooperativas y/o microempresas)? </v>
      </c>
      <c r="D31" s="6" t="str">
        <f t="shared" si="3"/>
        <v xml:space="preserve">2.2.1) 21.¿Existen organizaciones de recicladores con actividad comercial en el municipio (cooperativas y/o microempresas)? </v>
      </c>
      <c r="F31" s="8">
        <f>INDEX(M31:P31,uxb_works!$B$40)</f>
        <v>0</v>
      </c>
      <c r="G31" s="75"/>
      <c r="L31" s="6">
        <v>1</v>
      </c>
      <c r="M31" s="6">
        <v>0</v>
      </c>
      <c r="N31" s="6">
        <v>0</v>
      </c>
      <c r="O31" s="6">
        <v>1</v>
      </c>
      <c r="P31" s="6">
        <v>0</v>
      </c>
      <c r="T31" s="8">
        <f>INDEX(X31:AB31,uxb_works!$B$40)</f>
        <v>0</v>
      </c>
      <c r="W31" s="6">
        <v>1</v>
      </c>
      <c r="X31" s="6">
        <v>0</v>
      </c>
      <c r="Y31" s="6">
        <v>0</v>
      </c>
      <c r="Z31" s="6">
        <v>0</v>
      </c>
      <c r="AA31" s="6">
        <v>0</v>
      </c>
    </row>
    <row r="32" spans="1:27" ht="15" customHeight="1">
      <c r="A32" s="6">
        <f t="shared" si="1"/>
        <v>30</v>
      </c>
      <c r="C32" s="74" t="str">
        <f>tblIndicators!AE32</f>
        <v>2.2.2) 22.¿Cuál es el nivel de participación de las organizaciones de recicladores en la cadena de valor del reciclaje?</v>
      </c>
      <c r="D32" s="6" t="str">
        <f t="shared" si="3"/>
        <v>2.2.2) 22.¿Cuál es el nivel de participación de las organizaciones de recicladores en la cadena de valor del reciclaje?</v>
      </c>
      <c r="F32" s="8">
        <f>INDEX(M32:P32,uxb_works!$B$40)</f>
        <v>0</v>
      </c>
      <c r="G32" s="75"/>
      <c r="L32" s="6">
        <v>1</v>
      </c>
      <c r="M32" s="6">
        <v>0</v>
      </c>
      <c r="N32" s="6">
        <v>0</v>
      </c>
      <c r="O32" s="6">
        <v>1</v>
      </c>
      <c r="P32" s="6">
        <v>0</v>
      </c>
      <c r="T32" s="8">
        <f>INDEX(X32:AB32,uxb_works!$B$40)</f>
        <v>0</v>
      </c>
      <c r="W32" s="6">
        <v>1</v>
      </c>
      <c r="X32" s="6">
        <v>0</v>
      </c>
      <c r="Y32" s="6">
        <v>0</v>
      </c>
      <c r="Z32" s="6">
        <v>0</v>
      </c>
      <c r="AA32" s="6">
        <v>0</v>
      </c>
    </row>
    <row r="33" spans="1:27" ht="15" customHeight="1">
      <c r="A33" s="6">
        <f t="shared" si="1"/>
        <v>31</v>
      </c>
      <c r="C33" s="74" t="str">
        <f>tblIndicators!AE33</f>
        <v>2.2.3) 23. Las organizaciones comerciales de recicladores: ¿Tienen acceso a mecanismos de financiamiento?</v>
      </c>
      <c r="D33" s="6" t="str">
        <f t="shared" si="3"/>
        <v>2.2.3) 23. Las organizaciones comerciales de recicladores: ¿Tienen acceso a mecanismos de financiamiento?</v>
      </c>
      <c r="F33" s="8">
        <f>INDEX(M33:P33,uxb_works!$B$40)</f>
        <v>0</v>
      </c>
      <c r="G33" s="75"/>
      <c r="L33" s="6">
        <v>1</v>
      </c>
      <c r="M33" s="6">
        <v>0</v>
      </c>
      <c r="N33" s="6">
        <v>0</v>
      </c>
      <c r="O33" s="6">
        <v>1</v>
      </c>
      <c r="P33" s="6">
        <v>0</v>
      </c>
      <c r="T33" s="8">
        <f>INDEX(X33:AB33,uxb_works!$B$40)</f>
        <v>0</v>
      </c>
      <c r="W33" s="6">
        <v>1</v>
      </c>
      <c r="X33" s="6">
        <v>0</v>
      </c>
      <c r="Y33" s="6">
        <v>0</v>
      </c>
      <c r="Z33" s="6">
        <v>0</v>
      </c>
      <c r="AA33" s="6">
        <v>0</v>
      </c>
    </row>
    <row r="34" spans="1:27" ht="15" customHeight="1">
      <c r="A34" s="6">
        <f t="shared" si="1"/>
        <v>32</v>
      </c>
      <c r="C34" s="74" t="str">
        <f>tblIndicators!AE34</f>
        <v>3) MERCADO</v>
      </c>
      <c r="D34" s="6" t="str">
        <f t="shared" si="3"/>
        <v>3) MERCADO</v>
      </c>
      <c r="F34" s="8">
        <f>INDEX(M34:P34,uxb_works!$B$40)</f>
        <v>0</v>
      </c>
      <c r="G34" s="75"/>
      <c r="L34" s="6">
        <v>1</v>
      </c>
      <c r="M34" s="6">
        <v>1</v>
      </c>
      <c r="N34" s="6">
        <v>0</v>
      </c>
      <c r="O34" s="6">
        <v>0</v>
      </c>
      <c r="P34" s="6">
        <v>1</v>
      </c>
      <c r="T34" s="8">
        <f>INDEX(X34:AB34,uxb_works!$B$40)</f>
        <v>0</v>
      </c>
      <c r="W34" s="6">
        <v>1</v>
      </c>
      <c r="X34" s="6">
        <v>1</v>
      </c>
      <c r="Y34" s="6">
        <v>0</v>
      </c>
      <c r="Z34" s="6">
        <v>0</v>
      </c>
      <c r="AA34" s="6">
        <v>0</v>
      </c>
    </row>
    <row r="35" spans="1:27" ht="15" customHeight="1">
      <c r="A35" s="6">
        <f t="shared" si="1"/>
        <v>33</v>
      </c>
      <c r="C35" s="74" t="str">
        <f>tblIndicators!AE35</f>
        <v>3.1) Condiciones de acceso y almacenamiento de residuos</v>
      </c>
      <c r="D35" s="6" t="str">
        <f t="shared" si="3"/>
        <v>3.1) Condiciones de acceso y almacenamiento de residuos</v>
      </c>
      <c r="F35" s="8">
        <f>INDEX(M35:P35,uxb_works!$B$40)</f>
        <v>0</v>
      </c>
      <c r="G35" s="75"/>
      <c r="L35" s="6">
        <v>1</v>
      </c>
      <c r="M35" s="6">
        <v>1</v>
      </c>
      <c r="N35" s="6">
        <v>0</v>
      </c>
      <c r="O35" s="6">
        <v>0</v>
      </c>
      <c r="P35" s="6">
        <v>1</v>
      </c>
      <c r="T35" s="8">
        <f>INDEX(X35:AB35,uxb_works!$B$40)</f>
        <v>0</v>
      </c>
      <c r="W35" s="6">
        <v>1</v>
      </c>
      <c r="X35" s="6">
        <v>0</v>
      </c>
      <c r="Y35" s="6">
        <v>0</v>
      </c>
      <c r="Z35" s="6">
        <v>0</v>
      </c>
      <c r="AA35" s="6">
        <v>1</v>
      </c>
    </row>
    <row r="36" spans="1:27" ht="15" customHeight="1">
      <c r="A36" s="6">
        <f t="shared" si="1"/>
        <v>34</v>
      </c>
      <c r="C36" s="74" t="str">
        <f>tblIndicators!AE36</f>
        <v>3.1.1) 24.¿Cómo es el acceso del material reciclable?</v>
      </c>
      <c r="D36" s="6" t="str">
        <f t="shared" si="3"/>
        <v>3.1.1) 24.¿Cómo es el acceso del material reciclable?</v>
      </c>
      <c r="F36" s="8">
        <f>INDEX(M36:P36,uxb_works!$B$40)</f>
        <v>0</v>
      </c>
      <c r="G36" s="75"/>
      <c r="L36" s="6">
        <v>1</v>
      </c>
      <c r="M36" s="6">
        <v>0</v>
      </c>
      <c r="N36" s="6">
        <v>0</v>
      </c>
      <c r="O36" s="6">
        <v>0</v>
      </c>
      <c r="P36" s="6">
        <v>1</v>
      </c>
      <c r="T36" s="8">
        <f>INDEX(X36:AB36,uxb_works!$B$40)</f>
        <v>0</v>
      </c>
      <c r="W36" s="6">
        <v>1</v>
      </c>
      <c r="X36" s="6">
        <v>0</v>
      </c>
      <c r="Y36" s="6">
        <v>0</v>
      </c>
      <c r="Z36" s="6">
        <v>0</v>
      </c>
      <c r="AA36" s="6">
        <v>0</v>
      </c>
    </row>
    <row r="37" spans="1:27" ht="15" customHeight="1">
      <c r="A37" s="6">
        <f t="shared" si="1"/>
        <v>35</v>
      </c>
      <c r="C37" s="74" t="str">
        <f>tblIndicators!AE37</f>
        <v>3.1.2) 25.¿Existen esquemas formales de recolección diferenciada de residuos reciclables en el municipio que involucran a recicladores de base?</v>
      </c>
      <c r="D37" s="6" t="str">
        <f t="shared" si="3"/>
        <v>3.1.2) 25.¿Existen esquemas formales de recolección diferenciada de residuos reciclables en el municipio que involucran a recicladores de base?</v>
      </c>
      <c r="F37" s="8">
        <f>INDEX(M37:P37,uxb_works!$B$40)</f>
        <v>0</v>
      </c>
      <c r="G37" s="75"/>
      <c r="L37" s="6">
        <v>1</v>
      </c>
      <c r="M37" s="6">
        <v>0</v>
      </c>
      <c r="N37" s="6">
        <v>0</v>
      </c>
      <c r="O37" s="6">
        <v>0</v>
      </c>
      <c r="P37" s="6">
        <v>1</v>
      </c>
      <c r="T37" s="8">
        <f>INDEX(X37:AB37,uxb_works!$B$40)</f>
        <v>0</v>
      </c>
      <c r="W37" s="6">
        <v>1</v>
      </c>
      <c r="X37" s="6">
        <v>0</v>
      </c>
      <c r="Y37" s="6">
        <v>0</v>
      </c>
      <c r="Z37" s="6">
        <v>0</v>
      </c>
      <c r="AA37" s="6">
        <v>0</v>
      </c>
    </row>
    <row r="38" spans="1:27" ht="15" customHeight="1">
      <c r="A38" s="6">
        <f t="shared" si="1"/>
        <v>36</v>
      </c>
      <c r="C38" s="74" t="str">
        <f>tblIndicators!AE38</f>
        <v>3.1.3) 26.¿Los recicladores tienen acceso a instalaciones para el almacenamiento y la clasificación de materiales?</v>
      </c>
      <c r="D38" s="6" t="str">
        <f t="shared" si="3"/>
        <v>3.1.3) 26.¿Los recicladores tienen acceso a instalaciones para el almacenamiento y la clasificación de materiales?</v>
      </c>
      <c r="F38" s="8">
        <f>INDEX(M38:P38,uxb_works!$B$40)</f>
        <v>0</v>
      </c>
      <c r="G38" s="75"/>
      <c r="L38" s="6">
        <v>1</v>
      </c>
      <c r="M38" s="6">
        <v>0</v>
      </c>
      <c r="N38" s="6">
        <v>0</v>
      </c>
      <c r="O38" s="6">
        <v>0</v>
      </c>
      <c r="P38" s="6">
        <v>1</v>
      </c>
      <c r="T38" s="8">
        <f>INDEX(X38:AB38,uxb_works!$B$40)</f>
        <v>0</v>
      </c>
      <c r="W38" s="6">
        <v>1</v>
      </c>
      <c r="X38" s="6">
        <v>0</v>
      </c>
      <c r="Y38" s="6">
        <v>0</v>
      </c>
      <c r="Z38" s="6">
        <v>0</v>
      </c>
      <c r="AA38" s="6">
        <v>0</v>
      </c>
    </row>
    <row r="39" spans="1:27" ht="15" customHeight="1">
      <c r="A39" s="6">
        <f t="shared" si="1"/>
        <v>37</v>
      </c>
      <c r="C39" s="74" t="str">
        <f>tblIndicators!AE39</f>
        <v>3.1.4) 27.¿Cuál es el nivel de desarrollo técnico alcanzado en la clasificación (o pre-procesamiento) de materiales reciclables por parte de agrupaciones de recicladores?</v>
      </c>
      <c r="D39" s="6" t="str">
        <f t="shared" si="3"/>
        <v>3.1.4) 27.¿Cuál es el nivel de desarrollo técnico alcanzado en la clasificación (o pre-procesamiento) de materiales reciclables por parte de agrupaciones de recicladores?</v>
      </c>
      <c r="F39" s="8">
        <f>INDEX(M39:P39,uxb_works!$B$40)</f>
        <v>0</v>
      </c>
      <c r="G39" s="75"/>
      <c r="L39" s="6">
        <v>1</v>
      </c>
      <c r="M39" s="6">
        <v>0</v>
      </c>
      <c r="N39" s="6">
        <v>0</v>
      </c>
      <c r="O39" s="6">
        <v>0</v>
      </c>
      <c r="P39" s="6">
        <v>1</v>
      </c>
      <c r="T39" s="8">
        <f>INDEX(X39:AB39,uxb_works!$B$40)</f>
        <v>0</v>
      </c>
      <c r="W39" s="6">
        <v>1</v>
      </c>
      <c r="X39" s="6">
        <v>0</v>
      </c>
      <c r="Y39" s="6">
        <v>0</v>
      </c>
      <c r="Z39" s="6">
        <v>0</v>
      </c>
      <c r="AA39" s="6">
        <v>0</v>
      </c>
    </row>
    <row r="40" spans="1:27" ht="15" customHeight="1">
      <c r="A40" s="6">
        <f t="shared" si="1"/>
        <v>38</v>
      </c>
      <c r="C40" s="74" t="str">
        <f>tblIndicators!AE40</f>
        <v>3.2) Condiciones para la comercialización de material reciclable</v>
      </c>
      <c r="D40" s="6" t="str">
        <f t="shared" si="3"/>
        <v>3.2) Condiciones para la comercialización de material reciclable</v>
      </c>
      <c r="F40" s="8">
        <f>INDEX(M40:P40,uxb_works!$B$40)</f>
        <v>0</v>
      </c>
      <c r="G40" s="75"/>
      <c r="L40" s="6">
        <v>1</v>
      </c>
      <c r="M40" s="6">
        <v>1</v>
      </c>
      <c r="N40" s="6">
        <v>0</v>
      </c>
      <c r="O40" s="6">
        <v>0</v>
      </c>
      <c r="P40" s="6">
        <v>1</v>
      </c>
      <c r="T40" s="8">
        <f>INDEX(X40:AB40,uxb_works!$B$40)</f>
        <v>0</v>
      </c>
      <c r="W40" s="6">
        <v>1</v>
      </c>
      <c r="X40" s="6">
        <v>0</v>
      </c>
      <c r="Y40" s="6">
        <v>0</v>
      </c>
      <c r="Z40" s="6">
        <v>0</v>
      </c>
      <c r="AA40" s="6">
        <v>1</v>
      </c>
    </row>
    <row r="41" spans="1:27" ht="15" customHeight="1">
      <c r="A41" s="6">
        <f t="shared" si="1"/>
        <v>39</v>
      </c>
      <c r="C41" s="74" t="str">
        <f>tblIndicators!AE41</f>
        <v>3.2.1) 28.¿Cuál es la diferencia de valor del material en los diferentes eslabones de la cadena del reciclaje?</v>
      </c>
      <c r="D41" s="6" t="str">
        <f t="shared" si="3"/>
        <v>3.2.1) 28.¿Cuál es la diferencia de valor del material en los diferentes eslabones de la cadena del reciclaje?</v>
      </c>
      <c r="F41" s="8">
        <f>INDEX(M41:P41,uxb_works!$B$40)</f>
        <v>0</v>
      </c>
      <c r="G41" s="75"/>
      <c r="L41" s="6">
        <v>1</v>
      </c>
      <c r="M41" s="6">
        <v>0</v>
      </c>
      <c r="N41" s="6">
        <v>0</v>
      </c>
      <c r="O41" s="6">
        <v>0</v>
      </c>
      <c r="P41" s="6">
        <v>1</v>
      </c>
      <c r="T41" s="8">
        <f>INDEX(X41:AB41,uxb_works!$B$40)</f>
        <v>0</v>
      </c>
      <c r="W41" s="6">
        <v>1</v>
      </c>
      <c r="X41" s="6">
        <v>0</v>
      </c>
      <c r="Y41" s="6">
        <v>0</v>
      </c>
      <c r="Z41" s="6">
        <v>0</v>
      </c>
      <c r="AA41" s="6">
        <v>0</v>
      </c>
    </row>
    <row r="42" spans="1:27" ht="15" customHeight="1">
      <c r="A42" s="6">
        <f t="shared" si="1"/>
        <v>40</v>
      </c>
      <c r="C42" s="74" t="str">
        <f>tblIndicators!AE42</f>
        <v>3.2.2) 29.¿Cuál es el nivel de desarrollo de la industria transformadora a nivel nacional?</v>
      </c>
      <c r="D42" s="6" t="str">
        <f t="shared" si="3"/>
        <v>3.2.2) 29.¿Cuál es el nivel de desarrollo de la industria transformadora a nivel nacional?</v>
      </c>
      <c r="F42" s="8">
        <f>INDEX(M42:P42,uxb_works!$B$40)</f>
        <v>0</v>
      </c>
      <c r="G42" s="75"/>
      <c r="L42" s="6">
        <v>1</v>
      </c>
      <c r="M42" s="6">
        <v>0</v>
      </c>
      <c r="N42" s="6">
        <v>0</v>
      </c>
      <c r="O42" s="6">
        <v>0</v>
      </c>
      <c r="P42" s="6">
        <v>1</v>
      </c>
      <c r="T42" s="8">
        <f>INDEX(X42:AB42,uxb_works!$B$40)</f>
        <v>0</v>
      </c>
      <c r="W42" s="6">
        <v>1</v>
      </c>
      <c r="X42" s="6">
        <v>0</v>
      </c>
      <c r="Y42" s="6">
        <v>0</v>
      </c>
      <c r="Z42" s="6">
        <v>0</v>
      </c>
      <c r="AA42" s="6">
        <v>0</v>
      </c>
    </row>
    <row r="43" spans="1:27" ht="15" customHeight="1">
      <c r="A43" s="6">
        <f t="shared" si="1"/>
        <v>41</v>
      </c>
      <c r="C43" s="74" t="str">
        <f>tblIndicators!AE43</f>
        <v>3.3) Ingreso de los recicladores de base</v>
      </c>
      <c r="D43" s="6" t="str">
        <f t="shared" si="3"/>
        <v>3.3) Ingreso de los recicladores de base</v>
      </c>
      <c r="F43" s="8">
        <f>INDEX(M43:P43,uxb_works!$B$40)</f>
        <v>0</v>
      </c>
      <c r="G43" s="75"/>
      <c r="L43" s="6">
        <v>1</v>
      </c>
      <c r="M43" s="6">
        <v>1</v>
      </c>
      <c r="N43" s="6">
        <v>0</v>
      </c>
      <c r="O43" s="6">
        <v>0</v>
      </c>
      <c r="P43" s="6">
        <v>1</v>
      </c>
      <c r="T43" s="8">
        <f>INDEX(X43:AB43,uxb_works!$B$40)</f>
        <v>0</v>
      </c>
      <c r="W43" s="6">
        <v>1</v>
      </c>
      <c r="X43" s="6">
        <v>0</v>
      </c>
      <c r="Y43" s="6">
        <v>0</v>
      </c>
      <c r="Z43" s="6">
        <v>0</v>
      </c>
      <c r="AA43" s="6">
        <v>1</v>
      </c>
    </row>
    <row r="44" spans="1:27" ht="15" customHeight="1">
      <c r="A44" s="6">
        <f t="shared" si="1"/>
        <v>42</v>
      </c>
      <c r="C44" s="74" t="str">
        <f>tblIndicators!AE44</f>
        <v>3.3.1) 30.¿Se permite la contratación con agrupaciones de recicladores de base en el sistema de gestión de residuos del municipio?</v>
      </c>
      <c r="D44" s="6" t="str">
        <f t="shared" si="3"/>
        <v>3.3.1) 30.¿Se permite la contratación con agrupaciones de recicladores de base en el sistema de gestión de residuos del municipio?</v>
      </c>
      <c r="F44" s="8">
        <f>INDEX(M44:P44,uxb_works!$B$40)</f>
        <v>0</v>
      </c>
      <c r="G44" s="75"/>
      <c r="L44" s="6">
        <v>1</v>
      </c>
      <c r="M44" s="6">
        <v>0</v>
      </c>
      <c r="N44" s="6">
        <v>0</v>
      </c>
      <c r="O44" s="6">
        <v>0</v>
      </c>
      <c r="P44" s="6">
        <v>1</v>
      </c>
      <c r="T44" s="8">
        <f>INDEX(X44:AB44,uxb_works!$B$40)</f>
        <v>0</v>
      </c>
      <c r="W44" s="6">
        <v>1</v>
      </c>
      <c r="X44" s="6">
        <v>0</v>
      </c>
      <c r="Y44" s="6">
        <v>0</v>
      </c>
      <c r="Z44" s="6">
        <v>0</v>
      </c>
      <c r="AA44" s="6">
        <v>0</v>
      </c>
    </row>
    <row r="45" spans="1:27" ht="15" customHeight="1">
      <c r="A45" s="6">
        <f t="shared" si="1"/>
        <v>43</v>
      </c>
      <c r="C45" s="74" t="str">
        <f>tblIndicators!AE45</f>
        <v>3.3.2) 31.¿Existen mecanismos de pago periódico fijo para los recicladores de base por servicios prestados?</v>
      </c>
      <c r="D45" s="6" t="str">
        <f t="shared" si="3"/>
        <v>3.3.2) 31.¿Existen mecanismos de pago periódico fijo para los recicladores de base por servicios prestados?</v>
      </c>
      <c r="F45" s="8">
        <f>INDEX(M45:P45,uxb_works!$B$40)</f>
        <v>0</v>
      </c>
      <c r="G45" s="75"/>
      <c r="L45" s="6">
        <v>1</v>
      </c>
      <c r="M45" s="6">
        <v>0</v>
      </c>
      <c r="N45" s="6">
        <v>0</v>
      </c>
      <c r="O45" s="6">
        <v>0</v>
      </c>
      <c r="P45" s="6">
        <v>1</v>
      </c>
      <c r="T45" s="8">
        <f>INDEX(X45:AB45,uxb_works!$B$40)</f>
        <v>0</v>
      </c>
      <c r="W45" s="6">
        <v>1</v>
      </c>
      <c r="X45" s="6">
        <v>0</v>
      </c>
      <c r="Y45" s="6">
        <v>0</v>
      </c>
      <c r="Z45" s="6">
        <v>0</v>
      </c>
      <c r="AA45" s="6">
        <v>0</v>
      </c>
    </row>
    <row r="46" spans="1:27" ht="15" customHeight="1">
      <c r="A46" s="6">
        <f t="shared" si="1"/>
        <v>44</v>
      </c>
      <c r="C46" s="74" t="str">
        <f>tblIndicators!AE46</f>
        <v>3.3.3) 32.¿Existen programas de diversificación de los servicios prestados por recicladores?</v>
      </c>
      <c r="D46" s="6" t="str">
        <f t="shared" si="3"/>
        <v>3.3.3) 32.¿Existen programas de diversificación de los servicios prestados por recicladores?</v>
      </c>
      <c r="F46" s="8">
        <f>INDEX(M46:P46,uxb_works!$B$40)</f>
        <v>0</v>
      </c>
      <c r="G46" s="75"/>
      <c r="L46" s="6">
        <v>1</v>
      </c>
      <c r="M46" s="6">
        <v>0</v>
      </c>
      <c r="N46" s="6">
        <v>0</v>
      </c>
      <c r="O46" s="6">
        <v>0</v>
      </c>
      <c r="P46" s="6">
        <v>1</v>
      </c>
      <c r="T46" s="8">
        <f>INDEX(X46:AB46,uxb_works!$B$40)</f>
        <v>0</v>
      </c>
      <c r="W46" s="6">
        <v>1</v>
      </c>
      <c r="X46" s="6">
        <v>0</v>
      </c>
      <c r="Y46" s="6">
        <v>0</v>
      </c>
      <c r="Z46" s="6">
        <v>0</v>
      </c>
      <c r="AA46" s="6">
        <v>0</v>
      </c>
    </row>
    <row r="47" spans="1:27" ht="15" customHeight="1">
      <c r="A47" s="6">
        <f t="shared" si="1"/>
        <v>45</v>
      </c>
      <c r="C47" s="74" t="str">
        <f>tblIndicators!AE47</f>
        <v>3.3.4) 33. Ingreso promedio de los recicladores con respecto al salario mínimo nacional</v>
      </c>
      <c r="D47" s="6" t="str">
        <f t="shared" si="3"/>
        <v>3.3.4) 33. Ingreso promedio de los recicladores con respecto al salario mínimo nacional</v>
      </c>
      <c r="F47" s="8">
        <f>INDEX(M47:P47,uxb_works!$B$40)</f>
        <v>0</v>
      </c>
      <c r="G47" s="75"/>
      <c r="L47" s="6">
        <v>1</v>
      </c>
      <c r="M47" s="6">
        <v>0</v>
      </c>
      <c r="N47" s="6">
        <v>0</v>
      </c>
      <c r="O47" s="6">
        <v>0</v>
      </c>
      <c r="P47" s="6">
        <v>1</v>
      </c>
      <c r="T47" s="8">
        <f>INDEX(X47:AB47,uxb_works!$B$40)</f>
        <v>0</v>
      </c>
      <c r="W47" s="6">
        <v>1</v>
      </c>
      <c r="X47" s="6">
        <v>0</v>
      </c>
      <c r="Y47" s="6">
        <v>0</v>
      </c>
      <c r="Z47" s="6">
        <v>0</v>
      </c>
      <c r="AA47" s="6">
        <v>0</v>
      </c>
    </row>
    <row r="48" spans="1:27" ht="15" customHeight="1">
      <c r="A48" s="6">
        <f t="shared" si="1"/>
        <v>46</v>
      </c>
      <c r="C48" s="74" t="str">
        <f>tblIndicators!AE48</f>
        <v>3.4) Condiciones de trabajo de los recicladores de base</v>
      </c>
      <c r="D48" s="6" t="str">
        <f t="shared" si="3"/>
        <v>3.4) Condiciones de trabajo de los recicladores de base</v>
      </c>
      <c r="F48" s="8">
        <f>INDEX(M48:P48,uxb_works!$B$40)</f>
        <v>0</v>
      </c>
      <c r="G48" s="75"/>
      <c r="L48" s="6">
        <v>1</v>
      </c>
      <c r="M48" s="6">
        <v>1</v>
      </c>
      <c r="N48" s="6">
        <v>0</v>
      </c>
      <c r="O48" s="6">
        <v>0</v>
      </c>
      <c r="P48" s="6">
        <v>1</v>
      </c>
      <c r="T48" s="8">
        <f>INDEX(X48:AB48,uxb_works!$B$40)</f>
        <v>0</v>
      </c>
      <c r="W48" s="6">
        <v>1</v>
      </c>
      <c r="X48" s="6">
        <v>0</v>
      </c>
      <c r="Y48" s="6">
        <v>0</v>
      </c>
      <c r="Z48" s="6">
        <v>0</v>
      </c>
      <c r="AA48" s="6">
        <v>1</v>
      </c>
    </row>
    <row r="49" spans="1:27" ht="15" customHeight="1">
      <c r="A49" s="6">
        <f t="shared" si="1"/>
        <v>47</v>
      </c>
      <c r="C49" s="74" t="str">
        <f>tblIndicators!AE49</f>
        <v>3.4.1) 34.¿Existe trabajo infantil en la cadena de manejo de residuos?</v>
      </c>
      <c r="D49" s="6" t="str">
        <f t="shared" si="3"/>
        <v>3.4.1) 34.¿Existe trabajo infantil en la cadena de manejo de residuos?</v>
      </c>
      <c r="F49" s="8">
        <f>INDEX(M49:P49,uxb_works!$B$40)</f>
        <v>0</v>
      </c>
      <c r="G49" s="75"/>
      <c r="L49" s="6">
        <v>1</v>
      </c>
      <c r="M49" s="6">
        <v>0</v>
      </c>
      <c r="N49" s="6">
        <v>0</v>
      </c>
      <c r="O49" s="6">
        <v>0</v>
      </c>
      <c r="P49" s="6">
        <v>1</v>
      </c>
      <c r="T49" s="8">
        <f>INDEX(X49:AB49,uxb_works!$B$40)</f>
        <v>0</v>
      </c>
      <c r="W49" s="6">
        <v>1</v>
      </c>
      <c r="X49" s="6">
        <v>0</v>
      </c>
      <c r="Y49" s="6">
        <v>0</v>
      </c>
      <c r="Z49" s="6">
        <v>0</v>
      </c>
      <c r="AA49" s="6">
        <v>0</v>
      </c>
    </row>
    <row r="50" spans="1:27" ht="15" customHeight="1">
      <c r="A50" s="6">
        <f t="shared" si="1"/>
        <v>48</v>
      </c>
      <c r="C50" s="74" t="str">
        <f>tblIndicators!AE50</f>
        <v>3.4.2) 35.¿Cuál es el nivel de enfoque de género en las condiciones de trabajo?</v>
      </c>
      <c r="D50" s="6" t="str">
        <f t="shared" si="3"/>
        <v>3.4.2) 35.¿Cuál es el nivel de enfoque de género en las condiciones de trabajo?</v>
      </c>
      <c r="F50" s="8">
        <f>INDEX(M50:P50,uxb_works!$B$40)</f>
        <v>0</v>
      </c>
      <c r="G50" s="75"/>
      <c r="L50" s="6">
        <v>1</v>
      </c>
      <c r="M50" s="6">
        <v>0</v>
      </c>
      <c r="N50" s="6">
        <v>0</v>
      </c>
      <c r="O50" s="6">
        <v>0</v>
      </c>
      <c r="P50" s="6">
        <v>1</v>
      </c>
      <c r="T50" s="8">
        <f>INDEX(X50:AB50,uxb_works!$B$40)</f>
        <v>0</v>
      </c>
      <c r="W50" s="6">
        <v>1</v>
      </c>
      <c r="X50" s="6">
        <v>0</v>
      </c>
      <c r="Y50" s="6">
        <v>0</v>
      </c>
      <c r="Z50" s="6">
        <v>0</v>
      </c>
      <c r="AA50" s="6">
        <v>0</v>
      </c>
    </row>
    <row r="51" spans="1:27" ht="15" customHeight="1">
      <c r="A51" s="6">
        <f t="shared" si="1"/>
        <v>49</v>
      </c>
      <c r="C51" s="74" t="str">
        <f>tblIndicators!AE51</f>
        <v>3.4.3) 36.¿Hay planes inclusivos de cierre de vertederos a cielo abierto?</v>
      </c>
      <c r="D51" s="6" t="str">
        <f t="shared" si="3"/>
        <v>3.4.3) 36.¿Hay planes inclusivos de cierre de vertederos a cielo abierto?</v>
      </c>
      <c r="F51" s="8">
        <f>INDEX(M51:P51,uxb_works!$B$40)</f>
        <v>0</v>
      </c>
      <c r="G51" s="75"/>
      <c r="L51" s="6">
        <v>1</v>
      </c>
      <c r="M51" s="6">
        <v>0</v>
      </c>
      <c r="N51" s="6">
        <v>0</v>
      </c>
      <c r="O51" s="6">
        <v>0</v>
      </c>
      <c r="P51" s="6">
        <v>1</v>
      </c>
      <c r="T51" s="8">
        <f>INDEX(X51:AB51,uxb_works!$B$40)</f>
        <v>0</v>
      </c>
      <c r="W51" s="6">
        <v>1</v>
      </c>
      <c r="X51" s="6">
        <v>0</v>
      </c>
      <c r="Y51" s="6">
        <v>0</v>
      </c>
      <c r="Z51" s="6">
        <v>0</v>
      </c>
      <c r="AA51" s="6">
        <v>0</v>
      </c>
    </row>
    <row r="52" spans="1:27" ht="15" customHeight="1">
      <c r="A52" s="6">
        <f t="shared" si="1"/>
        <v>50</v>
      </c>
      <c r="C52" s="74" t="str">
        <f>tblIndicators!AE52</f>
        <v>3.4.4) 37.¿Los recicladores tienen acceso a herramientas de trabajo adecuadas?</v>
      </c>
      <c r="D52" s="6" t="str">
        <f t="shared" si="3"/>
        <v>3.4.4) 37.¿Los recicladores tienen acceso a herramientas de trabajo adecuadas?</v>
      </c>
      <c r="F52" s="8">
        <f>INDEX(M52:P52,uxb_works!$B$40)</f>
        <v>0</v>
      </c>
      <c r="G52" s="75"/>
      <c r="L52" s="6">
        <v>1</v>
      </c>
      <c r="M52" s="6">
        <v>0</v>
      </c>
      <c r="N52" s="6">
        <v>0</v>
      </c>
      <c r="O52" s="6">
        <v>0</v>
      </c>
      <c r="P52" s="6">
        <v>1</v>
      </c>
      <c r="T52" s="8">
        <f>INDEX(X52:AB52,uxb_works!$B$40)</f>
        <v>0</v>
      </c>
      <c r="W52" s="6">
        <v>1</v>
      </c>
      <c r="X52" s="6">
        <v>0</v>
      </c>
      <c r="Y52" s="6">
        <v>0</v>
      </c>
      <c r="Z52" s="6">
        <v>0</v>
      </c>
      <c r="AA52" s="6">
        <v>0</v>
      </c>
    </row>
  </sheetData>
  <pageMargins left="0.55118110236220474" right="0.55118110236220474" top="0.59055118110236227" bottom="0.78740157480314965" header="0.51181102362204722" footer="0.51181102362204722"/>
  <pageSetup paperSize="9" scale="41" orientation="landscape" r:id="rId1"/>
  <headerFooter alignWithMargins="0">
    <oddHeader>&amp;RResultados del Modelo de Reciclaje Inclusivo</oddHeader>
  </headerFooter>
</worksheet>
</file>

<file path=xl/worksheets/sheet8.xml><?xml version="1.0" encoding="utf-8"?>
<worksheet xmlns="http://schemas.openxmlformats.org/spreadsheetml/2006/main" xmlns:r="http://schemas.openxmlformats.org/officeDocument/2006/relationships">
  <sheetPr codeName="Sheet6">
    <tabColor rgb="FFFFC000"/>
    <pageSetUpPr fitToPage="1"/>
  </sheetPr>
  <dimension ref="A1:BO46"/>
  <sheetViews>
    <sheetView showRowColHeaders="0" zoomScale="80" zoomScaleNormal="80" workbookViewId="0">
      <pane xSplit="3" ySplit="2" topLeftCell="D3" activePane="bottomRight" state="frozen"/>
      <selection activeCell="Z8" sqref="Z8"/>
      <selection pane="topRight" activeCell="Z8" sqref="Z8"/>
      <selection pane="bottomLeft" activeCell="Z8" sqref="Z8"/>
      <selection pane="bottomRight" activeCell="C3" sqref="C3:C14"/>
    </sheetView>
  </sheetViews>
  <sheetFormatPr defaultRowHeight="11.25"/>
  <cols>
    <col min="1" max="2" width="9.140625" style="6"/>
    <col min="3" max="3" width="17.28515625" style="6" bestFit="1" customWidth="1"/>
    <col min="4" max="4" width="8.5703125" style="6" customWidth="1"/>
    <col min="5" max="5" width="12.7109375" style="6" bestFit="1" customWidth="1"/>
    <col min="6" max="6" width="5.85546875" style="6" bestFit="1" customWidth="1"/>
    <col min="7" max="7" width="11" style="6" customWidth="1"/>
    <col min="8" max="8" width="2.5703125" style="23" customWidth="1"/>
    <col min="9" max="9" width="8.7109375" style="6" customWidth="1"/>
    <col min="10" max="10" width="9.85546875" style="14" customWidth="1"/>
    <col min="11" max="11" width="12.85546875" style="6" customWidth="1"/>
    <col min="12" max="12" width="2.5703125" style="6" customWidth="1"/>
    <col min="13" max="13" width="2.5703125" style="22" customWidth="1"/>
    <col min="14" max="18" width="2.5703125" style="6" customWidth="1"/>
    <col min="19" max="19" width="20.85546875" style="6" bestFit="1" customWidth="1"/>
    <col min="20" max="20" width="2.5703125" style="6" customWidth="1"/>
    <col min="21" max="21" width="9.140625" style="6"/>
    <col min="22" max="22" width="6.28515625" style="6" customWidth="1"/>
    <col min="23" max="23" width="19.5703125" style="6" bestFit="1" customWidth="1"/>
    <col min="24" max="27" width="6.28515625" style="6" customWidth="1"/>
    <col min="28" max="29" width="6.28515625" style="98" customWidth="1"/>
    <col min="30" max="31" width="6.28515625" style="6" customWidth="1"/>
    <col min="32" max="33" width="6.28515625" style="98" customWidth="1"/>
    <col min="34" max="38" width="9.140625" style="6"/>
    <col min="39" max="39" width="16.42578125" style="6" bestFit="1" customWidth="1"/>
    <col min="40" max="16384" width="9.140625" style="6"/>
  </cols>
  <sheetData>
    <row r="1" spans="1:67">
      <c r="A1" s="4" t="s">
        <v>57</v>
      </c>
      <c r="B1" s="4" t="s">
        <v>2342</v>
      </c>
      <c r="C1" s="4" t="s">
        <v>56</v>
      </c>
      <c r="D1" s="7" t="s">
        <v>222</v>
      </c>
      <c r="E1" s="6" t="s">
        <v>223</v>
      </c>
      <c r="F1" s="6" t="s">
        <v>39</v>
      </c>
      <c r="G1" s="4" t="s">
        <v>2361</v>
      </c>
      <c r="K1" s="24"/>
      <c r="L1" s="123" t="s">
        <v>15</v>
      </c>
      <c r="M1" s="124" t="s">
        <v>141</v>
      </c>
      <c r="N1" s="24"/>
      <c r="P1" s="6" t="s">
        <v>73</v>
      </c>
      <c r="U1" s="6">
        <v>1</v>
      </c>
      <c r="V1" s="6">
        <v>2</v>
      </c>
      <c r="W1" s="6">
        <v>3</v>
      </c>
      <c r="X1" s="6">
        <v>4</v>
      </c>
      <c r="Y1" s="6">
        <v>5</v>
      </c>
      <c r="Z1" s="6">
        <v>6</v>
      </c>
      <c r="AA1" s="6">
        <v>7</v>
      </c>
      <c r="AB1" s="98">
        <v>8</v>
      </c>
      <c r="AC1" s="98">
        <v>9</v>
      </c>
      <c r="AD1" s="6">
        <v>10</v>
      </c>
      <c r="AE1" s="6">
        <v>11</v>
      </c>
      <c r="AF1" s="98">
        <v>12</v>
      </c>
      <c r="AG1" s="98">
        <v>13</v>
      </c>
      <c r="AI1" s="6" t="s">
        <v>235</v>
      </c>
      <c r="AJ1" s="6" t="s">
        <v>236</v>
      </c>
      <c r="AN1" s="6" t="s">
        <v>218</v>
      </c>
      <c r="AO1" s="6" t="s">
        <v>184</v>
      </c>
      <c r="AP1" s="6" t="s">
        <v>219</v>
      </c>
      <c r="AQ1" s="6" t="s">
        <v>220</v>
      </c>
      <c r="AS1" s="6" t="s">
        <v>221</v>
      </c>
      <c r="AT1" s="6">
        <f>AA2</f>
        <v>0</v>
      </c>
      <c r="AU1" s="6">
        <f>AB2</f>
        <v>0</v>
      </c>
      <c r="AV1" s="6">
        <f>AC2</f>
        <v>0</v>
      </c>
      <c r="AW1" s="6">
        <f>AD2</f>
        <v>0</v>
      </c>
      <c r="AX1" s="6">
        <f>AD2</f>
        <v>0</v>
      </c>
      <c r="AY1" s="6">
        <f>AE2</f>
        <v>0</v>
      </c>
      <c r="AZ1" s="6">
        <f>AF2</f>
        <v>0</v>
      </c>
      <c r="BA1" s="6">
        <f>AG2</f>
        <v>0</v>
      </c>
      <c r="BB1" s="6" t="str">
        <f>W2</f>
        <v>Alto ingreso</v>
      </c>
      <c r="BC1" s="6" t="str">
        <f>X2</f>
        <v>Medio ingreso</v>
      </c>
      <c r="BD1" s="6" t="str">
        <f>Z2</f>
        <v>Bajo ingreso</v>
      </c>
    </row>
    <row r="2" spans="1:67" ht="12.75">
      <c r="A2" s="6">
        <f>uxb_works!B6-1</f>
        <v>0</v>
      </c>
      <c r="B2" s="6">
        <f>uxb_works!C1</f>
        <v>0</v>
      </c>
      <c r="C2" s="6" t="str">
        <f>lang!C51</f>
        <v>&lt;ninguno&gt;</v>
      </c>
      <c r="D2" s="8">
        <f>uxb_works!$B$8</f>
        <v>1</v>
      </c>
      <c r="E2" s="8">
        <f>uxb_works!$B$8</f>
        <v>1</v>
      </c>
      <c r="F2" s="8">
        <f>uxb_works!$B$7</f>
        <v>0</v>
      </c>
      <c r="G2" s="6">
        <f>uxb_works!D1</f>
        <v>12</v>
      </c>
      <c r="H2" s="23">
        <f>L2</f>
        <v>1</v>
      </c>
      <c r="I2" s="6" t="str">
        <f>C2</f>
        <v>&lt;ninguno&gt;</v>
      </c>
      <c r="J2" s="66" t="str">
        <f>C2</f>
        <v>&lt;ninguno&gt;</v>
      </c>
      <c r="K2" s="125">
        <v>0</v>
      </c>
      <c r="L2" s="125">
        <v>1</v>
      </c>
      <c r="M2" s="126"/>
      <c r="N2" s="24"/>
      <c r="O2" s="8"/>
      <c r="S2" s="6" t="s">
        <v>17</v>
      </c>
      <c r="U2" s="6" t="str">
        <f t="shared" ref="U2:Z2" si="0">INDEX(luRegionsPlusNone,U1)</f>
        <v>&lt;ninguno&gt;</v>
      </c>
      <c r="V2" s="6" t="str">
        <f t="shared" si="0"/>
        <v>Todas las regiones/Grupos</v>
      </c>
      <c r="W2" s="6" t="str">
        <f>INDEX(luRegionsPlusNone,W1)</f>
        <v>Alto ingreso</v>
      </c>
      <c r="X2" s="6" t="str">
        <f t="shared" si="0"/>
        <v>Medio ingreso</v>
      </c>
      <c r="Y2" s="6" t="str">
        <f t="shared" si="0"/>
        <v>Medio-bajo ingreso</v>
      </c>
      <c r="Z2" s="6" t="str">
        <f t="shared" si="0"/>
        <v>Bajo ingreso</v>
      </c>
      <c r="AN2" s="6">
        <f>uxb_works!$B$12</f>
        <v>1</v>
      </c>
      <c r="AO2" s="6">
        <f>uxb_works!$B$10</f>
        <v>1</v>
      </c>
      <c r="BF2" s="6">
        <f>uxb_works!B9</f>
        <v>1</v>
      </c>
    </row>
    <row r="3" spans="1:67" ht="15">
      <c r="A3" s="6">
        <v>1</v>
      </c>
      <c r="B3" s="6" t="s">
        <v>2140</v>
      </c>
      <c r="C3" s="404" t="s">
        <v>334</v>
      </c>
      <c r="D3" s="6">
        <f t="shared" ref="D3:D24" si="1">AQ3</f>
        <v>1</v>
      </c>
      <c r="E3" s="6">
        <f t="shared" ref="E3:E24" si="2">IF($E$2=1,0,INDEX(AS3:BD3,$E$2))</f>
        <v>0</v>
      </c>
      <c r="F3" s="6">
        <f>IF(A3=$F$2,3,IF(D3=0,0,IF(E3=1,2,1)))</f>
        <v>1</v>
      </c>
      <c r="G3" s="6">
        <f>IF($G$2&gt;=A3,1,0)</f>
        <v>1</v>
      </c>
      <c r="H3" s="23">
        <f>L3</f>
        <v>1</v>
      </c>
      <c r="I3" s="6" t="str">
        <f>C3</f>
        <v>Asunción</v>
      </c>
      <c r="J3" s="66" t="str">
        <f>C3</f>
        <v>Asunción</v>
      </c>
      <c r="K3" s="127">
        <f t="shared" ref="K3:K14" si="3">IF(A3=$O$3,3,IF(INDEX($U3:$AG3,$O$5)=0,0,IF(INDEX($U3:$AG3,$O$4)=1,2,1)))</f>
        <v>0</v>
      </c>
      <c r="L3" s="128">
        <v>1</v>
      </c>
      <c r="M3" s="75"/>
      <c r="N3" s="24" t="s">
        <v>131</v>
      </c>
      <c r="O3" s="8">
        <f>uxb_works!B7</f>
        <v>0</v>
      </c>
      <c r="P3" s="6">
        <f t="shared" ref="P3:P14" si="4">MATCH(1,X3:AG3,0)</f>
        <v>3</v>
      </c>
      <c r="R3" s="6">
        <v>1</v>
      </c>
      <c r="S3" s="6" t="str">
        <f>lang!C51</f>
        <v>&lt;ninguno&gt;</v>
      </c>
      <c r="U3" s="6">
        <v>0</v>
      </c>
      <c r="V3" s="6">
        <v>1</v>
      </c>
      <c r="W3" s="159">
        <v>0</v>
      </c>
      <c r="X3" s="159">
        <v>0</v>
      </c>
      <c r="Y3" s="159">
        <v>0</v>
      </c>
      <c r="Z3" s="159">
        <v>1</v>
      </c>
      <c r="AA3" s="98">
        <v>1</v>
      </c>
      <c r="AB3" s="98">
        <v>0</v>
      </c>
      <c r="AC3" s="98">
        <v>0</v>
      </c>
      <c r="AD3" s="203">
        <v>0</v>
      </c>
      <c r="AE3" s="203">
        <v>0</v>
      </c>
      <c r="AF3" s="203">
        <v>0</v>
      </c>
      <c r="AG3" s="203">
        <v>0</v>
      </c>
      <c r="AI3" s="28">
        <f t="shared" ref="AI3:AI14" si="5">MATCH(1,AA3:AG3,0)</f>
        <v>1</v>
      </c>
      <c r="AJ3" s="6">
        <f>MATCH(1,W3:Z3,0)</f>
        <v>4</v>
      </c>
      <c r="AK3" s="6" t="str">
        <f>S3</f>
        <v>&lt;ninguno&gt;</v>
      </c>
      <c r="AL3" s="6" t="str">
        <f>AK3</f>
        <v>&lt;ninguno&gt;</v>
      </c>
      <c r="AM3" s="6" t="str">
        <f>S4</f>
        <v>Todas las regiones/Grupos</v>
      </c>
      <c r="AN3" s="6">
        <f t="shared" ref="AN3:AN14" si="6">INDEX(V3:Z3,$AN$2)</f>
        <v>1</v>
      </c>
      <c r="AO3" s="6">
        <f t="shared" ref="AO3:AO14" si="7">INDEX(AS3:BD3,$AO$2)</f>
        <v>1</v>
      </c>
      <c r="AP3" s="6">
        <f>IF(AND(AN3=1,AO3=1),1,0)</f>
        <v>1</v>
      </c>
      <c r="AQ3" s="6">
        <f>IF(AND($AN$2=1,$AO$2&lt;&gt;1),AO3,IF(AND($AN$2&lt;&gt;1,$AO$2=1),AN3,IF(AND($AN$2&lt;&gt;1,$AO$2&lt;&gt;1),AP3,1)))</f>
        <v>1</v>
      </c>
      <c r="AS3" s="6">
        <v>1</v>
      </c>
      <c r="AT3" s="6">
        <f>W3</f>
        <v>0</v>
      </c>
      <c r="AU3" s="6">
        <f>X3</f>
        <v>0</v>
      </c>
      <c r="AV3" s="6">
        <f t="shared" ref="AV3:AW14" si="8">Y3</f>
        <v>0</v>
      </c>
      <c r="AW3" s="6">
        <f t="shared" si="8"/>
        <v>1</v>
      </c>
      <c r="BF3" s="6">
        <f t="shared" ref="BF3:BF14" si="9">INDEX(AT3:BD3,$BF$2)</f>
        <v>0</v>
      </c>
      <c r="BH3" s="6" t="s">
        <v>254</v>
      </c>
      <c r="BN3" s="6" t="str">
        <f t="shared" ref="BN3:BN14" si="10">"circle_"&amp;B3</f>
        <v>circle_ASUN</v>
      </c>
      <c r="BO3" s="6" t="str">
        <f>IF(A3=$A$2,BN3,"")</f>
        <v/>
      </c>
    </row>
    <row r="4" spans="1:67" ht="15">
      <c r="A4" s="6">
        <v>2</v>
      </c>
      <c r="B4" s="6" t="s">
        <v>2141</v>
      </c>
      <c r="C4" s="404" t="s">
        <v>335</v>
      </c>
      <c r="D4" s="6">
        <f t="shared" si="1"/>
        <v>1</v>
      </c>
      <c r="E4" s="6">
        <f t="shared" si="2"/>
        <v>0</v>
      </c>
      <c r="F4" s="6">
        <f t="shared" ref="F4:F24" si="11">IF(A4=$F$2,3,IF(D4=0,0,IF(E4=1,2,1)))</f>
        <v>1</v>
      </c>
      <c r="G4" s="6">
        <f t="shared" ref="G4:G24" si="12">IF($G$2&gt;=A4,1,0)</f>
        <v>1</v>
      </c>
      <c r="H4" s="23">
        <f t="shared" ref="H4:H14" si="13">L4</f>
        <v>1</v>
      </c>
      <c r="I4" s="6" t="str">
        <f t="shared" ref="I4:I14" si="14">C4</f>
        <v>Bogotá</v>
      </c>
      <c r="J4" s="66" t="str">
        <f t="shared" ref="J4:J14" si="15">C4</f>
        <v>Bogotá</v>
      </c>
      <c r="K4" s="127">
        <f t="shared" si="3"/>
        <v>0</v>
      </c>
      <c r="L4" s="128">
        <v>1</v>
      </c>
      <c r="M4" s="75"/>
      <c r="N4" s="24" t="s">
        <v>18</v>
      </c>
      <c r="O4" s="8">
        <f>IF(uxb_works!B9=2,1,uxb_works!B9)</f>
        <v>1</v>
      </c>
      <c r="P4" s="24">
        <f t="shared" si="4"/>
        <v>1</v>
      </c>
      <c r="Q4" s="24"/>
      <c r="S4" t="str">
        <f>lang!C84</f>
        <v>Todas las regiones/Grupos</v>
      </c>
      <c r="T4" s="24"/>
      <c r="U4" s="24">
        <v>0</v>
      </c>
      <c r="V4" s="6">
        <v>1</v>
      </c>
      <c r="W4" s="159">
        <v>0</v>
      </c>
      <c r="X4" s="159">
        <v>1</v>
      </c>
      <c r="Y4" s="159">
        <v>0</v>
      </c>
      <c r="Z4" s="159">
        <v>0</v>
      </c>
      <c r="AA4" s="98">
        <v>0</v>
      </c>
      <c r="AB4" s="98">
        <v>1</v>
      </c>
      <c r="AC4" s="98">
        <v>0</v>
      </c>
      <c r="AD4" s="203">
        <v>0</v>
      </c>
      <c r="AE4" s="203">
        <v>0</v>
      </c>
      <c r="AF4" s="203">
        <v>0</v>
      </c>
      <c r="AG4" s="203">
        <v>0</v>
      </c>
      <c r="AI4" s="28">
        <f t="shared" si="5"/>
        <v>2</v>
      </c>
      <c r="AJ4" s="6">
        <f t="shared" ref="AJ4:AJ14" si="16">MATCH(1,W4:Z4,0)</f>
        <v>2</v>
      </c>
      <c r="AK4" s="145" t="str">
        <f>S5</f>
        <v>Alto ingreso</v>
      </c>
      <c r="AL4" s="6" t="str">
        <f t="shared" ref="AL4:AM7" si="17">AK4</f>
        <v>Alto ingreso</v>
      </c>
      <c r="AM4" s="6" t="str">
        <f t="shared" si="17"/>
        <v>Alto ingreso</v>
      </c>
      <c r="AN4" s="6">
        <f t="shared" si="6"/>
        <v>1</v>
      </c>
      <c r="AO4" s="6">
        <f t="shared" si="7"/>
        <v>1</v>
      </c>
      <c r="AP4" s="6">
        <f t="shared" ref="AP4:AP14" si="18">IF(AND(AN4=1,AO4=1),1,0)</f>
        <v>1</v>
      </c>
      <c r="AQ4" s="6">
        <f t="shared" ref="AQ4:AQ14" si="19">IF(AND($AN$2=1,$AO$2&lt;&gt;1),AO4,IF(AND($AN$2&lt;&gt;1,$AO$2=1),AN4,IF(AND($AN$2&lt;&gt;1,$AO$2&lt;&gt;1),AP4,1)))</f>
        <v>1</v>
      </c>
      <c r="AS4" s="6">
        <v>1</v>
      </c>
      <c r="AT4" s="6">
        <f t="shared" ref="AT4:AT14" si="20">W4</f>
        <v>0</v>
      </c>
      <c r="AU4" s="6">
        <f t="shared" ref="AU4:AU14" si="21">X4</f>
        <v>1</v>
      </c>
      <c r="AV4" s="6">
        <f t="shared" si="8"/>
        <v>0</v>
      </c>
      <c r="AW4" s="6">
        <f t="shared" si="8"/>
        <v>0</v>
      </c>
      <c r="BF4" s="6">
        <f t="shared" si="9"/>
        <v>0</v>
      </c>
      <c r="BH4" s="6" t="str">
        <f>AL4</f>
        <v>Alto ingreso</v>
      </c>
      <c r="BN4" s="6" t="str">
        <f t="shared" si="10"/>
        <v>circle_BOGA</v>
      </c>
      <c r="BO4" s="6" t="str">
        <f t="shared" ref="BO4:BO14" si="22">IF(A4=$A$2,BN4,"")</f>
        <v/>
      </c>
    </row>
    <row r="5" spans="1:67" ht="15">
      <c r="A5" s="6">
        <v>3</v>
      </c>
      <c r="B5" s="6" t="s">
        <v>2121</v>
      </c>
      <c r="C5" s="404" t="s">
        <v>332</v>
      </c>
      <c r="D5" s="6">
        <f t="shared" si="1"/>
        <v>1</v>
      </c>
      <c r="E5" s="6">
        <f t="shared" si="2"/>
        <v>0</v>
      </c>
      <c r="F5" s="6">
        <f t="shared" si="11"/>
        <v>1</v>
      </c>
      <c r="G5" s="6">
        <f t="shared" si="12"/>
        <v>1</v>
      </c>
      <c r="H5" s="23">
        <f t="shared" si="13"/>
        <v>1</v>
      </c>
      <c r="I5" s="6" t="str">
        <f t="shared" si="14"/>
        <v>Buenos Aires</v>
      </c>
      <c r="J5" s="66" t="str">
        <f t="shared" si="15"/>
        <v>Buenos Aires</v>
      </c>
      <c r="K5" s="127">
        <f t="shared" si="3"/>
        <v>0</v>
      </c>
      <c r="L5" s="128">
        <v>1</v>
      </c>
      <c r="M5" s="75"/>
      <c r="N5" s="24" t="s">
        <v>19</v>
      </c>
      <c r="O5" s="8">
        <f>uxb_works!B10</f>
        <v>1</v>
      </c>
      <c r="P5" s="24">
        <f t="shared" si="4"/>
        <v>5</v>
      </c>
      <c r="Q5" s="24"/>
      <c r="R5" s="24">
        <v>2</v>
      </c>
      <c r="S5" t="str">
        <f>lang!C85</f>
        <v>Alto ingreso</v>
      </c>
      <c r="T5" s="75"/>
      <c r="U5" s="24">
        <v>0</v>
      </c>
      <c r="V5" s="6">
        <v>1</v>
      </c>
      <c r="W5" s="159">
        <v>1</v>
      </c>
      <c r="X5" s="159">
        <v>0</v>
      </c>
      <c r="Y5" s="159">
        <v>0</v>
      </c>
      <c r="Z5" s="159">
        <v>0</v>
      </c>
      <c r="AA5" s="98">
        <v>0</v>
      </c>
      <c r="AB5" s="98">
        <v>1</v>
      </c>
      <c r="AC5" s="98">
        <v>0</v>
      </c>
      <c r="AD5" s="203">
        <v>0</v>
      </c>
      <c r="AE5" s="203">
        <v>0</v>
      </c>
      <c r="AF5" s="203">
        <v>0</v>
      </c>
      <c r="AG5" s="203">
        <v>0</v>
      </c>
      <c r="AI5" s="28">
        <f t="shared" si="5"/>
        <v>2</v>
      </c>
      <c r="AJ5" s="6">
        <f t="shared" si="16"/>
        <v>1</v>
      </c>
      <c r="AK5" s="145" t="str">
        <f>S6</f>
        <v>Medio ingreso</v>
      </c>
      <c r="AL5" s="6" t="str">
        <f t="shared" si="17"/>
        <v>Medio ingreso</v>
      </c>
      <c r="AM5" s="6" t="str">
        <f t="shared" si="17"/>
        <v>Medio ingreso</v>
      </c>
      <c r="AN5" s="6">
        <f t="shared" si="6"/>
        <v>1</v>
      </c>
      <c r="AO5" s="6">
        <f t="shared" si="7"/>
        <v>1</v>
      </c>
      <c r="AP5" s="6">
        <f t="shared" si="18"/>
        <v>1</v>
      </c>
      <c r="AQ5" s="6">
        <f t="shared" si="19"/>
        <v>1</v>
      </c>
      <c r="AS5" s="6">
        <v>1</v>
      </c>
      <c r="AT5" s="6">
        <f t="shared" si="20"/>
        <v>1</v>
      </c>
      <c r="AU5" s="6">
        <f t="shared" si="21"/>
        <v>0</v>
      </c>
      <c r="AV5" s="6">
        <f t="shared" si="8"/>
        <v>0</v>
      </c>
      <c r="AW5" s="6">
        <f t="shared" si="8"/>
        <v>0</v>
      </c>
      <c r="BF5" s="6">
        <f t="shared" si="9"/>
        <v>1</v>
      </c>
      <c r="BH5" s="6" t="str">
        <f>AL5</f>
        <v>Medio ingreso</v>
      </c>
      <c r="BN5" s="6" t="str">
        <f t="shared" si="10"/>
        <v>circle_BSAS</v>
      </c>
      <c r="BO5" s="6" t="str">
        <f t="shared" si="22"/>
        <v/>
      </c>
    </row>
    <row r="6" spans="1:67" ht="15">
      <c r="A6" s="6">
        <v>4</v>
      </c>
      <c r="B6" s="6" t="s">
        <v>2139</v>
      </c>
      <c r="C6" s="404" t="s">
        <v>333</v>
      </c>
      <c r="D6" s="6">
        <f t="shared" si="1"/>
        <v>1</v>
      </c>
      <c r="E6" s="6">
        <f t="shared" si="2"/>
        <v>0</v>
      </c>
      <c r="F6" s="6">
        <f t="shared" si="11"/>
        <v>1</v>
      </c>
      <c r="G6" s="6">
        <f t="shared" si="12"/>
        <v>1</v>
      </c>
      <c r="H6" s="23">
        <f t="shared" si="13"/>
        <v>1</v>
      </c>
      <c r="I6" s="6" t="str">
        <f t="shared" si="14"/>
        <v>Ciudad de Belice</v>
      </c>
      <c r="J6" s="66" t="str">
        <f t="shared" si="15"/>
        <v>Ciudad de Belice</v>
      </c>
      <c r="K6" s="127">
        <f t="shared" si="3"/>
        <v>0</v>
      </c>
      <c r="L6" s="128">
        <v>1</v>
      </c>
      <c r="M6" s="75"/>
      <c r="N6" s="24"/>
      <c r="P6" s="24">
        <f t="shared" si="4"/>
        <v>3</v>
      </c>
      <c r="Q6" s="24"/>
      <c r="R6" s="24">
        <v>3</v>
      </c>
      <c r="S6" t="str">
        <f>lang!C86</f>
        <v>Medio ingreso</v>
      </c>
      <c r="T6" s="75"/>
      <c r="U6" s="24">
        <v>0</v>
      </c>
      <c r="V6" s="6">
        <v>1</v>
      </c>
      <c r="W6" s="159">
        <v>0</v>
      </c>
      <c r="X6" s="159">
        <v>0</v>
      </c>
      <c r="Y6" s="159">
        <v>0</v>
      </c>
      <c r="Z6" s="159">
        <v>1</v>
      </c>
      <c r="AA6" s="98">
        <v>0</v>
      </c>
      <c r="AB6" s="98">
        <v>0</v>
      </c>
      <c r="AC6" s="98">
        <v>1</v>
      </c>
      <c r="AD6" s="203">
        <v>0</v>
      </c>
      <c r="AE6" s="203">
        <v>0</v>
      </c>
      <c r="AF6" s="203">
        <v>0</v>
      </c>
      <c r="AG6" s="203">
        <v>0</v>
      </c>
      <c r="AI6" s="28">
        <f t="shared" si="5"/>
        <v>3</v>
      </c>
      <c r="AJ6" s="6">
        <f t="shared" si="16"/>
        <v>4</v>
      </c>
      <c r="AK6" s="145" t="str">
        <f>S7</f>
        <v>Medio-bajo ingreso</v>
      </c>
      <c r="AL6" s="6" t="str">
        <f t="shared" si="17"/>
        <v>Medio-bajo ingreso</v>
      </c>
      <c r="AM6" s="6" t="str">
        <f t="shared" si="17"/>
        <v>Medio-bajo ingreso</v>
      </c>
      <c r="AN6" s="6">
        <f t="shared" si="6"/>
        <v>1</v>
      </c>
      <c r="AO6" s="6">
        <f t="shared" si="7"/>
        <v>1</v>
      </c>
      <c r="AP6" s="6">
        <f t="shared" si="18"/>
        <v>1</v>
      </c>
      <c r="AQ6" s="6">
        <f t="shared" si="19"/>
        <v>1</v>
      </c>
      <c r="AS6" s="6">
        <v>1</v>
      </c>
      <c r="AT6" s="6">
        <f t="shared" si="20"/>
        <v>0</v>
      </c>
      <c r="AU6" s="6">
        <f t="shared" si="21"/>
        <v>0</v>
      </c>
      <c r="AV6" s="6">
        <f t="shared" si="8"/>
        <v>0</v>
      </c>
      <c r="AW6" s="6">
        <f t="shared" si="8"/>
        <v>1</v>
      </c>
      <c r="BF6" s="6">
        <f t="shared" si="9"/>
        <v>0</v>
      </c>
      <c r="BH6" s="6" t="str">
        <f>AL6</f>
        <v>Medio-bajo ingreso</v>
      </c>
      <c r="BN6" s="6" t="str">
        <f t="shared" si="10"/>
        <v>circle_CDBE</v>
      </c>
      <c r="BO6" s="6" t="str">
        <f t="shared" si="22"/>
        <v/>
      </c>
    </row>
    <row r="7" spans="1:67" ht="15">
      <c r="A7" s="6">
        <v>5</v>
      </c>
      <c r="B7" s="6" t="s">
        <v>2123</v>
      </c>
      <c r="C7" s="404" t="s">
        <v>2252</v>
      </c>
      <c r="D7" s="6">
        <f t="shared" si="1"/>
        <v>1</v>
      </c>
      <c r="E7" s="6">
        <f t="shared" si="2"/>
        <v>0</v>
      </c>
      <c r="F7" s="6">
        <f t="shared" si="11"/>
        <v>1</v>
      </c>
      <c r="G7" s="6">
        <f t="shared" si="12"/>
        <v>1</v>
      </c>
      <c r="H7" s="23">
        <f t="shared" si="13"/>
        <v>1</v>
      </c>
      <c r="I7" s="6" t="str">
        <f t="shared" si="14"/>
        <v>Ciudad de México</v>
      </c>
      <c r="J7" s="66" t="str">
        <f t="shared" si="15"/>
        <v>Ciudad de México</v>
      </c>
      <c r="K7" s="127">
        <f t="shared" si="3"/>
        <v>0</v>
      </c>
      <c r="L7" s="128">
        <v>1</v>
      </c>
      <c r="M7" s="75"/>
      <c r="N7" s="24"/>
      <c r="P7" s="24">
        <f t="shared" si="4"/>
        <v>6</v>
      </c>
      <c r="Q7" s="24"/>
      <c r="R7" s="24">
        <v>4</v>
      </c>
      <c r="S7" t="str">
        <f>lang!C87</f>
        <v>Medio-bajo ingreso</v>
      </c>
      <c r="T7" s="75"/>
      <c r="U7" s="24">
        <v>0</v>
      </c>
      <c r="V7" s="6">
        <v>1</v>
      </c>
      <c r="W7" s="159">
        <v>1</v>
      </c>
      <c r="X7" s="159">
        <v>0</v>
      </c>
      <c r="Y7" s="159">
        <v>0</v>
      </c>
      <c r="Z7" s="159">
        <v>0</v>
      </c>
      <c r="AA7" s="98">
        <v>0</v>
      </c>
      <c r="AB7" s="98">
        <v>0</v>
      </c>
      <c r="AC7" s="98">
        <v>1</v>
      </c>
      <c r="AD7" s="203">
        <v>0</v>
      </c>
      <c r="AE7" s="203">
        <v>0</v>
      </c>
      <c r="AF7" s="203">
        <v>0</v>
      </c>
      <c r="AG7" s="203">
        <v>0</v>
      </c>
      <c r="AI7" s="28">
        <f t="shared" si="5"/>
        <v>3</v>
      </c>
      <c r="AJ7" s="6">
        <f t="shared" si="16"/>
        <v>1</v>
      </c>
      <c r="AK7" s="145" t="str">
        <f>S8</f>
        <v>Bajo ingreso</v>
      </c>
      <c r="AL7" s="6" t="str">
        <f t="shared" si="17"/>
        <v>Bajo ingreso</v>
      </c>
      <c r="AM7" s="6" t="str">
        <f t="shared" si="17"/>
        <v>Bajo ingreso</v>
      </c>
      <c r="AN7" s="6">
        <f t="shared" si="6"/>
        <v>1</v>
      </c>
      <c r="AO7" s="6">
        <f t="shared" si="7"/>
        <v>1</v>
      </c>
      <c r="AP7" s="6">
        <f t="shared" si="18"/>
        <v>1</v>
      </c>
      <c r="AQ7" s="6">
        <f t="shared" si="19"/>
        <v>1</v>
      </c>
      <c r="AS7" s="6">
        <v>1</v>
      </c>
      <c r="AT7" s="6">
        <f t="shared" si="20"/>
        <v>1</v>
      </c>
      <c r="AU7" s="6">
        <f t="shared" si="21"/>
        <v>0</v>
      </c>
      <c r="AV7" s="6">
        <f t="shared" si="8"/>
        <v>0</v>
      </c>
      <c r="AW7" s="6">
        <f t="shared" si="8"/>
        <v>0</v>
      </c>
      <c r="BF7" s="6">
        <f t="shared" si="9"/>
        <v>1</v>
      </c>
      <c r="BH7" s="6" t="str">
        <f>AL7</f>
        <v>Bajo ingreso</v>
      </c>
      <c r="BN7" s="6" t="str">
        <f t="shared" si="10"/>
        <v>circle_MEXC</v>
      </c>
      <c r="BO7" s="6" t="str">
        <f t="shared" si="22"/>
        <v/>
      </c>
    </row>
    <row r="8" spans="1:67" ht="15">
      <c r="A8" s="6">
        <v>6</v>
      </c>
      <c r="B8" s="6" t="s">
        <v>2122</v>
      </c>
      <c r="C8" s="404" t="s">
        <v>336</v>
      </c>
      <c r="D8" s="6">
        <f t="shared" si="1"/>
        <v>1</v>
      </c>
      <c r="E8" s="6">
        <f t="shared" si="2"/>
        <v>0</v>
      </c>
      <c r="F8" s="6">
        <f t="shared" si="11"/>
        <v>1</v>
      </c>
      <c r="G8" s="6">
        <f t="shared" si="12"/>
        <v>1</v>
      </c>
      <c r="H8" s="23">
        <f t="shared" si="13"/>
        <v>1</v>
      </c>
      <c r="I8" s="6" t="str">
        <f t="shared" si="14"/>
        <v>Lima</v>
      </c>
      <c r="J8" s="66" t="str">
        <f t="shared" si="15"/>
        <v>Lima</v>
      </c>
      <c r="K8" s="127">
        <f t="shared" si="3"/>
        <v>0</v>
      </c>
      <c r="L8" s="128">
        <v>1</v>
      </c>
      <c r="M8" s="75"/>
      <c r="N8" s="24"/>
      <c r="P8" s="24">
        <f t="shared" si="4"/>
        <v>2</v>
      </c>
      <c r="Q8" s="24"/>
      <c r="S8" t="str">
        <f>lang!C88</f>
        <v>Bajo ingreso</v>
      </c>
      <c r="T8" s="75"/>
      <c r="U8" s="24">
        <v>0</v>
      </c>
      <c r="V8" s="6">
        <v>1</v>
      </c>
      <c r="W8" s="159">
        <v>0</v>
      </c>
      <c r="X8" s="159">
        <v>0</v>
      </c>
      <c r="Y8" s="159">
        <v>1</v>
      </c>
      <c r="Z8" s="159">
        <v>0</v>
      </c>
      <c r="AA8" s="98">
        <v>0</v>
      </c>
      <c r="AB8" s="98">
        <v>1</v>
      </c>
      <c r="AC8" s="98">
        <v>0</v>
      </c>
      <c r="AD8" s="203">
        <v>0</v>
      </c>
      <c r="AE8" s="203">
        <v>0</v>
      </c>
      <c r="AF8" s="203">
        <v>0</v>
      </c>
      <c r="AG8" s="203">
        <v>0</v>
      </c>
      <c r="AI8" s="28">
        <f t="shared" si="5"/>
        <v>2</v>
      </c>
      <c r="AJ8" s="6">
        <f t="shared" si="16"/>
        <v>3</v>
      </c>
      <c r="AK8" s="145"/>
      <c r="AN8" s="6">
        <f t="shared" si="6"/>
        <v>1</v>
      </c>
      <c r="AO8" s="6">
        <f t="shared" si="7"/>
        <v>1</v>
      </c>
      <c r="AP8" s="6">
        <f t="shared" si="18"/>
        <v>1</v>
      </c>
      <c r="AQ8" s="6">
        <f t="shared" si="19"/>
        <v>1</v>
      </c>
      <c r="AS8" s="6">
        <v>1</v>
      </c>
      <c r="AT8" s="6">
        <f t="shared" si="20"/>
        <v>0</v>
      </c>
      <c r="AU8" s="6">
        <f t="shared" si="21"/>
        <v>0</v>
      </c>
      <c r="AV8" s="6">
        <f t="shared" si="8"/>
        <v>1</v>
      </c>
      <c r="AW8" s="6">
        <f t="shared" si="8"/>
        <v>0</v>
      </c>
      <c r="BF8" s="6">
        <f t="shared" si="9"/>
        <v>0</v>
      </c>
      <c r="BN8" s="6" t="str">
        <f t="shared" si="10"/>
        <v>circle_LIMA</v>
      </c>
      <c r="BO8" s="6" t="str">
        <f t="shared" si="22"/>
        <v/>
      </c>
    </row>
    <row r="9" spans="1:67" ht="15">
      <c r="A9" s="6">
        <v>7</v>
      </c>
      <c r="B9" s="6" t="s">
        <v>2124</v>
      </c>
      <c r="C9" s="404" t="s">
        <v>337</v>
      </c>
      <c r="D9" s="6">
        <f t="shared" si="1"/>
        <v>1</v>
      </c>
      <c r="E9" s="6">
        <f t="shared" si="2"/>
        <v>0</v>
      </c>
      <c r="F9" s="6">
        <f t="shared" si="11"/>
        <v>1</v>
      </c>
      <c r="G9" s="6">
        <f t="shared" si="12"/>
        <v>1</v>
      </c>
      <c r="H9" s="23">
        <f t="shared" si="13"/>
        <v>1</v>
      </c>
      <c r="I9" s="6" t="str">
        <f t="shared" si="14"/>
        <v>Montevideo</v>
      </c>
      <c r="J9" s="66" t="str">
        <f t="shared" si="15"/>
        <v>Montevideo</v>
      </c>
      <c r="K9" s="127">
        <f t="shared" si="3"/>
        <v>0</v>
      </c>
      <c r="L9" s="128">
        <v>1</v>
      </c>
      <c r="M9" s="75"/>
      <c r="N9" s="24"/>
      <c r="P9" s="24">
        <f t="shared" si="4"/>
        <v>1</v>
      </c>
      <c r="Q9" s="24"/>
      <c r="S9"/>
      <c r="T9" s="75"/>
      <c r="U9" s="24">
        <v>0</v>
      </c>
      <c r="V9" s="6">
        <v>1</v>
      </c>
      <c r="W9" s="159">
        <v>0</v>
      </c>
      <c r="X9" s="159">
        <v>1</v>
      </c>
      <c r="Y9" s="159">
        <v>0</v>
      </c>
      <c r="Z9" s="159">
        <v>0</v>
      </c>
      <c r="AA9" s="98">
        <v>0</v>
      </c>
      <c r="AB9" s="98">
        <v>0</v>
      </c>
      <c r="AC9" s="98">
        <v>1</v>
      </c>
      <c r="AD9" s="203">
        <v>0</v>
      </c>
      <c r="AE9" s="203">
        <v>0</v>
      </c>
      <c r="AF9" s="203">
        <v>0</v>
      </c>
      <c r="AG9" s="203">
        <v>0</v>
      </c>
      <c r="AI9" s="28">
        <f t="shared" si="5"/>
        <v>3</v>
      </c>
      <c r="AJ9" s="6">
        <f t="shared" si="16"/>
        <v>2</v>
      </c>
      <c r="AN9" s="6">
        <f t="shared" si="6"/>
        <v>1</v>
      </c>
      <c r="AO9" s="6">
        <f t="shared" si="7"/>
        <v>1</v>
      </c>
      <c r="AP9" s="6">
        <f t="shared" si="18"/>
        <v>1</v>
      </c>
      <c r="AQ9" s="6">
        <f t="shared" si="19"/>
        <v>1</v>
      </c>
      <c r="AS9" s="6">
        <v>1</v>
      </c>
      <c r="AT9" s="6">
        <f t="shared" si="20"/>
        <v>0</v>
      </c>
      <c r="AU9" s="6">
        <f t="shared" si="21"/>
        <v>1</v>
      </c>
      <c r="AV9" s="6">
        <f t="shared" si="8"/>
        <v>0</v>
      </c>
      <c r="AW9" s="6">
        <f t="shared" si="8"/>
        <v>0</v>
      </c>
      <c r="BF9" s="6">
        <f t="shared" si="9"/>
        <v>0</v>
      </c>
      <c r="BN9" s="6" t="str">
        <f t="shared" si="10"/>
        <v>circle_MONT</v>
      </c>
      <c r="BO9" s="6" t="str">
        <f t="shared" si="22"/>
        <v/>
      </c>
    </row>
    <row r="10" spans="1:67" ht="15">
      <c r="A10" s="6">
        <v>8</v>
      </c>
      <c r="B10" s="6" t="s">
        <v>2125</v>
      </c>
      <c r="C10" s="404" t="s">
        <v>338</v>
      </c>
      <c r="D10" s="6">
        <f t="shared" si="1"/>
        <v>1</v>
      </c>
      <c r="E10" s="6">
        <f t="shared" si="2"/>
        <v>0</v>
      </c>
      <c r="F10" s="6">
        <f t="shared" si="11"/>
        <v>1</v>
      </c>
      <c r="G10" s="6">
        <f t="shared" si="12"/>
        <v>1</v>
      </c>
      <c r="H10" s="23">
        <f t="shared" si="13"/>
        <v>1</v>
      </c>
      <c r="I10" s="6" t="str">
        <f t="shared" si="14"/>
        <v>Quito</v>
      </c>
      <c r="J10" s="66" t="str">
        <f t="shared" si="15"/>
        <v>Quito</v>
      </c>
      <c r="K10" s="127">
        <f t="shared" si="3"/>
        <v>0</v>
      </c>
      <c r="L10" s="128">
        <v>1</v>
      </c>
      <c r="M10" s="75"/>
      <c r="N10" s="24"/>
      <c r="P10" s="24">
        <f t="shared" si="4"/>
        <v>2</v>
      </c>
      <c r="Q10" s="24"/>
      <c r="S10"/>
      <c r="T10" s="75"/>
      <c r="U10" s="24">
        <v>0</v>
      </c>
      <c r="V10" s="6">
        <v>1</v>
      </c>
      <c r="W10" s="159">
        <v>0</v>
      </c>
      <c r="X10" s="159">
        <v>0</v>
      </c>
      <c r="Y10" s="159">
        <v>1</v>
      </c>
      <c r="Z10" s="159">
        <v>0</v>
      </c>
      <c r="AA10" s="98">
        <v>0</v>
      </c>
      <c r="AB10" s="98">
        <v>0</v>
      </c>
      <c r="AC10" s="98">
        <v>1</v>
      </c>
      <c r="AD10" s="203">
        <v>0</v>
      </c>
      <c r="AE10" s="203">
        <v>0</v>
      </c>
      <c r="AF10" s="203">
        <v>0</v>
      </c>
      <c r="AG10" s="203">
        <v>0</v>
      </c>
      <c r="AI10" s="28">
        <f t="shared" si="5"/>
        <v>3</v>
      </c>
      <c r="AJ10" s="6">
        <f t="shared" si="16"/>
        <v>3</v>
      </c>
      <c r="AN10" s="6">
        <f t="shared" si="6"/>
        <v>1</v>
      </c>
      <c r="AO10" s="6">
        <f t="shared" si="7"/>
        <v>1</v>
      </c>
      <c r="AP10" s="6">
        <f t="shared" si="18"/>
        <v>1</v>
      </c>
      <c r="AQ10" s="6">
        <f t="shared" si="19"/>
        <v>1</v>
      </c>
      <c r="AS10" s="6">
        <v>1</v>
      </c>
      <c r="AT10" s="6">
        <f t="shared" si="20"/>
        <v>0</v>
      </c>
      <c r="AU10" s="6">
        <f t="shared" si="21"/>
        <v>0</v>
      </c>
      <c r="AV10" s="6">
        <f t="shared" si="8"/>
        <v>1</v>
      </c>
      <c r="AW10" s="6">
        <f t="shared" si="8"/>
        <v>0</v>
      </c>
      <c r="BF10" s="6">
        <f t="shared" si="9"/>
        <v>0</v>
      </c>
      <c r="BN10" s="6" t="str">
        <f t="shared" si="10"/>
        <v>circle_QUIT</v>
      </c>
      <c r="BO10" s="6" t="str">
        <f t="shared" si="22"/>
        <v/>
      </c>
    </row>
    <row r="11" spans="1:67" ht="15">
      <c r="A11" s="6">
        <v>9</v>
      </c>
      <c r="B11" s="6" t="s">
        <v>2126</v>
      </c>
      <c r="C11" s="404" t="s">
        <v>339</v>
      </c>
      <c r="D11" s="6">
        <f t="shared" si="1"/>
        <v>1</v>
      </c>
      <c r="E11" s="6">
        <f t="shared" si="2"/>
        <v>0</v>
      </c>
      <c r="F11" s="6">
        <f t="shared" si="11"/>
        <v>1</v>
      </c>
      <c r="G11" s="6">
        <f t="shared" si="12"/>
        <v>1</v>
      </c>
      <c r="H11" s="23">
        <f t="shared" si="13"/>
        <v>1</v>
      </c>
      <c r="I11" s="6" t="str">
        <f t="shared" si="14"/>
        <v>San José</v>
      </c>
      <c r="J11" s="66" t="str">
        <f t="shared" si="15"/>
        <v>San José</v>
      </c>
      <c r="K11" s="127">
        <f t="shared" si="3"/>
        <v>0</v>
      </c>
      <c r="L11" s="128">
        <v>1</v>
      </c>
      <c r="M11" s="75"/>
      <c r="N11" s="24"/>
      <c r="P11" s="24">
        <f t="shared" si="4"/>
        <v>1</v>
      </c>
      <c r="Q11" s="24"/>
      <c r="S11"/>
      <c r="T11" s="79"/>
      <c r="U11" s="24">
        <v>0</v>
      </c>
      <c r="V11" s="6">
        <v>1</v>
      </c>
      <c r="W11" s="159">
        <v>0</v>
      </c>
      <c r="X11" s="159">
        <v>1</v>
      </c>
      <c r="Y11" s="159">
        <v>0</v>
      </c>
      <c r="Z11" s="159">
        <v>0</v>
      </c>
      <c r="AA11" s="98">
        <v>0</v>
      </c>
      <c r="AB11" s="98">
        <v>1</v>
      </c>
      <c r="AC11" s="98">
        <v>0</v>
      </c>
      <c r="AD11" s="203">
        <v>0</v>
      </c>
      <c r="AE11" s="203">
        <v>0</v>
      </c>
      <c r="AF11" s="203">
        <v>0</v>
      </c>
      <c r="AG11" s="203">
        <v>0</v>
      </c>
      <c r="AI11" s="28">
        <f t="shared" si="5"/>
        <v>2</v>
      </c>
      <c r="AJ11" s="6">
        <f t="shared" si="16"/>
        <v>2</v>
      </c>
      <c r="AN11" s="6">
        <f t="shared" si="6"/>
        <v>1</v>
      </c>
      <c r="AO11" s="6">
        <f t="shared" si="7"/>
        <v>1</v>
      </c>
      <c r="AP11" s="6">
        <f t="shared" si="18"/>
        <v>1</v>
      </c>
      <c r="AQ11" s="6">
        <f t="shared" si="19"/>
        <v>1</v>
      </c>
      <c r="AS11" s="6">
        <v>1</v>
      </c>
      <c r="AT11" s="6">
        <f t="shared" si="20"/>
        <v>0</v>
      </c>
      <c r="AU11" s="6">
        <f t="shared" si="21"/>
        <v>1</v>
      </c>
      <c r="AV11" s="6">
        <f t="shared" si="8"/>
        <v>0</v>
      </c>
      <c r="AW11" s="6">
        <f t="shared" si="8"/>
        <v>0</v>
      </c>
      <c r="BF11" s="6">
        <f t="shared" si="9"/>
        <v>0</v>
      </c>
      <c r="BN11" s="6" t="str">
        <f t="shared" si="10"/>
        <v>circle_SANJ</v>
      </c>
      <c r="BO11" s="6" t="str">
        <f t="shared" si="22"/>
        <v/>
      </c>
    </row>
    <row r="12" spans="1:67" ht="15">
      <c r="A12" s="6">
        <v>10</v>
      </c>
      <c r="B12" s="6" t="s">
        <v>2129</v>
      </c>
      <c r="C12" s="404" t="s">
        <v>342</v>
      </c>
      <c r="D12" s="6">
        <f t="shared" si="1"/>
        <v>1</v>
      </c>
      <c r="E12" s="6">
        <f t="shared" si="2"/>
        <v>0</v>
      </c>
      <c r="F12" s="6">
        <f t="shared" si="11"/>
        <v>1</v>
      </c>
      <c r="G12" s="6">
        <f t="shared" si="12"/>
        <v>1</v>
      </c>
      <c r="H12" s="23">
        <f t="shared" si="13"/>
        <v>1</v>
      </c>
      <c r="I12" s="6" t="str">
        <f t="shared" si="14"/>
        <v>San Pablo</v>
      </c>
      <c r="J12" s="66" t="str">
        <f t="shared" si="15"/>
        <v>San Pablo</v>
      </c>
      <c r="K12" s="127">
        <f t="shared" si="3"/>
        <v>0</v>
      </c>
      <c r="L12" s="128">
        <v>1</v>
      </c>
      <c r="M12" s="75"/>
      <c r="N12" s="24"/>
      <c r="P12" s="24">
        <f t="shared" si="4"/>
        <v>5</v>
      </c>
      <c r="Q12" s="24"/>
      <c r="T12" s="79"/>
      <c r="U12" s="24">
        <v>0</v>
      </c>
      <c r="V12" s="6">
        <v>1</v>
      </c>
      <c r="W12" s="159">
        <v>1</v>
      </c>
      <c r="X12" s="159">
        <v>0</v>
      </c>
      <c r="Y12" s="159">
        <v>0</v>
      </c>
      <c r="Z12" s="159">
        <v>0</v>
      </c>
      <c r="AA12" s="98">
        <v>0</v>
      </c>
      <c r="AB12" s="98">
        <v>1</v>
      </c>
      <c r="AC12" s="98">
        <v>0</v>
      </c>
      <c r="AD12" s="203">
        <v>0</v>
      </c>
      <c r="AE12" s="203">
        <v>0</v>
      </c>
      <c r="AF12" s="203">
        <v>0</v>
      </c>
      <c r="AG12" s="203">
        <v>0</v>
      </c>
      <c r="AI12" s="28">
        <f t="shared" si="5"/>
        <v>2</v>
      </c>
      <c r="AJ12" s="6">
        <f t="shared" si="16"/>
        <v>1</v>
      </c>
      <c r="AN12" s="6">
        <f t="shared" si="6"/>
        <v>1</v>
      </c>
      <c r="AO12" s="6">
        <f t="shared" si="7"/>
        <v>1</v>
      </c>
      <c r="AP12" s="6">
        <f t="shared" si="18"/>
        <v>1</v>
      </c>
      <c r="AQ12" s="6">
        <f t="shared" si="19"/>
        <v>1</v>
      </c>
      <c r="AS12" s="6">
        <v>1</v>
      </c>
      <c r="AT12" s="6">
        <f t="shared" si="20"/>
        <v>1</v>
      </c>
      <c r="AU12" s="6">
        <f t="shared" si="21"/>
        <v>0</v>
      </c>
      <c r="AV12" s="6">
        <f t="shared" si="8"/>
        <v>0</v>
      </c>
      <c r="AW12" s="6">
        <f t="shared" si="8"/>
        <v>0</v>
      </c>
      <c r="BF12" s="6">
        <f t="shared" si="9"/>
        <v>1</v>
      </c>
      <c r="BN12" s="6" t="str">
        <f t="shared" si="10"/>
        <v>circle_SAPA</v>
      </c>
      <c r="BO12" s="6" t="str">
        <f t="shared" si="22"/>
        <v/>
      </c>
    </row>
    <row r="13" spans="1:67" ht="15">
      <c r="A13" s="6">
        <v>11</v>
      </c>
      <c r="B13" s="6" t="s">
        <v>2127</v>
      </c>
      <c r="C13" s="404" t="s">
        <v>340</v>
      </c>
      <c r="D13" s="6">
        <f t="shared" si="1"/>
        <v>1</v>
      </c>
      <c r="E13" s="6">
        <f t="shared" si="2"/>
        <v>0</v>
      </c>
      <c r="F13" s="6">
        <f t="shared" si="11"/>
        <v>1</v>
      </c>
      <c r="G13" s="6">
        <f t="shared" si="12"/>
        <v>1</v>
      </c>
      <c r="H13" s="23">
        <f t="shared" si="13"/>
        <v>1</v>
      </c>
      <c r="I13" s="6" t="str">
        <f t="shared" si="14"/>
        <v>Santa Cruz</v>
      </c>
      <c r="J13" s="66" t="str">
        <f t="shared" si="15"/>
        <v>Santa Cruz</v>
      </c>
      <c r="K13" s="127">
        <f t="shared" si="3"/>
        <v>0</v>
      </c>
      <c r="L13" s="128">
        <v>1</v>
      </c>
      <c r="M13" s="75"/>
      <c r="N13" s="24"/>
      <c r="P13" s="6">
        <f t="shared" si="4"/>
        <v>3</v>
      </c>
      <c r="T13"/>
      <c r="U13" s="6">
        <v>0</v>
      </c>
      <c r="V13" s="6">
        <v>1</v>
      </c>
      <c r="W13" s="159">
        <v>0</v>
      </c>
      <c r="X13" s="159">
        <v>0</v>
      </c>
      <c r="Y13" s="159">
        <v>0</v>
      </c>
      <c r="Z13" s="159">
        <v>1</v>
      </c>
      <c r="AA13" s="98">
        <v>0</v>
      </c>
      <c r="AB13" s="98">
        <v>1</v>
      </c>
      <c r="AC13" s="98">
        <v>0</v>
      </c>
      <c r="AD13" s="203">
        <v>0</v>
      </c>
      <c r="AE13" s="203">
        <v>0</v>
      </c>
      <c r="AF13" s="203">
        <v>0</v>
      </c>
      <c r="AG13" s="203">
        <v>0</v>
      </c>
      <c r="AI13" s="28">
        <f t="shared" si="5"/>
        <v>2</v>
      </c>
      <c r="AJ13" s="6">
        <f t="shared" si="16"/>
        <v>4</v>
      </c>
      <c r="AN13" s="6">
        <f t="shared" si="6"/>
        <v>1</v>
      </c>
      <c r="AO13" s="6">
        <f t="shared" si="7"/>
        <v>1</v>
      </c>
      <c r="AP13" s="6">
        <f t="shared" si="18"/>
        <v>1</v>
      </c>
      <c r="AQ13" s="6">
        <f t="shared" si="19"/>
        <v>1</v>
      </c>
      <c r="AS13" s="6">
        <v>1</v>
      </c>
      <c r="AT13" s="6">
        <f t="shared" si="20"/>
        <v>0</v>
      </c>
      <c r="AU13" s="6">
        <f t="shared" si="21"/>
        <v>0</v>
      </c>
      <c r="AV13" s="6">
        <f t="shared" si="8"/>
        <v>0</v>
      </c>
      <c r="AW13" s="6">
        <f t="shared" si="8"/>
        <v>1</v>
      </c>
      <c r="BF13" s="6">
        <f t="shared" si="9"/>
        <v>0</v>
      </c>
      <c r="BN13" s="6" t="str">
        <f t="shared" si="10"/>
        <v>circle_SACR</v>
      </c>
      <c r="BO13" s="6" t="str">
        <f t="shared" si="22"/>
        <v/>
      </c>
    </row>
    <row r="14" spans="1:67" customFormat="1" ht="15">
      <c r="A14" s="6">
        <v>12</v>
      </c>
      <c r="B14" s="6" t="s">
        <v>2128</v>
      </c>
      <c r="C14" s="404" t="s">
        <v>341</v>
      </c>
      <c r="D14" s="6">
        <f t="shared" si="1"/>
        <v>1</v>
      </c>
      <c r="E14" s="6">
        <f t="shared" si="2"/>
        <v>0</v>
      </c>
      <c r="F14" s="6">
        <f t="shared" si="11"/>
        <v>1</v>
      </c>
      <c r="G14" s="6">
        <f t="shared" si="12"/>
        <v>1</v>
      </c>
      <c r="H14" s="23">
        <f t="shared" si="13"/>
        <v>1</v>
      </c>
      <c r="I14" s="6" t="str">
        <f t="shared" si="14"/>
        <v>Santiago de Chile</v>
      </c>
      <c r="J14" s="66" t="str">
        <f t="shared" si="15"/>
        <v>Santiago de Chile</v>
      </c>
      <c r="K14" s="127">
        <f t="shared" si="3"/>
        <v>0</v>
      </c>
      <c r="L14" s="128">
        <v>1</v>
      </c>
      <c r="M14" s="79"/>
      <c r="N14" s="79"/>
      <c r="P14" s="6">
        <f t="shared" si="4"/>
        <v>6</v>
      </c>
      <c r="R14" s="6"/>
      <c r="S14" s="6"/>
      <c r="U14" s="6">
        <v>0</v>
      </c>
      <c r="V14" s="6">
        <v>1</v>
      </c>
      <c r="W14" s="159">
        <v>1</v>
      </c>
      <c r="X14" s="159">
        <v>0</v>
      </c>
      <c r="Y14" s="159">
        <v>0</v>
      </c>
      <c r="Z14" s="159">
        <v>0</v>
      </c>
      <c r="AA14" s="98">
        <v>0</v>
      </c>
      <c r="AB14" s="98">
        <v>0</v>
      </c>
      <c r="AC14" s="98">
        <v>1</v>
      </c>
      <c r="AD14" s="203">
        <v>0</v>
      </c>
      <c r="AE14" s="203">
        <v>0</v>
      </c>
      <c r="AF14" s="203">
        <v>0</v>
      </c>
      <c r="AG14" s="203">
        <v>0</v>
      </c>
      <c r="AI14" s="28">
        <f t="shared" si="5"/>
        <v>3</v>
      </c>
      <c r="AJ14" s="6">
        <f t="shared" si="16"/>
        <v>1</v>
      </c>
      <c r="AK14" s="6"/>
      <c r="AL14" s="6"/>
      <c r="AM14" s="6"/>
      <c r="AN14" s="6">
        <f t="shared" si="6"/>
        <v>1</v>
      </c>
      <c r="AO14" s="6">
        <f t="shared" si="7"/>
        <v>1</v>
      </c>
      <c r="AP14" s="6">
        <f t="shared" si="18"/>
        <v>1</v>
      </c>
      <c r="AQ14" s="6">
        <f t="shared" si="19"/>
        <v>1</v>
      </c>
      <c r="AR14" s="6"/>
      <c r="AS14" s="6">
        <v>1</v>
      </c>
      <c r="AT14" s="6">
        <f t="shared" si="20"/>
        <v>1</v>
      </c>
      <c r="AU14" s="6">
        <f t="shared" si="21"/>
        <v>0</v>
      </c>
      <c r="AV14" s="6">
        <f t="shared" si="8"/>
        <v>0</v>
      </c>
      <c r="AW14" s="6">
        <f t="shared" si="8"/>
        <v>0</v>
      </c>
      <c r="AX14" s="6"/>
      <c r="AY14" s="6"/>
      <c r="AZ14" s="6"/>
      <c r="BA14" s="6"/>
      <c r="BB14" s="6"/>
      <c r="BC14" s="6"/>
      <c r="BD14" s="6"/>
      <c r="BF14" s="6">
        <f t="shared" si="9"/>
        <v>1</v>
      </c>
      <c r="BH14" s="6"/>
      <c r="BN14" s="6" t="str">
        <f t="shared" si="10"/>
        <v>circle_SADC</v>
      </c>
      <c r="BO14" s="6" t="str">
        <f t="shared" si="22"/>
        <v/>
      </c>
    </row>
    <row r="15" spans="1:67">
      <c r="A15" s="6">
        <v>13</v>
      </c>
      <c r="B15" s="6">
        <f>INDEX(UserDataIn!$J$4:$S$4,tblTerritories!A15-12)</f>
        <v>36</v>
      </c>
      <c r="C15" s="6" t="str">
        <f>IF(B15&lt;37,INDEX(UserDataIn!$J$5:$S$5,A15-12)&amp;": incompleto",INDEX(UserDataIn!$J$5:$S$5,A15-12))</f>
        <v>Escriba el nombre de la ciudad: incompleto</v>
      </c>
      <c r="D15" s="6">
        <f t="shared" si="1"/>
        <v>1</v>
      </c>
      <c r="E15" s="6">
        <f t="shared" si="2"/>
        <v>0</v>
      </c>
      <c r="F15" s="6">
        <f t="shared" si="11"/>
        <v>1</v>
      </c>
      <c r="G15" s="6">
        <f t="shared" si="12"/>
        <v>0</v>
      </c>
      <c r="V15" s="6">
        <v>1</v>
      </c>
      <c r="AN15" s="6">
        <f t="shared" ref="AN15:AN25" si="23">INDEX(V15:Z15,$AN$2)</f>
        <v>1</v>
      </c>
      <c r="AO15" s="6">
        <f t="shared" ref="AO15:AO25" si="24">INDEX(AS15:BD15,$AO$2)</f>
        <v>1</v>
      </c>
      <c r="AP15" s="6">
        <f t="shared" ref="AP15:AP25" si="25">IF(AND(AN15=1,AO15=1),1,0)</f>
        <v>1</v>
      </c>
      <c r="AQ15" s="6">
        <f t="shared" ref="AQ15:AQ25" si="26">IF(AND($AN$2=1,$AO$2&lt;&gt;1),AO15,IF(AND($AN$2&lt;&gt;1,$AO$2=1),AN15,IF(AND($AN$2&lt;&gt;1,$AO$2&lt;&gt;1),AP15,1)))</f>
        <v>1</v>
      </c>
      <c r="AS15" s="6">
        <v>1</v>
      </c>
    </row>
    <row r="16" spans="1:67">
      <c r="A16" s="6">
        <v>14</v>
      </c>
      <c r="B16" s="6">
        <f>INDEX(UserDataIn!$J$4:$S$4,tblTerritories!A16-12)</f>
        <v>0</v>
      </c>
      <c r="C16" s="6" t="str">
        <f>IF(B16&lt;37,INDEX(UserDataIn!$J$5:$S$5,A16-12)&amp;": incompleto",INDEX(UserDataIn!$J$5:$S$5,A16-12))</f>
        <v>Ciudad_02: incompleto</v>
      </c>
      <c r="D16" s="6">
        <f t="shared" si="1"/>
        <v>1</v>
      </c>
      <c r="E16" s="6">
        <f t="shared" si="2"/>
        <v>0</v>
      </c>
      <c r="F16" s="6">
        <f t="shared" si="11"/>
        <v>1</v>
      </c>
      <c r="G16" s="6">
        <f t="shared" si="12"/>
        <v>0</v>
      </c>
      <c r="V16" s="6">
        <v>1</v>
      </c>
      <c r="AN16" s="6">
        <f t="shared" si="23"/>
        <v>1</v>
      </c>
      <c r="AO16" s="6">
        <f t="shared" si="24"/>
        <v>1</v>
      </c>
      <c r="AP16" s="6">
        <f t="shared" si="25"/>
        <v>1</v>
      </c>
      <c r="AQ16" s="6">
        <f t="shared" si="26"/>
        <v>1</v>
      </c>
      <c r="AS16" s="6">
        <v>1</v>
      </c>
    </row>
    <row r="17" spans="1:45">
      <c r="A17" s="6">
        <v>15</v>
      </c>
      <c r="B17" s="6">
        <f>INDEX(UserDataIn!$J$4:$S$4,tblTerritories!A17-12)</f>
        <v>0</v>
      </c>
      <c r="C17" s="6" t="str">
        <f>IF(B17&lt;37,INDEX(UserDataIn!$J$5:$S$5,A17-12)&amp;": incompleto",INDEX(UserDataIn!$J$5:$S$5,A17-12))</f>
        <v>Ciudad_03: incompleto</v>
      </c>
      <c r="D17" s="6">
        <f t="shared" si="1"/>
        <v>1</v>
      </c>
      <c r="E17" s="6">
        <f t="shared" si="2"/>
        <v>0</v>
      </c>
      <c r="F17" s="6">
        <f t="shared" si="11"/>
        <v>1</v>
      </c>
      <c r="G17" s="6">
        <f t="shared" si="12"/>
        <v>0</v>
      </c>
      <c r="V17" s="6">
        <v>1</v>
      </c>
      <c r="AN17" s="6">
        <f t="shared" si="23"/>
        <v>1</v>
      </c>
      <c r="AO17" s="6">
        <f t="shared" si="24"/>
        <v>1</v>
      </c>
      <c r="AP17" s="6">
        <f t="shared" si="25"/>
        <v>1</v>
      </c>
      <c r="AQ17" s="6">
        <f t="shared" si="26"/>
        <v>1</v>
      </c>
      <c r="AS17" s="6">
        <v>1</v>
      </c>
    </row>
    <row r="18" spans="1:45">
      <c r="A18" s="6">
        <v>16</v>
      </c>
      <c r="B18" s="6">
        <f>INDEX(UserDataIn!$J$4:$S$4,tblTerritories!A18-12)</f>
        <v>0</v>
      </c>
      <c r="C18" s="6" t="str">
        <f>IF(B18&lt;37,INDEX(UserDataIn!$J$5:$S$5,A18-12)&amp;": incompleto",INDEX(UserDataIn!$J$5:$S$5,A18-12))</f>
        <v>Ciudad_04: incompleto</v>
      </c>
      <c r="D18" s="6">
        <f t="shared" si="1"/>
        <v>1</v>
      </c>
      <c r="E18" s="6">
        <f t="shared" si="2"/>
        <v>0</v>
      </c>
      <c r="F18" s="6">
        <f t="shared" si="11"/>
        <v>1</v>
      </c>
      <c r="G18" s="6">
        <f t="shared" si="12"/>
        <v>0</v>
      </c>
      <c r="V18" s="6">
        <v>1</v>
      </c>
      <c r="AN18" s="6">
        <f t="shared" si="23"/>
        <v>1</v>
      </c>
      <c r="AO18" s="6">
        <f t="shared" si="24"/>
        <v>1</v>
      </c>
      <c r="AP18" s="6">
        <f t="shared" si="25"/>
        <v>1</v>
      </c>
      <c r="AQ18" s="6">
        <f t="shared" si="26"/>
        <v>1</v>
      </c>
      <c r="AS18" s="6">
        <v>1</v>
      </c>
    </row>
    <row r="19" spans="1:45">
      <c r="A19" s="6">
        <v>17</v>
      </c>
      <c r="B19" s="6">
        <f>INDEX(UserDataIn!$J$4:$S$4,tblTerritories!A19-12)</f>
        <v>0</v>
      </c>
      <c r="C19" s="6" t="str">
        <f>IF(B19&lt;37,INDEX(UserDataIn!$J$5:$S$5,A19-12)&amp;": incompleto",INDEX(UserDataIn!$J$5:$S$5,A19-12))</f>
        <v>Ciudad_05: incompleto</v>
      </c>
      <c r="D19" s="6">
        <f t="shared" si="1"/>
        <v>1</v>
      </c>
      <c r="E19" s="6">
        <f t="shared" si="2"/>
        <v>0</v>
      </c>
      <c r="F19" s="6">
        <f t="shared" si="11"/>
        <v>1</v>
      </c>
      <c r="G19" s="6">
        <f t="shared" si="12"/>
        <v>0</v>
      </c>
      <c r="V19" s="6">
        <v>1</v>
      </c>
      <c r="AN19" s="6">
        <f t="shared" si="23"/>
        <v>1</v>
      </c>
      <c r="AO19" s="6">
        <f t="shared" si="24"/>
        <v>1</v>
      </c>
      <c r="AP19" s="6">
        <f t="shared" si="25"/>
        <v>1</v>
      </c>
      <c r="AQ19" s="6">
        <f t="shared" si="26"/>
        <v>1</v>
      </c>
      <c r="AS19" s="6">
        <v>1</v>
      </c>
    </row>
    <row r="20" spans="1:45">
      <c r="A20" s="6">
        <v>18</v>
      </c>
      <c r="B20" s="6">
        <f>INDEX(UserDataIn!$J$4:$S$4,tblTerritories!A20-12)</f>
        <v>0</v>
      </c>
      <c r="C20" s="6" t="str">
        <f>IF(B20&lt;37,INDEX(UserDataIn!$J$5:$S$5,A20-12)&amp;": incompleto",INDEX(UserDataIn!$J$5:$S$5,A20-12))</f>
        <v>Ciudad_06: incompleto</v>
      </c>
      <c r="D20" s="6">
        <f t="shared" si="1"/>
        <v>1</v>
      </c>
      <c r="E20" s="6">
        <f t="shared" si="2"/>
        <v>0</v>
      </c>
      <c r="F20" s="6">
        <f t="shared" si="11"/>
        <v>1</v>
      </c>
      <c r="G20" s="6">
        <f t="shared" si="12"/>
        <v>0</v>
      </c>
      <c r="V20" s="6">
        <v>1</v>
      </c>
      <c r="AN20" s="6">
        <f t="shared" si="23"/>
        <v>1</v>
      </c>
      <c r="AO20" s="6">
        <f t="shared" si="24"/>
        <v>1</v>
      </c>
      <c r="AP20" s="6">
        <f t="shared" si="25"/>
        <v>1</v>
      </c>
      <c r="AQ20" s="6">
        <f t="shared" si="26"/>
        <v>1</v>
      </c>
      <c r="AS20" s="6">
        <v>1</v>
      </c>
    </row>
    <row r="21" spans="1:45">
      <c r="A21" s="6">
        <v>19</v>
      </c>
      <c r="B21" s="6">
        <f>INDEX(UserDataIn!$J$4:$S$4,tblTerritories!A21-12)</f>
        <v>0</v>
      </c>
      <c r="C21" s="6" t="str">
        <f>IF(B21&lt;37,INDEX(UserDataIn!$J$5:$S$5,A21-12)&amp;": incompleto",INDEX(UserDataIn!$J$5:$S$5,A21-12))</f>
        <v>Ciudad_07: incompleto</v>
      </c>
      <c r="D21" s="6">
        <f t="shared" si="1"/>
        <v>1</v>
      </c>
      <c r="E21" s="6">
        <f t="shared" si="2"/>
        <v>0</v>
      </c>
      <c r="F21" s="6">
        <f t="shared" si="11"/>
        <v>1</v>
      </c>
      <c r="G21" s="6">
        <f t="shared" si="12"/>
        <v>0</v>
      </c>
      <c r="V21" s="6">
        <v>1</v>
      </c>
      <c r="AN21" s="6">
        <f t="shared" si="23"/>
        <v>1</v>
      </c>
      <c r="AO21" s="6">
        <f t="shared" si="24"/>
        <v>1</v>
      </c>
      <c r="AP21" s="6">
        <f t="shared" si="25"/>
        <v>1</v>
      </c>
      <c r="AQ21" s="6">
        <f t="shared" si="26"/>
        <v>1</v>
      </c>
      <c r="AS21" s="6">
        <v>1</v>
      </c>
    </row>
    <row r="22" spans="1:45">
      <c r="A22" s="6">
        <v>20</v>
      </c>
      <c r="B22" s="6">
        <f>INDEX(UserDataIn!$J$4:$S$4,tblTerritories!A22-12)</f>
        <v>0</v>
      </c>
      <c r="C22" s="6" t="str">
        <f>IF(B22&lt;37,INDEX(UserDataIn!$J$5:$S$5,A22-12)&amp;": incompleto",INDEX(UserDataIn!$J$5:$S$5,A22-12))</f>
        <v>Ciudad_08: incompleto</v>
      </c>
      <c r="D22" s="6">
        <f t="shared" si="1"/>
        <v>1</v>
      </c>
      <c r="E22" s="6">
        <f t="shared" si="2"/>
        <v>0</v>
      </c>
      <c r="F22" s="6">
        <f t="shared" si="11"/>
        <v>1</v>
      </c>
      <c r="G22" s="6">
        <f t="shared" si="12"/>
        <v>0</v>
      </c>
      <c r="V22" s="6">
        <v>1</v>
      </c>
      <c r="AN22" s="6">
        <f t="shared" si="23"/>
        <v>1</v>
      </c>
      <c r="AO22" s="6">
        <f t="shared" si="24"/>
        <v>1</v>
      </c>
      <c r="AP22" s="6">
        <f t="shared" si="25"/>
        <v>1</v>
      </c>
      <c r="AQ22" s="6">
        <f t="shared" si="26"/>
        <v>1</v>
      </c>
      <c r="AS22" s="6">
        <v>1</v>
      </c>
    </row>
    <row r="23" spans="1:45">
      <c r="A23" s="6">
        <v>21</v>
      </c>
      <c r="B23" s="6">
        <f>INDEX(UserDataIn!$J$4:$S$4,tblTerritories!A23-12)</f>
        <v>0</v>
      </c>
      <c r="C23" s="6" t="str">
        <f>IF(B23&lt;37,INDEX(UserDataIn!$J$5:$S$5,A23-12)&amp;": incompleto",INDEX(UserDataIn!$J$5:$S$5,A23-12))</f>
        <v>Ciudad_09: incompleto</v>
      </c>
      <c r="D23" s="6">
        <f t="shared" si="1"/>
        <v>1</v>
      </c>
      <c r="E23" s="6">
        <f t="shared" si="2"/>
        <v>0</v>
      </c>
      <c r="F23" s="6">
        <f t="shared" si="11"/>
        <v>1</v>
      </c>
      <c r="G23" s="6">
        <f t="shared" si="12"/>
        <v>0</v>
      </c>
      <c r="V23" s="6">
        <v>1</v>
      </c>
      <c r="AN23" s="6">
        <f t="shared" si="23"/>
        <v>1</v>
      </c>
      <c r="AO23" s="6">
        <f t="shared" si="24"/>
        <v>1</v>
      </c>
      <c r="AP23" s="6">
        <f t="shared" si="25"/>
        <v>1</v>
      </c>
      <c r="AQ23" s="6">
        <f t="shared" si="26"/>
        <v>1</v>
      </c>
      <c r="AS23" s="6">
        <v>1</v>
      </c>
    </row>
    <row r="24" spans="1:45">
      <c r="A24" s="6">
        <v>22</v>
      </c>
      <c r="B24" s="6">
        <f>INDEX(UserDataIn!$J$4:$S$4,tblTerritories!A24-12)</f>
        <v>0</v>
      </c>
      <c r="C24" s="6" t="str">
        <f>IF(B24&lt;37,INDEX(UserDataIn!$J$5:$S$5,A24-12)&amp;": incompleto",INDEX(UserDataIn!$J$5:$S$5,A24-12))</f>
        <v>Ciudad_10: incompleto</v>
      </c>
      <c r="D24" s="6">
        <f t="shared" si="1"/>
        <v>1</v>
      </c>
      <c r="E24" s="6">
        <f t="shared" si="2"/>
        <v>0</v>
      </c>
      <c r="F24" s="6">
        <f t="shared" si="11"/>
        <v>1</v>
      </c>
      <c r="G24" s="6">
        <f t="shared" si="12"/>
        <v>0</v>
      </c>
      <c r="V24" s="6">
        <v>1</v>
      </c>
      <c r="AN24" s="6">
        <f t="shared" si="23"/>
        <v>1</v>
      </c>
      <c r="AO24" s="6">
        <f t="shared" si="24"/>
        <v>1</v>
      </c>
      <c r="AP24" s="6">
        <f t="shared" si="25"/>
        <v>1</v>
      </c>
      <c r="AQ24" s="6">
        <f t="shared" si="26"/>
        <v>1</v>
      </c>
      <c r="AS24" s="6">
        <v>1</v>
      </c>
    </row>
    <row r="25" spans="1:45">
      <c r="V25" s="6">
        <v>1</v>
      </c>
      <c r="AN25" s="6">
        <f t="shared" si="23"/>
        <v>1</v>
      </c>
      <c r="AO25" s="6">
        <f t="shared" si="24"/>
        <v>0</v>
      </c>
      <c r="AP25" s="6">
        <f t="shared" si="25"/>
        <v>0</v>
      </c>
      <c r="AQ25" s="6">
        <f t="shared" si="26"/>
        <v>1</v>
      </c>
    </row>
    <row r="29" spans="1:45" ht="12" thickBot="1"/>
    <row r="30" spans="1:45" ht="15.75" thickBot="1">
      <c r="B30" s="6" t="s">
        <v>2140</v>
      </c>
      <c r="C30" s="6" t="s">
        <v>345</v>
      </c>
      <c r="W30" s="547" t="s">
        <v>334</v>
      </c>
      <c r="X30" s="6" t="s">
        <v>345</v>
      </c>
    </row>
    <row r="31" spans="1:45" ht="15.75" thickBot="1">
      <c r="B31" s="6" t="s">
        <v>2141</v>
      </c>
      <c r="C31" s="6" t="s">
        <v>346</v>
      </c>
      <c r="W31" s="548" t="s">
        <v>335</v>
      </c>
      <c r="X31" s="6" t="s">
        <v>346</v>
      </c>
    </row>
    <row r="32" spans="1:45" ht="15.75" thickBot="1">
      <c r="B32" s="6" t="s">
        <v>2121</v>
      </c>
      <c r="C32" s="6" t="s">
        <v>343</v>
      </c>
      <c r="W32" s="548" t="s">
        <v>332</v>
      </c>
      <c r="X32" s="6" t="s">
        <v>343</v>
      </c>
    </row>
    <row r="33" spans="2:24" ht="15.75" thickBot="1">
      <c r="B33" s="6" t="s">
        <v>2139</v>
      </c>
      <c r="C33" s="6" t="s">
        <v>344</v>
      </c>
      <c r="W33" s="548" t="s">
        <v>333</v>
      </c>
      <c r="X33" s="6" t="s">
        <v>344</v>
      </c>
    </row>
    <row r="34" spans="2:24" ht="15.75" thickBot="1">
      <c r="B34" s="6" t="s">
        <v>2123</v>
      </c>
      <c r="C34" s="6" t="s">
        <v>2253</v>
      </c>
      <c r="W34" s="548" t="s">
        <v>2252</v>
      </c>
      <c r="X34" s="6" t="s">
        <v>2253</v>
      </c>
    </row>
    <row r="35" spans="2:24" ht="15.75" thickBot="1">
      <c r="B35" s="6" t="s">
        <v>2122</v>
      </c>
      <c r="C35" s="6" t="s">
        <v>347</v>
      </c>
      <c r="W35" s="548" t="s">
        <v>336</v>
      </c>
      <c r="X35" s="6" t="s">
        <v>347</v>
      </c>
    </row>
    <row r="36" spans="2:24" ht="15.75" thickBot="1">
      <c r="B36" s="6" t="s">
        <v>2124</v>
      </c>
      <c r="C36" s="6" t="s">
        <v>348</v>
      </c>
      <c r="W36" s="548" t="s">
        <v>337</v>
      </c>
      <c r="X36" s="6" t="s">
        <v>348</v>
      </c>
    </row>
    <row r="37" spans="2:24" ht="15.75" thickBot="1">
      <c r="B37" s="6" t="s">
        <v>2125</v>
      </c>
      <c r="C37" s="6" t="s">
        <v>349</v>
      </c>
      <c r="W37" s="548" t="s">
        <v>338</v>
      </c>
      <c r="X37" s="6" t="s">
        <v>349</v>
      </c>
    </row>
    <row r="38" spans="2:24" ht="15.75" thickBot="1">
      <c r="B38" s="6" t="s">
        <v>2126</v>
      </c>
      <c r="C38" s="6" t="s">
        <v>350</v>
      </c>
      <c r="W38" s="548" t="s">
        <v>339</v>
      </c>
      <c r="X38" s="6" t="s">
        <v>350</v>
      </c>
    </row>
    <row r="39" spans="2:24" ht="15.75" thickBot="1">
      <c r="B39" s="6" t="s">
        <v>2129</v>
      </c>
      <c r="C39" s="6" t="s">
        <v>353</v>
      </c>
      <c r="W39" s="548" t="s">
        <v>342</v>
      </c>
      <c r="X39" s="6" t="s">
        <v>353</v>
      </c>
    </row>
    <row r="40" spans="2:24" ht="15.75" thickBot="1">
      <c r="B40" s="6" t="s">
        <v>2127</v>
      </c>
      <c r="C40" s="6" t="s">
        <v>351</v>
      </c>
      <c r="W40" s="548" t="s">
        <v>340</v>
      </c>
      <c r="X40" s="6" t="s">
        <v>351</v>
      </c>
    </row>
    <row r="41" spans="2:24" ht="15.75" thickBot="1">
      <c r="B41" s="6" t="s">
        <v>2128</v>
      </c>
      <c r="C41" s="6" t="s">
        <v>352</v>
      </c>
      <c r="W41" s="549" t="s">
        <v>341</v>
      </c>
      <c r="X41" s="6" t="s">
        <v>352</v>
      </c>
    </row>
    <row r="46" spans="2:24" ht="15">
      <c r="E46"/>
    </row>
  </sheetData>
  <phoneticPr fontId="4" type="noConversion"/>
  <pageMargins left="0.55118110236220474" right="0.55118110236220474" top="0.59055118110236227" bottom="0.78740157480314965" header="0.51181102362204722" footer="0.51181102362204722"/>
  <pageSetup paperSize="9" scale="23" orientation="landscape" horizontalDpi="1200" verticalDpi="1200" r:id="rId1"/>
  <headerFooter alignWithMargins="0">
    <oddHeader>&amp;RResultados del Modelo de Reciclaje Inclusivo</oddHeader>
  </headerFooter>
</worksheet>
</file>

<file path=xl/worksheets/sheet9.xml><?xml version="1.0" encoding="utf-8"?>
<worksheet xmlns="http://schemas.openxmlformats.org/spreadsheetml/2006/main" xmlns:r="http://schemas.openxmlformats.org/officeDocument/2006/relationships">
  <sheetPr codeName="Sheet13">
    <tabColor rgb="FFFFC000"/>
    <pageSetUpPr fitToPage="1"/>
  </sheetPr>
  <dimension ref="A1:CD35"/>
  <sheetViews>
    <sheetView showRowColHeaders="0" topLeftCell="H1" zoomScale="80" zoomScaleNormal="80" workbookViewId="0">
      <selection activeCell="AW1" sqref="AW1"/>
    </sheetView>
  </sheetViews>
  <sheetFormatPr defaultRowHeight="11.25"/>
  <cols>
    <col min="1" max="7" width="9.140625" style="1"/>
    <col min="8" max="8" width="7.85546875" style="1" bestFit="1" customWidth="1"/>
    <col min="9" max="9" width="6" style="1" bestFit="1" customWidth="1"/>
    <col min="10" max="10" width="4" style="1" customWidth="1"/>
    <col min="11" max="11" width="10.28515625" style="1" bestFit="1" customWidth="1"/>
    <col min="12" max="12" width="4" style="1" customWidth="1"/>
    <col min="13" max="13" width="6" style="1" bestFit="1" customWidth="1"/>
    <col min="14" max="14" width="8.28515625" style="1" customWidth="1"/>
    <col min="15" max="15" width="8" style="1" customWidth="1"/>
    <col min="16" max="16" width="6.85546875" style="1" customWidth="1"/>
    <col min="17" max="18" width="4" style="1" customWidth="1"/>
    <col min="19" max="19" width="11.5703125" style="1" bestFit="1" customWidth="1"/>
    <col min="20" max="20" width="8.7109375" style="1" customWidth="1"/>
    <col min="21" max="21" width="4" style="1" customWidth="1"/>
    <col min="22" max="22" width="12" style="1" bestFit="1" customWidth="1"/>
    <col min="23" max="24" width="4" style="1" customWidth="1"/>
    <col min="25" max="25" width="13" style="1" bestFit="1" customWidth="1"/>
    <col min="26" max="26" width="4" style="1" customWidth="1"/>
    <col min="27" max="27" width="19.42578125" style="1" customWidth="1"/>
    <col min="28" max="28" width="4" style="1" customWidth="1"/>
    <col min="29" max="29" width="9.140625" style="1"/>
    <col min="30" max="39" width="4" style="1" customWidth="1"/>
    <col min="40" max="40" width="9.140625" style="1"/>
    <col min="41" max="50" width="4" style="1" customWidth="1"/>
    <col min="51" max="51" width="9.140625" style="1"/>
    <col min="52" max="58" width="4" style="1" customWidth="1"/>
    <col min="59" max="59" width="24" style="1" bestFit="1" customWidth="1"/>
    <col min="60" max="61" width="4" style="1" customWidth="1"/>
    <col min="62" max="62" width="9.140625" style="1"/>
    <col min="63" max="69" width="4" style="1" customWidth="1"/>
    <col min="70" max="70" width="24" style="1" bestFit="1" customWidth="1"/>
    <col min="71" max="71" width="4" style="1" customWidth="1"/>
    <col min="72" max="73" width="9.140625" style="1"/>
    <col min="74" max="80" width="4" style="1" customWidth="1"/>
    <col min="81" max="81" width="24" style="1" bestFit="1" customWidth="1"/>
    <col min="82" max="82" width="4" style="1" customWidth="1"/>
    <col min="83" max="16384" width="9.140625" style="1"/>
  </cols>
  <sheetData>
    <row r="1" spans="1:82">
      <c r="A1" s="6" t="s">
        <v>74</v>
      </c>
      <c r="B1" s="1">
        <f>uxb_works!B8</f>
        <v>1</v>
      </c>
      <c r="AA1" s="9">
        <f ca="1">AVERAGE(AA8:AA29)</f>
        <v>45.44166666666667</v>
      </c>
      <c r="AL1" s="9">
        <f ca="1">AVERAGE(AL8:AL29)</f>
        <v>42.174999999999997</v>
      </c>
      <c r="AW1" s="9">
        <f ca="1">AVERAGE(AW8:AW29)</f>
        <v>49.908333333333331</v>
      </c>
    </row>
    <row r="2" spans="1:82">
      <c r="B2" s="1">
        <f>uxb_works!B10</f>
        <v>1</v>
      </c>
    </row>
    <row r="3" spans="1:82">
      <c r="A3" s="6" t="s">
        <v>189</v>
      </c>
      <c r="B3" s="1">
        <v>1</v>
      </c>
      <c r="H3" s="1" t="str">
        <f>LEFT(ADDRESS(1,COLUMN(),2),1+(COLUMN()&gt;26))</f>
        <v>H</v>
      </c>
      <c r="I3" s="1" t="str">
        <f>LEFT(ADDRESS(1,COLUMN(),2),1+(COLUMN()&gt;26))</f>
        <v>I</v>
      </c>
      <c r="P3" s="1" t="str">
        <f>LEFT(ADDRESS(1,COLUMN(),2),1+(COLUMN()&gt;26))</f>
        <v>P</v>
      </c>
      <c r="S3" s="1" t="str">
        <f>LEFT(ADDRESS(1,COLUMN(),2),1+(COLUMN()&gt;26))</f>
        <v>S</v>
      </c>
      <c r="T3" s="1" t="str">
        <f>LEFT(ADDRESS(1,COLUMN(),2),1+(COLUMN()&gt;26))</f>
        <v>T</v>
      </c>
      <c r="AA3" s="1" t="str">
        <f>LEFT(ADDRESS(1,COLUMN(),2),1+(COLUMN()&gt;26))</f>
        <v>AA</v>
      </c>
      <c r="AD3" s="1" t="str">
        <f>LEFT(ADDRESS(1,COLUMN(),2),1+(COLUMN()&gt;26))</f>
        <v>AD</v>
      </c>
      <c r="AE3" s="1" t="str">
        <f>LEFT(ADDRESS(1,COLUMN(),2),1+(COLUMN()&gt;26))</f>
        <v>AE</v>
      </c>
      <c r="AL3" s="1" t="str">
        <f>LEFT(ADDRESS(1,COLUMN(),2),1+(COLUMN()&gt;26))</f>
        <v>AL</v>
      </c>
      <c r="AO3" s="1" t="str">
        <f>LEFT(ADDRESS(1,COLUMN(),2),1+(COLUMN()&gt;26))</f>
        <v>AO</v>
      </c>
      <c r="AP3" s="1" t="str">
        <f>LEFT(ADDRESS(1,COLUMN(),2),1+(COLUMN()&gt;26))</f>
        <v>AP</v>
      </c>
      <c r="AW3" s="1" t="str">
        <f>LEFT(ADDRESS(1,COLUMN(),2),1+(COLUMN()&gt;26))</f>
        <v>AW</v>
      </c>
    </row>
    <row r="4" spans="1:82">
      <c r="A4" s="1" t="str">
        <f>uxb_works!A1</f>
        <v>TERRITORY_COUNT</v>
      </c>
      <c r="B4" s="1">
        <f>uxb_works!B1</f>
        <v>12</v>
      </c>
      <c r="C4" s="1">
        <f>uxb_works!C1</f>
        <v>0</v>
      </c>
      <c r="D4" s="1">
        <f>uxb_works!D1</f>
        <v>12</v>
      </c>
      <c r="H4" s="1" t="str">
        <f>H3&amp;8</f>
        <v>H8</v>
      </c>
      <c r="I4" s="1" t="str">
        <f>I3&amp;8</f>
        <v>I8</v>
      </c>
      <c r="P4" s="1" t="str">
        <f>P3&amp;8</f>
        <v>P8</v>
      </c>
      <c r="S4" s="1" t="str">
        <f>S3&amp;8</f>
        <v>S8</v>
      </c>
      <c r="T4" s="1" t="str">
        <f>T3&amp;8</f>
        <v>T8</v>
      </c>
      <c r="AA4" s="1" t="str">
        <f>AA3&amp;8</f>
        <v>AA8</v>
      </c>
      <c r="AD4" s="1" t="str">
        <f>AD3&amp;8</f>
        <v>AD8</v>
      </c>
      <c r="AE4" s="1" t="str">
        <f>AE3&amp;8</f>
        <v>AE8</v>
      </c>
      <c r="AL4" s="1" t="str">
        <f>AL3&amp;8</f>
        <v>AL8</v>
      </c>
      <c r="AO4" s="1" t="str">
        <f>AO3&amp;8</f>
        <v>AO8</v>
      </c>
      <c r="AP4" s="1" t="str">
        <f>AP3&amp;8</f>
        <v>AP8</v>
      </c>
      <c r="AW4" s="1" t="str">
        <f>AW3&amp;8</f>
        <v>AW8</v>
      </c>
    </row>
    <row r="5" spans="1:82">
      <c r="D5" s="1">
        <f>7+D4</f>
        <v>19</v>
      </c>
      <c r="H5" s="13">
        <v>1</v>
      </c>
      <c r="S5" s="13">
        <v>2</v>
      </c>
      <c r="AD5" s="13">
        <v>3</v>
      </c>
      <c r="AO5" s="13">
        <v>4</v>
      </c>
      <c r="AZ5" s="13"/>
      <c r="BK5" s="13"/>
      <c r="BV5" s="13"/>
    </row>
    <row r="6" spans="1:82">
      <c r="H6" s="1">
        <f>INDEX(tblIndiSets!$B$5:$B$8,H5)</f>
        <v>1</v>
      </c>
      <c r="N6" s="1" t="str">
        <f>INDEX(tblIndiSets!$C$5:$C$8,H5)</f>
        <v>CATEGORÍA</v>
      </c>
      <c r="S6" s="1">
        <f>INDEX(tblIndiSets!$B$5:$B$8,S5)</f>
        <v>2</v>
      </c>
      <c r="Y6" s="1" t="str">
        <f>INDEX(tblIndiSets!$C$5:$C$8,S5)</f>
        <v>1) NORMATIVA</v>
      </c>
      <c r="AD6" s="1">
        <f>INDEX(tblIndiSets!$B$5:$B$8,AD5)</f>
        <v>22</v>
      </c>
      <c r="AJ6" s="1" t="str">
        <f>INDEX(tblIndiSets!$C$5:$C$8,AD5)</f>
        <v>2) ORGANIZATIVA</v>
      </c>
      <c r="AO6" s="1">
        <f>INDEX(tblIndiSets!$B$5:$B$8,AO5)</f>
        <v>33</v>
      </c>
      <c r="AU6" s="1" t="str">
        <f>INDEX(tblIndiSets!$C$5:$C$8,AO5)</f>
        <v>3) MERCADO</v>
      </c>
    </row>
    <row r="7" spans="1:82">
      <c r="B7" s="6" t="s">
        <v>170</v>
      </c>
      <c r="D7" s="1" t="s">
        <v>40</v>
      </c>
      <c r="E7" s="1" t="s">
        <v>41</v>
      </c>
      <c r="F7" s="6" t="s">
        <v>75</v>
      </c>
      <c r="H7" s="6" t="s">
        <v>42</v>
      </c>
      <c r="I7" s="6" t="s">
        <v>48</v>
      </c>
      <c r="J7" s="1" t="s">
        <v>45</v>
      </c>
      <c r="K7" s="1" t="s">
        <v>46</v>
      </c>
      <c r="P7" s="11" t="s">
        <v>42</v>
      </c>
      <c r="Q7" s="11"/>
      <c r="S7" s="6" t="s">
        <v>42</v>
      </c>
      <c r="T7" s="6" t="s">
        <v>48</v>
      </c>
      <c r="U7" s="1" t="s">
        <v>45</v>
      </c>
      <c r="V7" s="1" t="s">
        <v>46</v>
      </c>
      <c r="AA7" s="11" t="s">
        <v>42</v>
      </c>
      <c r="AB7" s="11"/>
      <c r="AD7" s="6" t="s">
        <v>42</v>
      </c>
      <c r="AE7" s="6" t="s">
        <v>48</v>
      </c>
      <c r="AF7" s="1" t="s">
        <v>45</v>
      </c>
      <c r="AG7" s="1" t="s">
        <v>46</v>
      </c>
      <c r="AL7" s="11" t="s">
        <v>42</v>
      </c>
      <c r="AM7" s="11"/>
      <c r="AO7" s="6" t="s">
        <v>42</v>
      </c>
      <c r="AP7" s="6" t="s">
        <v>48</v>
      </c>
      <c r="AQ7" s="1" t="s">
        <v>45</v>
      </c>
      <c r="AR7" s="1" t="s">
        <v>46</v>
      </c>
      <c r="AW7" s="11" t="s">
        <v>42</v>
      </c>
      <c r="AX7" s="11"/>
      <c r="AZ7" s="6"/>
      <c r="BA7" s="6"/>
      <c r="BH7" s="11"/>
      <c r="BI7" s="11"/>
      <c r="BK7" s="6"/>
      <c r="BL7" s="6"/>
      <c r="BS7" s="11"/>
      <c r="BV7" s="6"/>
      <c r="BW7" s="6"/>
      <c r="CD7" s="11"/>
    </row>
    <row r="8" spans="1:82">
      <c r="A8" s="1">
        <f>tblTerritories!A3</f>
        <v>1</v>
      </c>
      <c r="B8" s="1">
        <f>tblTerritories!F3</f>
        <v>1</v>
      </c>
      <c r="C8" s="1" t="str">
        <f>tblTerritories!C3</f>
        <v>Asunción</v>
      </c>
      <c r="D8" s="1">
        <v>8</v>
      </c>
      <c r="H8" s="1">
        <f t="shared" ref="H8:H29" ca="1" si="0">IF($B8=0,"",ROUND(INDEX(aScores,H$6,$A8),$B$3))</f>
        <v>29.5</v>
      </c>
      <c r="I8" s="1">
        <f ca="1">IF($B8=0,"",RANK(H8,INDIRECT(H$4&amp;":"&amp;H$3&amp;$D$5),0)+COUNTIF(H$8:H8,H8)-1)</f>
        <v>10</v>
      </c>
      <c r="J8" s="1">
        <f ca="1">IF(ISERROR(MATCH($A8,INDIRECT(I$4&amp;":"&amp;I$3&amp;$D$5),0)),"",MATCH($A8,INDIRECT(I$4&amp;":"&amp;I$3&amp;$D$5),0))</f>
        <v>3</v>
      </c>
      <c r="K8" s="10">
        <f ca="1">IF(J8="","",RANK(P8,INDIRECT(P$4&amp;":"&amp;P$3&amp;$D$5)))</f>
        <v>1</v>
      </c>
      <c r="L8" s="10">
        <f ca="1">IF(J8="","",COUNTIF(INDIRECT(P$4&amp;":"&amp;P$3&amp;$D$5),P8))</f>
        <v>1</v>
      </c>
      <c r="M8" s="10">
        <f ca="1">IF(J8="",0,INDEX(INDIRECT("B8"&amp;":"&amp;"B"&amp;$D$5),J8))</f>
        <v>1</v>
      </c>
      <c r="N8" s="11">
        <f ca="1">IF(J8="","",IF(L8&gt;1,CONCATENATE("=",K8),K8))</f>
        <v>1</v>
      </c>
      <c r="O8" s="1" t="str">
        <f ca="1">IF(J8="","",INDEX(INDIRECT("C8"&amp;":"&amp;"C"&amp;$D$5),J8))</f>
        <v>Buenos Aires</v>
      </c>
      <c r="P8" s="9">
        <f ca="1">IF(J8="","",INDEX(INDIRECT(H$4&amp;":"&amp;H$3&amp;$D$5),J8))</f>
        <v>78.8</v>
      </c>
      <c r="Q8" s="9"/>
      <c r="S8" s="1">
        <f t="shared" ref="S8:S29" ca="1" si="1">IF($B8=0,"",ROUND(INDEX(aScores,S$6,$A8),$B$3))</f>
        <v>32.799999999999997</v>
      </c>
      <c r="T8" s="1">
        <f ca="1">IF($B8=0,"",RANK(S8,INDIRECT(S$4&amp;":"&amp;S$3&amp;$D$5),0)+COUNTIF(S$8:S8,S8)-1)</f>
        <v>10</v>
      </c>
      <c r="U8" s="1">
        <f ca="1">IF(ISERROR(MATCH($A8,INDIRECT(T$4&amp;":"&amp;T$3&amp;$D$5),0)),"",MATCH($A8,INDIRECT(T$4&amp;":"&amp;T$3&amp;$D$5),0))</f>
        <v>10</v>
      </c>
      <c r="V8" s="10">
        <f ca="1">IF(U8="","",RANK(AA8,INDIRECT(AA$4&amp;":"&amp;AA$3&amp;$D$5)))</f>
        <v>1</v>
      </c>
      <c r="W8" s="10">
        <f ca="1">IF(U8="","",COUNTIF(INDIRECT(AA$4&amp;":"&amp;AA$3&amp;$D$5),AA8))</f>
        <v>1</v>
      </c>
      <c r="X8" s="10">
        <f ca="1">IF(U8="",0,INDEX(INDIRECT("B8"&amp;":"&amp;"B"&amp;$D$5),U8))</f>
        <v>1</v>
      </c>
      <c r="Y8" s="11">
        <f ca="1">IF(U8="","",IF(W8&gt;1,CONCATENATE("=",V8),V8))</f>
        <v>1</v>
      </c>
      <c r="Z8" s="1" t="str">
        <f ca="1">IF(U8="","",INDEX(INDIRECT("C8"&amp;":"&amp;"C"&amp;$D$5),U8))</f>
        <v>San Pablo</v>
      </c>
      <c r="AA8" s="9">
        <f ca="1">IF(U8="","",INDEX(INDIRECT(S$4&amp;":"&amp;S$3&amp;$D$5),U8))</f>
        <v>70.3</v>
      </c>
      <c r="AB8" s="9"/>
      <c r="AD8" s="1">
        <f t="shared" ref="AD8:AD29" ca="1" si="2">IF($B8=0,"",ROUND(INDEX(aScores,AD$6,$A8),$B$3))</f>
        <v>28.3</v>
      </c>
      <c r="AE8" s="1">
        <f ca="1">IF($B8=0,"",RANK(AD8,INDIRECT(AD$4&amp;":"&amp;AD$3&amp;$D$5),0)+COUNTIF(AD$8:AD8,AD8)-1)</f>
        <v>10</v>
      </c>
      <c r="AF8" s="1">
        <f ca="1">IF(ISERROR(MATCH($A8,INDIRECT(AE$4&amp;":"&amp;AE$3&amp;$D$5),0)),"",MATCH($A8,INDIRECT(AE$4&amp;":"&amp;AE$3&amp;$D$5),0))</f>
        <v>3</v>
      </c>
      <c r="AG8" s="10">
        <f ca="1">IF(AF8="","",RANK(AL8,INDIRECT(AL$4&amp;":"&amp;AL$3&amp;$D$5)))</f>
        <v>1</v>
      </c>
      <c r="AH8" s="10">
        <f ca="1">IF(AF8="","",COUNTIF(INDIRECT(AL$4&amp;":"&amp;AL$3&amp;$D$5),AL8))</f>
        <v>1</v>
      </c>
      <c r="AI8" s="10">
        <f ca="1">IF(AF8="",0,INDEX(INDIRECT("B8"&amp;":"&amp;"B"&amp;$D$5),AF8))</f>
        <v>1</v>
      </c>
      <c r="AJ8" s="11">
        <f ca="1">IF(AF8="","",IF(AH8&gt;1,CONCATENATE("=",AG8),AG8))</f>
        <v>1</v>
      </c>
      <c r="AK8" s="1" t="str">
        <f ca="1">IF(AF8="","",INDEX(INDIRECT("C8"&amp;":"&amp;"C"&amp;$D$5),AF8))</f>
        <v>Buenos Aires</v>
      </c>
      <c r="AL8" s="9">
        <f ca="1">IF(AF8="","",INDEX(INDIRECT(AD$4&amp;":"&amp;AD$3&amp;$D$5),AF8))</f>
        <v>79.400000000000006</v>
      </c>
      <c r="AM8" s="9"/>
      <c r="AO8" s="1">
        <f t="shared" ref="AO8:AO29" ca="1" si="3">IF($B8=0,"",ROUND(INDEX(aScores,AO$6,$A8),$B$3))</f>
        <v>27.4</v>
      </c>
      <c r="AP8" s="1">
        <f ca="1">IF($B8=0,"",RANK(AO8,INDIRECT(AO$4&amp;":"&amp;AO$3&amp;$D$5),0)+COUNTIF(AO$8:AO8,AO8)-1)</f>
        <v>11</v>
      </c>
      <c r="AQ8" s="1">
        <f ca="1">IF(ISERROR(MATCH($A8,INDIRECT(AP$4&amp;":"&amp;AP$3&amp;$D$5),0)),"",MATCH($A8,INDIRECT(AP$4&amp;":"&amp;AP$3&amp;$D$5),0))</f>
        <v>3</v>
      </c>
      <c r="AR8" s="10">
        <f ca="1">IF(AQ8="","",RANK(AW8,INDIRECT(AW$4&amp;":"&amp;AW$3&amp;$D$5)))</f>
        <v>1</v>
      </c>
      <c r="AS8" s="10">
        <f ca="1">IF(AQ8="","",COUNTIF(INDIRECT(AW$4&amp;":"&amp;AW$3&amp;$D$5),AW8))</f>
        <v>1</v>
      </c>
      <c r="AT8" s="10">
        <f ca="1">IF(AQ8="",0,INDEX(INDIRECT("B8"&amp;":"&amp;"B"&amp;$D$5),AQ8))</f>
        <v>1</v>
      </c>
      <c r="AU8" s="11">
        <f ca="1">IF(AQ8="","",IF(AS8&gt;1,CONCATENATE("=",AR8),AR8))</f>
        <v>1</v>
      </c>
      <c r="AV8" s="1" t="str">
        <f ca="1">IF(AQ8="","",INDEX(INDIRECT("C8"&amp;":"&amp;"C"&amp;$D$5),AQ8))</f>
        <v>Buenos Aires</v>
      </c>
      <c r="AW8" s="9">
        <f ca="1">IF(AQ8="","",INDEX(INDIRECT(AO$4&amp;":"&amp;AO$3&amp;$D$5),AQ8))</f>
        <v>92</v>
      </c>
      <c r="AX8" s="9"/>
      <c r="BC8" s="10"/>
      <c r="BD8" s="10"/>
      <c r="BE8" s="10"/>
      <c r="BF8" s="11"/>
      <c r="BH8" s="9"/>
      <c r="BI8" s="9"/>
      <c r="BN8" s="10"/>
      <c r="BO8" s="10"/>
      <c r="BP8" s="10"/>
      <c r="BQ8" s="11"/>
      <c r="BS8" s="9"/>
      <c r="BY8" s="10"/>
      <c r="BZ8" s="10"/>
      <c r="CA8" s="10"/>
      <c r="CB8" s="11"/>
      <c r="CD8" s="9"/>
    </row>
    <row r="9" spans="1:82">
      <c r="A9" s="1">
        <f>tblTerritories!A4</f>
        <v>2</v>
      </c>
      <c r="B9" s="1">
        <f>tblTerritories!F4</f>
        <v>1</v>
      </c>
      <c r="C9" s="1" t="str">
        <f>tblTerritories!C4</f>
        <v>Bogotá</v>
      </c>
      <c r="D9" s="1">
        <v>9</v>
      </c>
      <c r="H9" s="1">
        <f t="shared" ca="1" si="0"/>
        <v>65.099999999999994</v>
      </c>
      <c r="I9" s="1">
        <f ca="1">IF($B9=0,"",RANK(H9,INDIRECT(H$4&amp;":"&amp;H$3&amp;$D$5),0)+COUNTIF(H$8:H9,H9)-1)</f>
        <v>3</v>
      </c>
      <c r="J9" s="1">
        <f t="shared" ref="J9:J29" ca="1" si="4">IF(ISERROR(MATCH($A9,INDIRECT(I$4&amp;":"&amp;I$3&amp;$D$5),0)),"",MATCH($A9,INDIRECT(I$4&amp;":"&amp;I$3&amp;$D$5),0))</f>
        <v>10</v>
      </c>
      <c r="K9" s="10">
        <f t="shared" ref="K9:K29" ca="1" si="5">IF(J9="","",RANK(P9,INDIRECT(P$4&amp;":"&amp;P$3&amp;$D$5)))</f>
        <v>2</v>
      </c>
      <c r="L9" s="10">
        <f t="shared" ref="L9:L29" ca="1" si="6">IF(J9="","",COUNTIF(INDIRECT(P$4&amp;":"&amp;P$3&amp;$D$5),P9))</f>
        <v>1</v>
      </c>
      <c r="M9" s="10">
        <f t="shared" ref="M9:M29" ca="1" si="7">IF(J9="",0,INDEX(INDIRECT("B8"&amp;":"&amp;"B"&amp;$D$5),J9))</f>
        <v>1</v>
      </c>
      <c r="N9" s="11">
        <f t="shared" ref="N9:N18" ca="1" si="8">IF(J9="","",IF(L9&gt;1,CONCATENATE("=",K9),K9))</f>
        <v>2</v>
      </c>
      <c r="O9" s="1" t="str">
        <f t="shared" ref="O9:O29" ca="1" si="9">IF(J9="","",INDEX(INDIRECT("C8"&amp;":"&amp;"C"&amp;$D$5),J9))</f>
        <v>San Pablo</v>
      </c>
      <c r="P9" s="9">
        <f t="shared" ref="P9:P29" ca="1" si="10">IF(J9="","",INDEX(INDIRECT(H$4&amp;":"&amp;H$3&amp;$D$5),J9))</f>
        <v>70.5</v>
      </c>
      <c r="Q9" s="9"/>
      <c r="S9" s="1">
        <f t="shared" ca="1" si="1"/>
        <v>62.5</v>
      </c>
      <c r="T9" s="1">
        <f ca="1">IF($B9=0,"",RANK(S9,INDIRECT(S$4&amp;":"&amp;S$3&amp;$D$5),0)+COUNTIF(S$8:S9,S9)-1)</f>
        <v>3</v>
      </c>
      <c r="U9" s="1">
        <f t="shared" ref="U9:U29" ca="1" si="11">IF(ISERROR(MATCH($A9,INDIRECT(T$4&amp;":"&amp;T$3&amp;$D$5),0)),"",MATCH($A9,INDIRECT(T$4&amp;":"&amp;T$3&amp;$D$5),0))</f>
        <v>3</v>
      </c>
      <c r="V9" s="10">
        <f t="shared" ref="V9:V29" ca="1" si="12">IF(U9="","",RANK(AA9,INDIRECT(AA$4&amp;":"&amp;AA$3&amp;$D$5)))</f>
        <v>2</v>
      </c>
      <c r="W9" s="10">
        <f t="shared" ref="W9:W29" ca="1" si="13">IF(U9="","",COUNTIF(INDIRECT(AA$4&amp;":"&amp;AA$3&amp;$D$5),AA9))</f>
        <v>1</v>
      </c>
      <c r="X9" s="10">
        <f t="shared" ref="X9:X29" ca="1" si="14">IF(U9="",0,INDEX(INDIRECT("B8"&amp;":"&amp;"B"&amp;$D$5),U9))</f>
        <v>1</v>
      </c>
      <c r="Y9" s="11">
        <f t="shared" ref="Y9:Y18" ca="1" si="15">IF(U9="","",IF(W9&gt;1,CONCATENATE("=",V9),V9))</f>
        <v>2</v>
      </c>
      <c r="Z9" s="1" t="str">
        <f t="shared" ref="Z9:Z29" ca="1" si="16">IF(U9="","",INDEX(INDIRECT("C8"&amp;":"&amp;"C"&amp;$D$5),U9))</f>
        <v>Buenos Aires</v>
      </c>
      <c r="AA9" s="9">
        <f t="shared" ref="AA9:AA29" ca="1" si="17">IF(U9="","",INDEX(INDIRECT(S$4&amp;":"&amp;S$3&amp;$D$5),U9))</f>
        <v>65.099999999999994</v>
      </c>
      <c r="AB9" s="9"/>
      <c r="AD9" s="1">
        <f t="shared" ca="1" si="2"/>
        <v>70</v>
      </c>
      <c r="AE9" s="1">
        <f ca="1">IF($B9=0,"",RANK(AD9,INDIRECT(AD$4&amp;":"&amp;AD$3&amp;$D$5),0)+COUNTIF(AD$8:AD9,AD9)-1)</f>
        <v>2</v>
      </c>
      <c r="AF9" s="1">
        <f t="shared" ref="AF9:AF29" ca="1" si="18">IF(ISERROR(MATCH($A9,INDIRECT(AE$4&amp;":"&amp;AE$3&amp;$D$5),0)),"",MATCH($A9,INDIRECT(AE$4&amp;":"&amp;AE$3&amp;$D$5),0))</f>
        <v>2</v>
      </c>
      <c r="AG9" s="10">
        <f t="shared" ref="AG9:AG29" ca="1" si="19">IF(AF9="","",RANK(AL9,INDIRECT(AL$4&amp;":"&amp;AL$3&amp;$D$5)))</f>
        <v>2</v>
      </c>
      <c r="AH9" s="10">
        <f t="shared" ref="AH9:AH29" ca="1" si="20">IF(AF9="","",COUNTIF(INDIRECT(AL$4&amp;":"&amp;AL$3&amp;$D$5),AL9))</f>
        <v>1</v>
      </c>
      <c r="AI9" s="10">
        <f t="shared" ref="AI9:AI29" ca="1" si="21">IF(AF9="",0,INDEX(INDIRECT("B8"&amp;":"&amp;"B"&amp;$D$5),AF9))</f>
        <v>1</v>
      </c>
      <c r="AJ9" s="11">
        <f t="shared" ref="AJ9:AJ29" ca="1" si="22">IF(AF9="","",IF(AH9&gt;1,CONCATENATE("=",AG9),AG9))</f>
        <v>2</v>
      </c>
      <c r="AK9" s="1" t="str">
        <f t="shared" ref="AK9:AK29" ca="1" si="23">IF(AF9="","",INDEX(INDIRECT("C8"&amp;":"&amp;"C"&amp;$D$5),AF9))</f>
        <v>Bogotá</v>
      </c>
      <c r="AL9" s="9">
        <f t="shared" ref="AL9:AL29" ca="1" si="24">IF(AF9="","",INDEX(INDIRECT(AD$4&amp;":"&amp;AD$3&amp;$D$5),AF9))</f>
        <v>70</v>
      </c>
      <c r="AM9" s="9"/>
      <c r="AO9" s="1">
        <f t="shared" ca="1" si="3"/>
        <v>62.9</v>
      </c>
      <c r="AP9" s="1">
        <f ca="1">IF($B9=0,"",RANK(AO9,INDIRECT(AO$4&amp;":"&amp;AO$3&amp;$D$5),0)+COUNTIF(AO$8:AO9,AO9)-1)</f>
        <v>3</v>
      </c>
      <c r="AQ9" s="1">
        <f t="shared" ref="AQ9:AQ29" ca="1" si="25">IF(ISERROR(MATCH($A9,INDIRECT(AP$4&amp;":"&amp;AP$3&amp;$D$5),0)),"",MATCH($A9,INDIRECT(AP$4&amp;":"&amp;AP$3&amp;$D$5),0))</f>
        <v>10</v>
      </c>
      <c r="AR9" s="10">
        <f t="shared" ref="AR9:AR29" ca="1" si="26">IF(AQ9="","",RANK(AW9,INDIRECT(AW$4&amp;":"&amp;AW$3&amp;$D$5)))</f>
        <v>2</v>
      </c>
      <c r="AS9" s="10">
        <f t="shared" ref="AS9:AS29" ca="1" si="27">IF(AQ9="","",COUNTIF(INDIRECT(AW$4&amp;":"&amp;AW$3&amp;$D$5),AW9))</f>
        <v>1</v>
      </c>
      <c r="AT9" s="10">
        <f t="shared" ref="AT9:AT29" ca="1" si="28">IF(AQ9="",0,INDEX(INDIRECT("B8"&amp;":"&amp;"B"&amp;$D$5),AQ9))</f>
        <v>1</v>
      </c>
      <c r="AU9" s="11">
        <f t="shared" ref="AU9:AU29" ca="1" si="29">IF(AQ9="","",IF(AS9&gt;1,CONCATENATE("=",AR9),AR9))</f>
        <v>2</v>
      </c>
      <c r="AV9" s="1" t="str">
        <f t="shared" ref="AV9:AV29" ca="1" si="30">IF(AQ9="","",INDEX(INDIRECT("C8"&amp;":"&amp;"C"&amp;$D$5),AQ9))</f>
        <v>San Pablo</v>
      </c>
      <c r="AW9" s="9">
        <f t="shared" ref="AW9:AW29" ca="1" si="31">IF(AQ9="","",INDEX(INDIRECT(AO$4&amp;":"&amp;AO$3&amp;$D$5),AQ9))</f>
        <v>72.099999999999994</v>
      </c>
      <c r="AX9" s="9"/>
      <c r="BC9" s="10"/>
      <c r="BD9" s="10"/>
      <c r="BE9" s="10"/>
      <c r="BF9" s="11"/>
      <c r="BH9" s="9"/>
      <c r="BI9" s="9"/>
      <c r="BN9" s="10"/>
      <c r="BO9" s="10"/>
      <c r="BP9" s="10"/>
      <c r="BQ9" s="11"/>
      <c r="BS9" s="9"/>
      <c r="BY9" s="10"/>
      <c r="BZ9" s="10"/>
      <c r="CA9" s="10"/>
      <c r="CB9" s="11"/>
      <c r="CD9" s="9"/>
    </row>
    <row r="10" spans="1:82">
      <c r="A10" s="1">
        <f>tblTerritories!A5</f>
        <v>3</v>
      </c>
      <c r="B10" s="1">
        <f>tblTerritories!F5</f>
        <v>1</v>
      </c>
      <c r="C10" s="1" t="str">
        <f>tblTerritories!C5</f>
        <v>Buenos Aires</v>
      </c>
      <c r="H10" s="1">
        <f t="shared" ca="1" si="0"/>
        <v>78.8</v>
      </c>
      <c r="I10" s="1">
        <f ca="1">IF($B10=0,"",RANK(H10,INDIRECT(H$4&amp;":"&amp;H$3&amp;$D$5),0)+COUNTIF(H$8:H10,H10)-1)</f>
        <v>1</v>
      </c>
      <c r="J10" s="1">
        <f t="shared" ca="1" si="4"/>
        <v>2</v>
      </c>
      <c r="K10" s="10">
        <f t="shared" ca="1" si="5"/>
        <v>3</v>
      </c>
      <c r="L10" s="10">
        <f t="shared" ca="1" si="6"/>
        <v>1</v>
      </c>
      <c r="M10" s="10">
        <f t="shared" ca="1" si="7"/>
        <v>1</v>
      </c>
      <c r="N10" s="11">
        <f t="shared" ca="1" si="8"/>
        <v>3</v>
      </c>
      <c r="O10" s="1" t="str">
        <f t="shared" ca="1" si="9"/>
        <v>Bogotá</v>
      </c>
      <c r="P10" s="9">
        <f t="shared" ca="1" si="10"/>
        <v>65.099999999999994</v>
      </c>
      <c r="Q10" s="9"/>
      <c r="S10" s="1">
        <f t="shared" ca="1" si="1"/>
        <v>65.099999999999994</v>
      </c>
      <c r="T10" s="1">
        <f ca="1">IF($B10=0,"",RANK(S10,INDIRECT(S$4&amp;":"&amp;S$3&amp;$D$5),0)+COUNTIF(S$8:S10,S10)-1)</f>
        <v>2</v>
      </c>
      <c r="U10" s="1">
        <f t="shared" ca="1" si="11"/>
        <v>2</v>
      </c>
      <c r="V10" s="10">
        <f t="shared" ca="1" si="12"/>
        <v>3</v>
      </c>
      <c r="W10" s="10">
        <f t="shared" ca="1" si="13"/>
        <v>2</v>
      </c>
      <c r="X10" s="10">
        <f t="shared" ca="1" si="14"/>
        <v>1</v>
      </c>
      <c r="Y10" s="11" t="str">
        <f t="shared" ca="1" si="15"/>
        <v>=3</v>
      </c>
      <c r="Z10" s="1" t="str">
        <f t="shared" ca="1" si="16"/>
        <v>Bogotá</v>
      </c>
      <c r="AA10" s="9">
        <f t="shared" ca="1" si="17"/>
        <v>62.5</v>
      </c>
      <c r="AB10" s="9"/>
      <c r="AD10" s="1">
        <f t="shared" ca="1" si="2"/>
        <v>79.400000000000006</v>
      </c>
      <c r="AE10" s="1">
        <f ca="1">IF($B10=0,"",RANK(AD10,INDIRECT(AD$4&amp;":"&amp;AD$3&amp;$D$5),0)+COUNTIF(AD$8:AD10,AD10)-1)</f>
        <v>1</v>
      </c>
      <c r="AF10" s="1">
        <f t="shared" ca="1" si="18"/>
        <v>10</v>
      </c>
      <c r="AG10" s="10">
        <f t="shared" ca="1" si="19"/>
        <v>3</v>
      </c>
      <c r="AH10" s="10">
        <f t="shared" ca="1" si="20"/>
        <v>1</v>
      </c>
      <c r="AI10" s="10">
        <f t="shared" ca="1" si="21"/>
        <v>1</v>
      </c>
      <c r="AJ10" s="11">
        <f t="shared" ca="1" si="22"/>
        <v>3</v>
      </c>
      <c r="AK10" s="1" t="str">
        <f t="shared" ca="1" si="23"/>
        <v>San Pablo</v>
      </c>
      <c r="AL10" s="9">
        <f t="shared" ca="1" si="24"/>
        <v>68.900000000000006</v>
      </c>
      <c r="AM10" s="9"/>
      <c r="AO10" s="1">
        <f t="shared" ca="1" si="3"/>
        <v>92</v>
      </c>
      <c r="AP10" s="1">
        <f ca="1">IF($B10=0,"",RANK(AO10,INDIRECT(AO$4&amp;":"&amp;AO$3&amp;$D$5),0)+COUNTIF(AO$8:AO10,AO10)-1)</f>
        <v>1</v>
      </c>
      <c r="AQ10" s="1">
        <f t="shared" ca="1" si="25"/>
        <v>2</v>
      </c>
      <c r="AR10" s="10">
        <f t="shared" ca="1" si="26"/>
        <v>3</v>
      </c>
      <c r="AS10" s="10">
        <f t="shared" ca="1" si="27"/>
        <v>1</v>
      </c>
      <c r="AT10" s="10">
        <f t="shared" ca="1" si="28"/>
        <v>1</v>
      </c>
      <c r="AU10" s="11">
        <f t="shared" ca="1" si="29"/>
        <v>3</v>
      </c>
      <c r="AV10" s="1" t="str">
        <f t="shared" ca="1" si="30"/>
        <v>Bogotá</v>
      </c>
      <c r="AW10" s="9">
        <f t="shared" ca="1" si="31"/>
        <v>62.9</v>
      </c>
      <c r="AX10" s="9"/>
      <c r="BC10" s="10"/>
      <c r="BD10" s="10"/>
      <c r="BE10" s="10"/>
      <c r="BF10" s="11"/>
      <c r="BH10" s="9"/>
      <c r="BI10" s="9"/>
      <c r="BN10" s="10"/>
      <c r="BO10" s="10"/>
      <c r="BP10" s="10"/>
      <c r="BQ10" s="11"/>
      <c r="BS10" s="9"/>
      <c r="BY10" s="10"/>
      <c r="BZ10" s="10"/>
      <c r="CA10" s="10"/>
      <c r="CB10" s="11"/>
      <c r="CD10" s="9"/>
    </row>
    <row r="11" spans="1:82">
      <c r="A11" s="1">
        <f>tblTerritories!A6</f>
        <v>4</v>
      </c>
      <c r="B11" s="1">
        <f>tblTerritories!F6</f>
        <v>1</v>
      </c>
      <c r="C11" s="1" t="str">
        <f>tblTerritories!C6</f>
        <v>Ciudad de Belice</v>
      </c>
      <c r="H11" s="1">
        <f t="shared" ca="1" si="0"/>
        <v>17.399999999999999</v>
      </c>
      <c r="I11" s="1">
        <f ca="1">IF($B11=0,"",RANK(H11,INDIRECT(H$4&amp;":"&amp;H$3&amp;$D$5),0)+COUNTIF(H$8:H11,H11)-1)</f>
        <v>11</v>
      </c>
      <c r="J11" s="1">
        <f t="shared" ca="1" si="4"/>
        <v>6</v>
      </c>
      <c r="K11" s="10">
        <f t="shared" ca="1" si="5"/>
        <v>4</v>
      </c>
      <c r="L11" s="10">
        <f t="shared" ca="1" si="6"/>
        <v>1</v>
      </c>
      <c r="M11" s="10">
        <f t="shared" ca="1" si="7"/>
        <v>1</v>
      </c>
      <c r="N11" s="11">
        <f t="shared" ca="1" si="8"/>
        <v>4</v>
      </c>
      <c r="O11" s="1" t="str">
        <f t="shared" ca="1" si="9"/>
        <v>Lima</v>
      </c>
      <c r="P11" s="9">
        <f t="shared" ca="1" si="10"/>
        <v>53.8</v>
      </c>
      <c r="Q11" s="9"/>
      <c r="S11" s="1">
        <f t="shared" ca="1" si="1"/>
        <v>15.6</v>
      </c>
      <c r="T11" s="1">
        <f ca="1">IF($B11=0,"",RANK(S11,INDIRECT(S$4&amp;":"&amp;S$3&amp;$D$5),0)+COUNTIF(S$8:S11,S11)-1)</f>
        <v>12</v>
      </c>
      <c r="U11" s="1">
        <f t="shared" ca="1" si="11"/>
        <v>6</v>
      </c>
      <c r="V11" s="10">
        <f t="shared" ca="1" si="12"/>
        <v>3</v>
      </c>
      <c r="W11" s="10">
        <f t="shared" ca="1" si="13"/>
        <v>2</v>
      </c>
      <c r="X11" s="10">
        <f t="shared" ca="1" si="14"/>
        <v>1</v>
      </c>
      <c r="Y11" s="11" t="str">
        <f t="shared" ca="1" si="15"/>
        <v>=3</v>
      </c>
      <c r="Z11" s="1" t="str">
        <f t="shared" ca="1" si="16"/>
        <v>Lima</v>
      </c>
      <c r="AA11" s="9">
        <f t="shared" ca="1" si="17"/>
        <v>62.5</v>
      </c>
      <c r="AB11" s="9"/>
      <c r="AD11" s="1">
        <f t="shared" ca="1" si="2"/>
        <v>0</v>
      </c>
      <c r="AE11" s="1">
        <f ca="1">IF($B11=0,"",RANK(AD11,INDIRECT(AD$4&amp;":"&amp;AD$3&amp;$D$5),0)+COUNTIF(AD$8:AD11,AD11)-1)</f>
        <v>11</v>
      </c>
      <c r="AF11" s="1">
        <f t="shared" ca="1" si="18"/>
        <v>5</v>
      </c>
      <c r="AG11" s="10">
        <f t="shared" ca="1" si="19"/>
        <v>4</v>
      </c>
      <c r="AH11" s="10">
        <f t="shared" ca="1" si="20"/>
        <v>1</v>
      </c>
      <c r="AI11" s="10">
        <f t="shared" ca="1" si="21"/>
        <v>1</v>
      </c>
      <c r="AJ11" s="11">
        <f t="shared" ca="1" si="22"/>
        <v>4</v>
      </c>
      <c r="AK11" s="1" t="str">
        <f t="shared" ca="1" si="23"/>
        <v>Ciudad de México</v>
      </c>
      <c r="AL11" s="9">
        <f t="shared" ca="1" si="24"/>
        <v>51.7</v>
      </c>
      <c r="AM11" s="9"/>
      <c r="AO11" s="1">
        <f t="shared" ca="1" si="3"/>
        <v>36.6</v>
      </c>
      <c r="AP11" s="1">
        <f ca="1">IF($B11=0,"",RANK(AO11,INDIRECT(AO$4&amp;":"&amp;AO$3&amp;$D$5),0)+COUNTIF(AO$8:AO11,AO11)-1)</f>
        <v>9</v>
      </c>
      <c r="AQ11" s="1">
        <f t="shared" ca="1" si="25"/>
        <v>12</v>
      </c>
      <c r="AR11" s="10">
        <f t="shared" ca="1" si="26"/>
        <v>4</v>
      </c>
      <c r="AS11" s="10">
        <f t="shared" ca="1" si="27"/>
        <v>1</v>
      </c>
      <c r="AT11" s="10">
        <f t="shared" ca="1" si="28"/>
        <v>1</v>
      </c>
      <c r="AU11" s="11">
        <f t="shared" ca="1" si="29"/>
        <v>4</v>
      </c>
      <c r="AV11" s="1" t="str">
        <f t="shared" ca="1" si="30"/>
        <v>Santiago de Chile</v>
      </c>
      <c r="AW11" s="9">
        <f t="shared" ca="1" si="31"/>
        <v>55.4</v>
      </c>
      <c r="AX11" s="9"/>
      <c r="BC11" s="10"/>
      <c r="BD11" s="10"/>
      <c r="BE11" s="10"/>
      <c r="BF11" s="11"/>
      <c r="BH11" s="9"/>
      <c r="BI11" s="9"/>
      <c r="BN11" s="10"/>
      <c r="BO11" s="10"/>
      <c r="BP11" s="10"/>
      <c r="BQ11" s="11"/>
      <c r="BS11" s="9"/>
      <c r="BY11" s="10"/>
      <c r="BZ11" s="10"/>
      <c r="CA11" s="10"/>
      <c r="CB11" s="11"/>
      <c r="CD11" s="9"/>
    </row>
    <row r="12" spans="1:82">
      <c r="A12" s="1">
        <f>tblTerritories!A7</f>
        <v>5</v>
      </c>
      <c r="B12" s="1">
        <f>tblTerritories!F7</f>
        <v>1</v>
      </c>
      <c r="C12" s="1" t="str">
        <f>tblTerritories!C7</f>
        <v>Ciudad de México</v>
      </c>
      <c r="H12" s="1">
        <f t="shared" ca="1" si="0"/>
        <v>45.3</v>
      </c>
      <c r="I12" s="1">
        <f ca="1">IF($B12=0,"",RANK(H12,INDIRECT(H$4&amp;":"&amp;H$3&amp;$D$5),0)+COUNTIF(H$8:H12,H12)-1)</f>
        <v>6</v>
      </c>
      <c r="J12" s="1">
        <f t="shared" ca="1" si="4"/>
        <v>11</v>
      </c>
      <c r="K12" s="10">
        <f t="shared" ca="1" si="5"/>
        <v>5</v>
      </c>
      <c r="L12" s="10">
        <f t="shared" ca="1" si="6"/>
        <v>1</v>
      </c>
      <c r="M12" s="10">
        <f t="shared" ca="1" si="7"/>
        <v>1</v>
      </c>
      <c r="N12" s="11">
        <f t="shared" ca="1" si="8"/>
        <v>5</v>
      </c>
      <c r="O12" s="1" t="str">
        <f t="shared" ca="1" si="9"/>
        <v>Santa Cruz</v>
      </c>
      <c r="P12" s="9">
        <f t="shared" ca="1" si="10"/>
        <v>48.8</v>
      </c>
      <c r="Q12" s="9"/>
      <c r="S12" s="1">
        <f t="shared" ca="1" si="1"/>
        <v>33.9</v>
      </c>
      <c r="T12" s="1">
        <f ca="1">IF($B12=0,"",RANK(S12,INDIRECT(S$4&amp;":"&amp;S$3&amp;$D$5),0)+COUNTIF(S$8:S12,S12)-1)</f>
        <v>9</v>
      </c>
      <c r="U12" s="1">
        <f t="shared" ca="1" si="11"/>
        <v>11</v>
      </c>
      <c r="V12" s="10">
        <f t="shared" ca="1" si="12"/>
        <v>5</v>
      </c>
      <c r="W12" s="10">
        <f t="shared" ca="1" si="13"/>
        <v>1</v>
      </c>
      <c r="X12" s="10">
        <f t="shared" ca="1" si="14"/>
        <v>1</v>
      </c>
      <c r="Y12" s="11">
        <f t="shared" ca="1" si="15"/>
        <v>5</v>
      </c>
      <c r="Z12" s="1" t="str">
        <f t="shared" ca="1" si="16"/>
        <v>Santa Cruz</v>
      </c>
      <c r="AA12" s="9">
        <f t="shared" ca="1" si="17"/>
        <v>52.1</v>
      </c>
      <c r="AB12" s="9"/>
      <c r="AD12" s="1">
        <f t="shared" ca="1" si="2"/>
        <v>51.7</v>
      </c>
      <c r="AE12" s="1">
        <f ca="1">IF($B12=0,"",RANK(AD12,INDIRECT(AD$4&amp;":"&amp;AD$3&amp;$D$5),0)+COUNTIF(AD$8:AD12,AD12)-1)</f>
        <v>4</v>
      </c>
      <c r="AF12" s="1">
        <f t="shared" ca="1" si="18"/>
        <v>6</v>
      </c>
      <c r="AG12" s="10">
        <f t="shared" ca="1" si="19"/>
        <v>5</v>
      </c>
      <c r="AH12" s="10">
        <f t="shared" ca="1" si="20"/>
        <v>3</v>
      </c>
      <c r="AI12" s="10">
        <f t="shared" ca="1" si="21"/>
        <v>1</v>
      </c>
      <c r="AJ12" s="11" t="str">
        <f t="shared" ca="1" si="22"/>
        <v>=5</v>
      </c>
      <c r="AK12" s="1" t="str">
        <f t="shared" ca="1" si="23"/>
        <v>Lima</v>
      </c>
      <c r="AL12" s="9">
        <f t="shared" ca="1" si="24"/>
        <v>46.7</v>
      </c>
      <c r="AM12" s="9"/>
      <c r="AO12" s="1">
        <f t="shared" ca="1" si="3"/>
        <v>50.5</v>
      </c>
      <c r="AP12" s="1">
        <f ca="1">IF($B12=0,"",RANK(AO12,INDIRECT(AO$4&amp;":"&amp;AO$3&amp;$D$5),0)+COUNTIF(AO$8:AO12,AO12)-1)</f>
        <v>6</v>
      </c>
      <c r="AQ12" s="1">
        <f t="shared" ca="1" si="25"/>
        <v>6</v>
      </c>
      <c r="AR12" s="10">
        <f t="shared" ca="1" si="26"/>
        <v>5</v>
      </c>
      <c r="AS12" s="10">
        <f t="shared" ca="1" si="27"/>
        <v>1</v>
      </c>
      <c r="AT12" s="10">
        <f t="shared" ca="1" si="28"/>
        <v>1</v>
      </c>
      <c r="AU12" s="11">
        <f t="shared" ca="1" si="29"/>
        <v>5</v>
      </c>
      <c r="AV12" s="1" t="str">
        <f t="shared" ca="1" si="30"/>
        <v>Lima</v>
      </c>
      <c r="AW12" s="9">
        <f t="shared" ca="1" si="31"/>
        <v>52.1</v>
      </c>
      <c r="AX12" s="9"/>
      <c r="BC12" s="10"/>
      <c r="BD12" s="10"/>
      <c r="BE12" s="10"/>
      <c r="BF12" s="11"/>
      <c r="BH12" s="9"/>
      <c r="BI12" s="9"/>
      <c r="BN12" s="10"/>
      <c r="BO12" s="10"/>
      <c r="BP12" s="10"/>
      <c r="BQ12" s="11"/>
      <c r="BS12" s="9"/>
      <c r="BY12" s="10"/>
      <c r="BZ12" s="10"/>
      <c r="CA12" s="10"/>
      <c r="CB12" s="11"/>
      <c r="CD12" s="9"/>
    </row>
    <row r="13" spans="1:82">
      <c r="A13" s="1">
        <f>tblTerritories!A8</f>
        <v>6</v>
      </c>
      <c r="B13" s="1">
        <f>tblTerritories!F8</f>
        <v>1</v>
      </c>
      <c r="C13" s="1" t="str">
        <f>tblTerritories!C8</f>
        <v>Lima</v>
      </c>
      <c r="H13" s="1">
        <f t="shared" ca="1" si="0"/>
        <v>53.8</v>
      </c>
      <c r="I13" s="1">
        <f ca="1">IF($B13=0,"",RANK(H13,INDIRECT(H$4&amp;":"&amp;H$3&amp;$D$5),0)+COUNTIF(H$8:H13,H13)-1)</f>
        <v>4</v>
      </c>
      <c r="J13" s="1">
        <f t="shared" ca="1" si="4"/>
        <v>5</v>
      </c>
      <c r="K13" s="10">
        <f t="shared" ca="1" si="5"/>
        <v>6</v>
      </c>
      <c r="L13" s="10">
        <f t="shared" ca="1" si="6"/>
        <v>1</v>
      </c>
      <c r="M13" s="10">
        <f t="shared" ca="1" si="7"/>
        <v>1</v>
      </c>
      <c r="N13" s="11">
        <f t="shared" ca="1" si="8"/>
        <v>6</v>
      </c>
      <c r="O13" s="1" t="str">
        <f t="shared" ca="1" si="9"/>
        <v>Ciudad de México</v>
      </c>
      <c r="P13" s="9">
        <f t="shared" ca="1" si="10"/>
        <v>45.3</v>
      </c>
      <c r="Q13" s="9"/>
      <c r="S13" s="1">
        <f t="shared" ca="1" si="1"/>
        <v>62.5</v>
      </c>
      <c r="T13" s="1">
        <f ca="1">IF($B13=0,"",RANK(S13,INDIRECT(S$4&amp;":"&amp;S$3&amp;$D$5),0)+COUNTIF(S$8:S13,S13)-1)</f>
        <v>4</v>
      </c>
      <c r="U13" s="1">
        <f t="shared" ca="1" si="11"/>
        <v>7</v>
      </c>
      <c r="V13" s="10">
        <f t="shared" ca="1" si="12"/>
        <v>6</v>
      </c>
      <c r="W13" s="10">
        <f t="shared" ca="1" si="13"/>
        <v>1</v>
      </c>
      <c r="X13" s="10">
        <f t="shared" ca="1" si="14"/>
        <v>1</v>
      </c>
      <c r="Y13" s="11">
        <f t="shared" ca="1" si="15"/>
        <v>6</v>
      </c>
      <c r="Z13" s="1" t="str">
        <f t="shared" ca="1" si="16"/>
        <v>Montevideo</v>
      </c>
      <c r="AA13" s="9">
        <f t="shared" ca="1" si="17"/>
        <v>43.2</v>
      </c>
      <c r="AB13" s="9"/>
      <c r="AD13" s="1">
        <f t="shared" ca="1" si="2"/>
        <v>46.7</v>
      </c>
      <c r="AE13" s="1">
        <f ca="1">IF($B13=0,"",RANK(AD13,INDIRECT(AD$4&amp;":"&amp;AD$3&amp;$D$5),0)+COUNTIF(AD$8:AD13,AD13)-1)</f>
        <v>5</v>
      </c>
      <c r="AF13" s="1">
        <f t="shared" ca="1" si="18"/>
        <v>8</v>
      </c>
      <c r="AG13" s="10">
        <f t="shared" ca="1" si="19"/>
        <v>5</v>
      </c>
      <c r="AH13" s="10">
        <f t="shared" ca="1" si="20"/>
        <v>3</v>
      </c>
      <c r="AI13" s="10">
        <f t="shared" ca="1" si="21"/>
        <v>1</v>
      </c>
      <c r="AJ13" s="11" t="str">
        <f t="shared" ca="1" si="22"/>
        <v>=5</v>
      </c>
      <c r="AK13" s="1" t="str">
        <f t="shared" ca="1" si="23"/>
        <v>Quito</v>
      </c>
      <c r="AL13" s="9">
        <f t="shared" ca="1" si="24"/>
        <v>46.7</v>
      </c>
      <c r="AM13" s="9"/>
      <c r="AO13" s="1">
        <f t="shared" ca="1" si="3"/>
        <v>52.1</v>
      </c>
      <c r="AP13" s="1">
        <f ca="1">IF($B13=0,"",RANK(AO13,INDIRECT(AO$4&amp;":"&amp;AO$3&amp;$D$5),0)+COUNTIF(AO$8:AO13,AO13)-1)</f>
        <v>5</v>
      </c>
      <c r="AQ13" s="1">
        <f t="shared" ca="1" si="25"/>
        <v>5</v>
      </c>
      <c r="AR13" s="10">
        <f t="shared" ca="1" si="26"/>
        <v>6</v>
      </c>
      <c r="AS13" s="10">
        <f t="shared" ca="1" si="27"/>
        <v>1</v>
      </c>
      <c r="AT13" s="10">
        <f t="shared" ca="1" si="28"/>
        <v>1</v>
      </c>
      <c r="AU13" s="11">
        <f t="shared" ca="1" si="29"/>
        <v>6</v>
      </c>
      <c r="AV13" s="1" t="str">
        <f t="shared" ca="1" si="30"/>
        <v>Ciudad de México</v>
      </c>
      <c r="AW13" s="9">
        <f t="shared" ca="1" si="31"/>
        <v>50.5</v>
      </c>
      <c r="AX13" s="9"/>
      <c r="BC13" s="10"/>
      <c r="BD13" s="10"/>
      <c r="BE13" s="10"/>
      <c r="BF13" s="11"/>
      <c r="BH13" s="9"/>
      <c r="BI13" s="9"/>
      <c r="BN13" s="10"/>
      <c r="BO13" s="10"/>
      <c r="BP13" s="10"/>
      <c r="BQ13" s="11"/>
      <c r="BS13" s="9"/>
      <c r="BY13" s="10"/>
      <c r="BZ13" s="10"/>
      <c r="CA13" s="10"/>
      <c r="CB13" s="11"/>
      <c r="CD13" s="9"/>
    </row>
    <row r="14" spans="1:82">
      <c r="A14" s="1">
        <f>tblTerritories!A9</f>
        <v>7</v>
      </c>
      <c r="B14" s="1">
        <f>tblTerritories!F9</f>
        <v>1</v>
      </c>
      <c r="C14" s="1" t="str">
        <f>tblTerritories!C9</f>
        <v>Montevideo</v>
      </c>
      <c r="H14" s="1">
        <f t="shared" ca="1" si="0"/>
        <v>39.299999999999997</v>
      </c>
      <c r="I14" s="1">
        <f ca="1">IF($B14=0,"",RANK(H14,INDIRECT(H$4&amp;":"&amp;H$3&amp;$D$5),0)+COUNTIF(H$8:H14,H14)-1)</f>
        <v>9</v>
      </c>
      <c r="J14" s="1">
        <f t="shared" ca="1" si="4"/>
        <v>12</v>
      </c>
      <c r="K14" s="10">
        <f t="shared" ca="1" si="5"/>
        <v>7</v>
      </c>
      <c r="L14" s="10">
        <f t="shared" ca="1" si="6"/>
        <v>1</v>
      </c>
      <c r="M14" s="10">
        <f t="shared" ca="1" si="7"/>
        <v>1</v>
      </c>
      <c r="N14" s="11">
        <f t="shared" ca="1" si="8"/>
        <v>7</v>
      </c>
      <c r="O14" s="1" t="str">
        <f t="shared" ca="1" si="9"/>
        <v>Santiago de Chile</v>
      </c>
      <c r="P14" s="9">
        <f t="shared" ca="1" si="10"/>
        <v>43</v>
      </c>
      <c r="Q14" s="9"/>
      <c r="S14" s="1">
        <f t="shared" ca="1" si="1"/>
        <v>43.2</v>
      </c>
      <c r="T14" s="1">
        <f ca="1">IF($B14=0,"",RANK(S14,INDIRECT(S$4&amp;":"&amp;S$3&amp;$D$5),0)+COUNTIF(S$8:S14,S14)-1)</f>
        <v>6</v>
      </c>
      <c r="U14" s="1">
        <f t="shared" ca="1" si="11"/>
        <v>8</v>
      </c>
      <c r="V14" s="10">
        <f t="shared" ca="1" si="12"/>
        <v>7</v>
      </c>
      <c r="W14" s="10">
        <f t="shared" ca="1" si="13"/>
        <v>1</v>
      </c>
      <c r="X14" s="10">
        <f t="shared" ca="1" si="14"/>
        <v>1</v>
      </c>
      <c r="Y14" s="11">
        <f t="shared" ca="1" si="15"/>
        <v>7</v>
      </c>
      <c r="Z14" s="1" t="str">
        <f t="shared" ca="1" si="16"/>
        <v>Quito</v>
      </c>
      <c r="AA14" s="9">
        <f t="shared" ca="1" si="17"/>
        <v>42.2</v>
      </c>
      <c r="AB14" s="9"/>
      <c r="AD14" s="1">
        <f t="shared" ca="1" si="2"/>
        <v>33.299999999999997</v>
      </c>
      <c r="AE14" s="1">
        <f ca="1">IF($B14=0,"",RANK(AD14,INDIRECT(AD$4&amp;":"&amp;AD$3&amp;$D$5),0)+COUNTIF(AD$8:AD14,AD14)-1)</f>
        <v>9</v>
      </c>
      <c r="AF14" s="1">
        <f t="shared" ca="1" si="18"/>
        <v>11</v>
      </c>
      <c r="AG14" s="10">
        <f t="shared" ca="1" si="19"/>
        <v>5</v>
      </c>
      <c r="AH14" s="10">
        <f t="shared" ca="1" si="20"/>
        <v>3</v>
      </c>
      <c r="AI14" s="10">
        <f t="shared" ca="1" si="21"/>
        <v>1</v>
      </c>
      <c r="AJ14" s="11" t="str">
        <f t="shared" ca="1" si="22"/>
        <v>=5</v>
      </c>
      <c r="AK14" s="1" t="str">
        <f t="shared" ca="1" si="23"/>
        <v>Santa Cruz</v>
      </c>
      <c r="AL14" s="9">
        <f t="shared" ca="1" si="24"/>
        <v>46.7</v>
      </c>
      <c r="AM14" s="9"/>
      <c r="AO14" s="1">
        <f t="shared" ca="1" si="3"/>
        <v>41.2</v>
      </c>
      <c r="AP14" s="1">
        <f ca="1">IF($B14=0,"",RANK(AO14,INDIRECT(AO$4&amp;":"&amp;AO$3&amp;$D$5),0)+COUNTIF(AO$8:AO14,AO14)-1)</f>
        <v>8</v>
      </c>
      <c r="AQ14" s="1">
        <f t="shared" ca="1" si="25"/>
        <v>11</v>
      </c>
      <c r="AR14" s="10">
        <f t="shared" ca="1" si="26"/>
        <v>7</v>
      </c>
      <c r="AS14" s="10">
        <f t="shared" ca="1" si="27"/>
        <v>1</v>
      </c>
      <c r="AT14" s="10">
        <f t="shared" ca="1" si="28"/>
        <v>1</v>
      </c>
      <c r="AU14" s="11">
        <f t="shared" ca="1" si="29"/>
        <v>7</v>
      </c>
      <c r="AV14" s="1" t="str">
        <f t="shared" ca="1" si="30"/>
        <v>Santa Cruz</v>
      </c>
      <c r="AW14" s="9">
        <f t="shared" ca="1" si="31"/>
        <v>47.8</v>
      </c>
      <c r="AX14" s="9"/>
      <c r="BC14" s="10"/>
      <c r="BD14" s="10"/>
      <c r="BE14" s="10"/>
      <c r="BF14" s="11"/>
      <c r="BH14" s="9"/>
      <c r="BI14" s="9"/>
      <c r="BN14" s="10"/>
      <c r="BO14" s="10"/>
      <c r="BP14" s="10"/>
      <c r="BQ14" s="11"/>
      <c r="BS14" s="9"/>
      <c r="BY14" s="10"/>
      <c r="BZ14" s="10"/>
      <c r="CA14" s="10"/>
      <c r="CB14" s="11"/>
      <c r="CD14" s="9"/>
    </row>
    <row r="15" spans="1:82">
      <c r="A15" s="1">
        <f>tblTerritories!A10</f>
        <v>8</v>
      </c>
      <c r="B15" s="1">
        <f>tblTerritories!F10</f>
        <v>1</v>
      </c>
      <c r="C15" s="1" t="str">
        <f>tblTerritories!C10</f>
        <v>Quito</v>
      </c>
      <c r="H15" s="1">
        <f t="shared" ca="1" si="0"/>
        <v>41.2</v>
      </c>
      <c r="I15" s="1">
        <f ca="1">IF($B15=0,"",RANK(H15,INDIRECT(H$4&amp;":"&amp;H$3&amp;$D$5),0)+COUNTIF(H$8:H15,H15)-1)</f>
        <v>8</v>
      </c>
      <c r="J15" s="1">
        <f t="shared" ca="1" si="4"/>
        <v>8</v>
      </c>
      <c r="K15" s="10">
        <f t="shared" ca="1" si="5"/>
        <v>8</v>
      </c>
      <c r="L15" s="10">
        <f t="shared" ca="1" si="6"/>
        <v>1</v>
      </c>
      <c r="M15" s="10">
        <f t="shared" ca="1" si="7"/>
        <v>1</v>
      </c>
      <c r="N15" s="11">
        <f t="shared" ca="1" si="8"/>
        <v>8</v>
      </c>
      <c r="O15" s="1" t="str">
        <f t="shared" ca="1" si="9"/>
        <v>Quito</v>
      </c>
      <c r="P15" s="9">
        <f t="shared" ca="1" si="10"/>
        <v>41.2</v>
      </c>
      <c r="Q15" s="9"/>
      <c r="S15" s="1">
        <f t="shared" ca="1" si="1"/>
        <v>42.2</v>
      </c>
      <c r="T15" s="1">
        <f ca="1">IF($B15=0,"",RANK(S15,INDIRECT(S$4&amp;":"&amp;S$3&amp;$D$5),0)+COUNTIF(S$8:S15,S15)-1)</f>
        <v>7</v>
      </c>
      <c r="U15" s="1">
        <f t="shared" ca="1" si="11"/>
        <v>12</v>
      </c>
      <c r="V15" s="10">
        <f t="shared" ca="1" si="12"/>
        <v>8</v>
      </c>
      <c r="W15" s="10">
        <f t="shared" ca="1" si="13"/>
        <v>1</v>
      </c>
      <c r="X15" s="10">
        <f t="shared" ca="1" si="14"/>
        <v>1</v>
      </c>
      <c r="Y15" s="11">
        <f t="shared" ca="1" si="15"/>
        <v>8</v>
      </c>
      <c r="Z15" s="1" t="str">
        <f t="shared" ca="1" si="16"/>
        <v>Santiago de Chile</v>
      </c>
      <c r="AA15" s="9">
        <f t="shared" ca="1" si="17"/>
        <v>39.1</v>
      </c>
      <c r="AB15" s="9"/>
      <c r="AD15" s="1">
        <f t="shared" ca="1" si="2"/>
        <v>46.7</v>
      </c>
      <c r="AE15" s="1">
        <f ca="1">IF($B15=0,"",RANK(AD15,INDIRECT(AD$4&amp;":"&amp;AD$3&amp;$D$5),0)+COUNTIF(AD$8:AD15,AD15)-1)</f>
        <v>6</v>
      </c>
      <c r="AF15" s="1">
        <f t="shared" ca="1" si="18"/>
        <v>12</v>
      </c>
      <c r="AG15" s="10">
        <f t="shared" ca="1" si="19"/>
        <v>8</v>
      </c>
      <c r="AH15" s="10">
        <f t="shared" ca="1" si="20"/>
        <v>1</v>
      </c>
      <c r="AI15" s="10">
        <f t="shared" ca="1" si="21"/>
        <v>1</v>
      </c>
      <c r="AJ15" s="11">
        <f t="shared" ca="1" si="22"/>
        <v>8</v>
      </c>
      <c r="AK15" s="1" t="str">
        <f t="shared" ca="1" si="23"/>
        <v>Santiago de Chile</v>
      </c>
      <c r="AL15" s="9">
        <f t="shared" ca="1" si="24"/>
        <v>34.4</v>
      </c>
      <c r="AM15" s="9"/>
      <c r="AO15" s="1">
        <f t="shared" ca="1" si="3"/>
        <v>34.9</v>
      </c>
      <c r="AP15" s="1">
        <f ca="1">IF($B15=0,"",RANK(AO15,INDIRECT(AO$4&amp;":"&amp;AO$3&amp;$D$5),0)+COUNTIF(AO$8:AO15,AO15)-1)</f>
        <v>10</v>
      </c>
      <c r="AQ15" s="1">
        <f t="shared" ca="1" si="25"/>
        <v>7</v>
      </c>
      <c r="AR15" s="10">
        <f t="shared" ca="1" si="26"/>
        <v>8</v>
      </c>
      <c r="AS15" s="10">
        <f t="shared" ca="1" si="27"/>
        <v>1</v>
      </c>
      <c r="AT15" s="10">
        <f t="shared" ca="1" si="28"/>
        <v>1</v>
      </c>
      <c r="AU15" s="11">
        <f t="shared" ca="1" si="29"/>
        <v>8</v>
      </c>
      <c r="AV15" s="1" t="str">
        <f t="shared" ca="1" si="30"/>
        <v>Montevideo</v>
      </c>
      <c r="AW15" s="9">
        <f t="shared" ca="1" si="31"/>
        <v>41.2</v>
      </c>
      <c r="AX15" s="9"/>
      <c r="BC15" s="10"/>
      <c r="BD15" s="10"/>
      <c r="BE15" s="10"/>
      <c r="BF15" s="11"/>
      <c r="BH15" s="9"/>
      <c r="BI15" s="9"/>
      <c r="BN15" s="10"/>
      <c r="BO15" s="10"/>
      <c r="BP15" s="10"/>
      <c r="BQ15" s="11"/>
      <c r="BS15" s="9"/>
      <c r="BY15" s="10"/>
      <c r="BZ15" s="10"/>
      <c r="CA15" s="10"/>
      <c r="CB15" s="11"/>
      <c r="CD15" s="9"/>
    </row>
    <row r="16" spans="1:82">
      <c r="A16" s="1">
        <f>tblTerritories!A11</f>
        <v>9</v>
      </c>
      <c r="B16" s="1">
        <f>tblTerritories!F11</f>
        <v>1</v>
      </c>
      <c r="C16" s="1" t="str">
        <f>tblTerritories!C11</f>
        <v>San José</v>
      </c>
      <c r="H16" s="1">
        <f t="shared" ca="1" si="0"/>
        <v>17.399999999999999</v>
      </c>
      <c r="I16" s="1">
        <f ca="1">IF($B16=0,"",RANK(H16,INDIRECT(H$4&amp;":"&amp;H$3&amp;$D$5),0)+COUNTIF(H$8:H16,H16)-1)</f>
        <v>12</v>
      </c>
      <c r="J16" s="1">
        <f t="shared" ca="1" si="4"/>
        <v>7</v>
      </c>
      <c r="K16" s="10">
        <f t="shared" ca="1" si="5"/>
        <v>9</v>
      </c>
      <c r="L16" s="10">
        <f t="shared" ca="1" si="6"/>
        <v>1</v>
      </c>
      <c r="M16" s="10">
        <f t="shared" ca="1" si="7"/>
        <v>1</v>
      </c>
      <c r="N16" s="11">
        <f t="shared" ca="1" si="8"/>
        <v>9</v>
      </c>
      <c r="O16" s="1" t="str">
        <f t="shared" ca="1" si="9"/>
        <v>Montevideo</v>
      </c>
      <c r="P16" s="9">
        <f t="shared" ca="1" si="10"/>
        <v>39.299999999999997</v>
      </c>
      <c r="Q16" s="9"/>
      <c r="S16" s="1">
        <f t="shared" ca="1" si="1"/>
        <v>26</v>
      </c>
      <c r="T16" s="1">
        <f ca="1">IF($B16=0,"",RANK(S16,INDIRECT(S$4&amp;":"&amp;S$3&amp;$D$5),0)+COUNTIF(S$8:S16,S16)-1)</f>
        <v>11</v>
      </c>
      <c r="U16" s="1">
        <f t="shared" ca="1" si="11"/>
        <v>5</v>
      </c>
      <c r="V16" s="10">
        <f t="shared" ca="1" si="12"/>
        <v>9</v>
      </c>
      <c r="W16" s="10">
        <f t="shared" ca="1" si="13"/>
        <v>1</v>
      </c>
      <c r="X16" s="10">
        <f t="shared" ca="1" si="14"/>
        <v>1</v>
      </c>
      <c r="Y16" s="11">
        <f t="shared" ca="1" si="15"/>
        <v>9</v>
      </c>
      <c r="Z16" s="1" t="str">
        <f t="shared" ca="1" si="16"/>
        <v>Ciudad de México</v>
      </c>
      <c r="AA16" s="9">
        <f t="shared" ca="1" si="17"/>
        <v>33.9</v>
      </c>
      <c r="AB16" s="9"/>
      <c r="AD16" s="1">
        <f t="shared" ca="1" si="2"/>
        <v>0</v>
      </c>
      <c r="AE16" s="1">
        <f ca="1">IF($B16=0,"",RANK(AD16,INDIRECT(AD$4&amp;":"&amp;AD$3&amp;$D$5),0)+COUNTIF(AD$8:AD16,AD16)-1)</f>
        <v>12</v>
      </c>
      <c r="AF16" s="1">
        <f t="shared" ca="1" si="18"/>
        <v>7</v>
      </c>
      <c r="AG16" s="10">
        <f t="shared" ca="1" si="19"/>
        <v>9</v>
      </c>
      <c r="AH16" s="10">
        <f t="shared" ca="1" si="20"/>
        <v>1</v>
      </c>
      <c r="AI16" s="10">
        <f t="shared" ca="1" si="21"/>
        <v>1</v>
      </c>
      <c r="AJ16" s="11">
        <f t="shared" ca="1" si="22"/>
        <v>9</v>
      </c>
      <c r="AK16" s="1" t="str">
        <f t="shared" ca="1" si="23"/>
        <v>Montevideo</v>
      </c>
      <c r="AL16" s="9">
        <f t="shared" ca="1" si="24"/>
        <v>33.299999999999997</v>
      </c>
      <c r="AM16" s="9"/>
      <c r="AO16" s="1">
        <f t="shared" ca="1" si="3"/>
        <v>26</v>
      </c>
      <c r="AP16" s="1">
        <f ca="1">IF($B16=0,"",RANK(AO16,INDIRECT(AO$4&amp;":"&amp;AO$3&amp;$D$5),0)+COUNTIF(AO$8:AO16,AO16)-1)</f>
        <v>12</v>
      </c>
      <c r="AQ16" s="1">
        <f t="shared" ca="1" si="25"/>
        <v>4</v>
      </c>
      <c r="AR16" s="10">
        <f t="shared" ca="1" si="26"/>
        <v>9</v>
      </c>
      <c r="AS16" s="10">
        <f t="shared" ca="1" si="27"/>
        <v>1</v>
      </c>
      <c r="AT16" s="10">
        <f t="shared" ca="1" si="28"/>
        <v>1</v>
      </c>
      <c r="AU16" s="11">
        <f t="shared" ca="1" si="29"/>
        <v>9</v>
      </c>
      <c r="AV16" s="1" t="str">
        <f t="shared" ca="1" si="30"/>
        <v>Ciudad de Belice</v>
      </c>
      <c r="AW16" s="9">
        <f t="shared" ca="1" si="31"/>
        <v>36.6</v>
      </c>
      <c r="AX16" s="9"/>
      <c r="BC16" s="10"/>
      <c r="BD16" s="10"/>
      <c r="BE16" s="10"/>
      <c r="BF16" s="11"/>
      <c r="BH16" s="9"/>
      <c r="BI16" s="9"/>
      <c r="BN16" s="10"/>
      <c r="BO16" s="10"/>
      <c r="BP16" s="10"/>
      <c r="BQ16" s="11"/>
      <c r="BS16" s="9"/>
      <c r="BY16" s="10"/>
      <c r="BZ16" s="10"/>
      <c r="CA16" s="10"/>
      <c r="CB16" s="11"/>
      <c r="CD16" s="9"/>
    </row>
    <row r="17" spans="1:82">
      <c r="A17" s="1">
        <f>tblTerritories!A12</f>
        <v>10</v>
      </c>
      <c r="B17" s="1">
        <f>tblTerritories!F12</f>
        <v>1</v>
      </c>
      <c r="C17" s="1" t="str">
        <f>tblTerritories!C12</f>
        <v>San Pablo</v>
      </c>
      <c r="H17" s="1">
        <f t="shared" ca="1" si="0"/>
        <v>70.5</v>
      </c>
      <c r="I17" s="1">
        <f ca="1">IF($B17=0,"",RANK(H17,INDIRECT(H$4&amp;":"&amp;H$3&amp;$D$5),0)+COUNTIF(H$8:H17,H17)-1)</f>
        <v>2</v>
      </c>
      <c r="J17" s="1">
        <f t="shared" ca="1" si="4"/>
        <v>1</v>
      </c>
      <c r="K17" s="10">
        <f t="shared" ca="1" si="5"/>
        <v>10</v>
      </c>
      <c r="L17" s="10">
        <f t="shared" ca="1" si="6"/>
        <v>1</v>
      </c>
      <c r="M17" s="10">
        <f t="shared" ca="1" si="7"/>
        <v>1</v>
      </c>
      <c r="N17" s="11">
        <f t="shared" ca="1" si="8"/>
        <v>10</v>
      </c>
      <c r="O17" s="1" t="str">
        <f t="shared" ca="1" si="9"/>
        <v>Asunción</v>
      </c>
      <c r="P17" s="9">
        <f t="shared" ca="1" si="10"/>
        <v>29.5</v>
      </c>
      <c r="Q17" s="9"/>
      <c r="S17" s="1">
        <f t="shared" ca="1" si="1"/>
        <v>70.3</v>
      </c>
      <c r="T17" s="1">
        <f ca="1">IF($B17=0,"",RANK(S17,INDIRECT(S$4&amp;":"&amp;S$3&amp;$D$5),0)+COUNTIF(S$8:S17,S17)-1)</f>
        <v>1</v>
      </c>
      <c r="U17" s="1">
        <f t="shared" ca="1" si="11"/>
        <v>1</v>
      </c>
      <c r="V17" s="10">
        <f t="shared" ca="1" si="12"/>
        <v>10</v>
      </c>
      <c r="W17" s="10">
        <f t="shared" ca="1" si="13"/>
        <v>1</v>
      </c>
      <c r="X17" s="10">
        <f t="shared" ca="1" si="14"/>
        <v>1</v>
      </c>
      <c r="Y17" s="11">
        <f t="shared" ca="1" si="15"/>
        <v>10</v>
      </c>
      <c r="Z17" s="1" t="str">
        <f t="shared" ca="1" si="16"/>
        <v>Asunción</v>
      </c>
      <c r="AA17" s="9">
        <f t="shared" ca="1" si="17"/>
        <v>32.799999999999997</v>
      </c>
      <c r="AB17" s="9"/>
      <c r="AD17" s="1">
        <f t="shared" ca="1" si="2"/>
        <v>68.900000000000006</v>
      </c>
      <c r="AE17" s="1">
        <f ca="1">IF($B17=0,"",RANK(AD17,INDIRECT(AD$4&amp;":"&amp;AD$3&amp;$D$5),0)+COUNTIF(AD$8:AD17,AD17)-1)</f>
        <v>3</v>
      </c>
      <c r="AF17" s="1">
        <f t="shared" ca="1" si="18"/>
        <v>1</v>
      </c>
      <c r="AG17" s="10">
        <f t="shared" ca="1" si="19"/>
        <v>10</v>
      </c>
      <c r="AH17" s="10">
        <f t="shared" ca="1" si="20"/>
        <v>1</v>
      </c>
      <c r="AI17" s="10">
        <f t="shared" ca="1" si="21"/>
        <v>1</v>
      </c>
      <c r="AJ17" s="11">
        <f t="shared" ca="1" si="22"/>
        <v>10</v>
      </c>
      <c r="AK17" s="1" t="str">
        <f t="shared" ca="1" si="23"/>
        <v>Asunción</v>
      </c>
      <c r="AL17" s="9">
        <f t="shared" ca="1" si="24"/>
        <v>28.3</v>
      </c>
      <c r="AM17" s="9"/>
      <c r="AO17" s="1">
        <f t="shared" ca="1" si="3"/>
        <v>72.099999999999994</v>
      </c>
      <c r="AP17" s="1">
        <f ca="1">IF($B17=0,"",RANK(AO17,INDIRECT(AO$4&amp;":"&amp;AO$3&amp;$D$5),0)+COUNTIF(AO$8:AO17,AO17)-1)</f>
        <v>2</v>
      </c>
      <c r="AQ17" s="1">
        <f t="shared" ca="1" si="25"/>
        <v>8</v>
      </c>
      <c r="AR17" s="10">
        <f t="shared" ca="1" si="26"/>
        <v>10</v>
      </c>
      <c r="AS17" s="10">
        <f t="shared" ca="1" si="27"/>
        <v>1</v>
      </c>
      <c r="AT17" s="10">
        <f t="shared" ca="1" si="28"/>
        <v>1</v>
      </c>
      <c r="AU17" s="11">
        <f t="shared" ca="1" si="29"/>
        <v>10</v>
      </c>
      <c r="AV17" s="1" t="str">
        <f t="shared" ca="1" si="30"/>
        <v>Quito</v>
      </c>
      <c r="AW17" s="9">
        <f t="shared" ca="1" si="31"/>
        <v>34.9</v>
      </c>
      <c r="AX17" s="9"/>
      <c r="BC17" s="10"/>
      <c r="BD17" s="10"/>
      <c r="BE17" s="10"/>
      <c r="BF17" s="11"/>
      <c r="BH17" s="9"/>
      <c r="BI17" s="9"/>
      <c r="BN17" s="10"/>
      <c r="BO17" s="10"/>
      <c r="BP17" s="10"/>
      <c r="BQ17" s="11"/>
      <c r="BS17" s="9"/>
      <c r="BY17" s="10"/>
      <c r="BZ17" s="10"/>
      <c r="CA17" s="10"/>
      <c r="CB17" s="11"/>
      <c r="CD17" s="9"/>
    </row>
    <row r="18" spans="1:82">
      <c r="A18" s="1">
        <f>tblTerritories!A13</f>
        <v>11</v>
      </c>
      <c r="B18" s="1">
        <f>tblTerritories!F13</f>
        <v>1</v>
      </c>
      <c r="C18" s="1" t="str">
        <f>tblTerritories!C13</f>
        <v>Santa Cruz</v>
      </c>
      <c r="H18" s="1">
        <f t="shared" ca="1" si="0"/>
        <v>48.8</v>
      </c>
      <c r="I18" s="1">
        <f ca="1">IF($B18=0,"",RANK(H18,INDIRECT(H$4&amp;":"&amp;H$3&amp;$D$5),0)+COUNTIF(H$8:H18,H18)-1)</f>
        <v>5</v>
      </c>
      <c r="J18" s="1">
        <f t="shared" ca="1" si="4"/>
        <v>4</v>
      </c>
      <c r="K18" s="10">
        <f t="shared" ca="1" si="5"/>
        <v>11</v>
      </c>
      <c r="L18" s="10">
        <f t="shared" ca="1" si="6"/>
        <v>2</v>
      </c>
      <c r="M18" s="10">
        <f t="shared" ca="1" si="7"/>
        <v>1</v>
      </c>
      <c r="N18" s="11" t="str">
        <f t="shared" ca="1" si="8"/>
        <v>=11</v>
      </c>
      <c r="O18" s="1" t="str">
        <f t="shared" ca="1" si="9"/>
        <v>Ciudad de Belice</v>
      </c>
      <c r="P18" s="9">
        <f t="shared" ca="1" si="10"/>
        <v>17.399999999999999</v>
      </c>
      <c r="Q18" s="9"/>
      <c r="S18" s="1">
        <f t="shared" ca="1" si="1"/>
        <v>52.1</v>
      </c>
      <c r="T18" s="1">
        <f ca="1">IF($B18=0,"",RANK(S18,INDIRECT(S$4&amp;":"&amp;S$3&amp;$D$5),0)+COUNTIF(S$8:S18,S18)-1)</f>
        <v>5</v>
      </c>
      <c r="U18" s="1">
        <f t="shared" ca="1" si="11"/>
        <v>9</v>
      </c>
      <c r="V18" s="10">
        <f t="shared" ca="1" si="12"/>
        <v>11</v>
      </c>
      <c r="W18" s="10">
        <f t="shared" ca="1" si="13"/>
        <v>1</v>
      </c>
      <c r="X18" s="10">
        <f t="shared" ca="1" si="14"/>
        <v>1</v>
      </c>
      <c r="Y18" s="11">
        <f t="shared" ca="1" si="15"/>
        <v>11</v>
      </c>
      <c r="Z18" s="1" t="str">
        <f t="shared" ca="1" si="16"/>
        <v>San José</v>
      </c>
      <c r="AA18" s="9">
        <f t="shared" ca="1" si="17"/>
        <v>26</v>
      </c>
      <c r="AB18" s="9"/>
      <c r="AD18" s="1">
        <f t="shared" ca="1" si="2"/>
        <v>46.7</v>
      </c>
      <c r="AE18" s="1">
        <f ca="1">IF($B18=0,"",RANK(AD18,INDIRECT(AD$4&amp;":"&amp;AD$3&amp;$D$5),0)+COUNTIF(AD$8:AD18,AD18)-1)</f>
        <v>7</v>
      </c>
      <c r="AF18" s="1">
        <f t="shared" ca="1" si="18"/>
        <v>4</v>
      </c>
      <c r="AG18" s="10">
        <f t="shared" ca="1" si="19"/>
        <v>11</v>
      </c>
      <c r="AH18" s="10">
        <f t="shared" ca="1" si="20"/>
        <v>2</v>
      </c>
      <c r="AI18" s="10">
        <f t="shared" ca="1" si="21"/>
        <v>1</v>
      </c>
      <c r="AJ18" s="11" t="str">
        <f t="shared" ca="1" si="22"/>
        <v>=11</v>
      </c>
      <c r="AK18" s="1" t="str">
        <f t="shared" ca="1" si="23"/>
        <v>Ciudad de Belice</v>
      </c>
      <c r="AL18" s="9">
        <f t="shared" ca="1" si="24"/>
        <v>0</v>
      </c>
      <c r="AM18" s="9"/>
      <c r="AO18" s="1">
        <f t="shared" ca="1" si="3"/>
        <v>47.8</v>
      </c>
      <c r="AP18" s="1">
        <f ca="1">IF($B18=0,"",RANK(AO18,INDIRECT(AO$4&amp;":"&amp;AO$3&amp;$D$5),0)+COUNTIF(AO$8:AO18,AO18)-1)</f>
        <v>7</v>
      </c>
      <c r="AQ18" s="1">
        <f t="shared" ca="1" si="25"/>
        <v>1</v>
      </c>
      <c r="AR18" s="10">
        <f t="shared" ca="1" si="26"/>
        <v>11</v>
      </c>
      <c r="AS18" s="10">
        <f t="shared" ca="1" si="27"/>
        <v>1</v>
      </c>
      <c r="AT18" s="10">
        <f t="shared" ca="1" si="28"/>
        <v>1</v>
      </c>
      <c r="AU18" s="11">
        <f t="shared" ca="1" si="29"/>
        <v>11</v>
      </c>
      <c r="AV18" s="1" t="str">
        <f t="shared" ca="1" si="30"/>
        <v>Asunción</v>
      </c>
      <c r="AW18" s="9">
        <f t="shared" ca="1" si="31"/>
        <v>27.4</v>
      </c>
      <c r="AX18" s="9"/>
      <c r="BC18" s="10"/>
      <c r="BD18" s="10"/>
      <c r="BE18" s="10"/>
      <c r="BF18" s="11"/>
      <c r="BH18" s="9"/>
      <c r="BI18" s="9"/>
      <c r="BN18" s="10"/>
      <c r="BO18" s="10"/>
      <c r="BP18" s="10"/>
      <c r="BQ18" s="11"/>
      <c r="BS18" s="9"/>
      <c r="BY18" s="10"/>
      <c r="BZ18" s="10"/>
      <c r="CA18" s="10"/>
      <c r="CB18" s="11"/>
      <c r="CD18" s="9"/>
    </row>
    <row r="19" spans="1:82">
      <c r="A19" s="1">
        <f>tblTerritories!A14</f>
        <v>12</v>
      </c>
      <c r="B19" s="1">
        <f>tblTerritories!F14</f>
        <v>1</v>
      </c>
      <c r="C19" s="1" t="str">
        <f>tblTerritories!C14</f>
        <v>Santiago de Chile</v>
      </c>
      <c r="H19" s="1">
        <f t="shared" ca="1" si="0"/>
        <v>43</v>
      </c>
      <c r="I19" s="1">
        <f ca="1">IF($B19=0,"",RANK(H19,INDIRECT(H$4&amp;":"&amp;H$3&amp;$D$5),0)+COUNTIF(H$8:H19,H19)-1)</f>
        <v>7</v>
      </c>
      <c r="J19" s="1">
        <f t="shared" ca="1" si="4"/>
        <v>9</v>
      </c>
      <c r="K19" s="10">
        <f t="shared" ca="1" si="5"/>
        <v>11</v>
      </c>
      <c r="L19" s="10">
        <f t="shared" ca="1" si="6"/>
        <v>2</v>
      </c>
      <c r="M19" s="10">
        <f t="shared" ca="1" si="7"/>
        <v>1</v>
      </c>
      <c r="N19" s="11" t="str">
        <f t="shared" ref="N19" ca="1" si="32">IF(J19="","",IF(L19&gt;1,CONCATENATE("=",K19),K19))</f>
        <v>=11</v>
      </c>
      <c r="O19" s="1" t="str">
        <f t="shared" ca="1" si="9"/>
        <v>San José</v>
      </c>
      <c r="P19" s="9">
        <f t="shared" ca="1" si="10"/>
        <v>17.399999999999999</v>
      </c>
      <c r="Q19" s="9"/>
      <c r="S19" s="1">
        <f t="shared" ca="1" si="1"/>
        <v>39.1</v>
      </c>
      <c r="T19" s="1">
        <f ca="1">IF($B19=0,"",RANK(S19,INDIRECT(S$4&amp;":"&amp;S$3&amp;$D$5),0)+COUNTIF(S$8:S19,S19)-1)</f>
        <v>8</v>
      </c>
      <c r="U19" s="1">
        <f t="shared" ca="1" si="11"/>
        <v>4</v>
      </c>
      <c r="V19" s="10">
        <f t="shared" ca="1" si="12"/>
        <v>12</v>
      </c>
      <c r="W19" s="10">
        <f t="shared" ca="1" si="13"/>
        <v>1</v>
      </c>
      <c r="X19" s="10">
        <f t="shared" ca="1" si="14"/>
        <v>1</v>
      </c>
      <c r="Y19" s="11">
        <f t="shared" ref="Y19" ca="1" si="33">IF(U19="","",IF(W19&gt;1,CONCATENATE("=",V19),V19))</f>
        <v>12</v>
      </c>
      <c r="Z19" s="1" t="str">
        <f t="shared" ca="1" si="16"/>
        <v>Ciudad de Belice</v>
      </c>
      <c r="AA19" s="9">
        <f t="shared" ca="1" si="17"/>
        <v>15.6</v>
      </c>
      <c r="AB19" s="9"/>
      <c r="AD19" s="1">
        <f t="shared" ca="1" si="2"/>
        <v>34.4</v>
      </c>
      <c r="AE19" s="1">
        <f ca="1">IF($B19=0,"",RANK(AD19,INDIRECT(AD$4&amp;":"&amp;AD$3&amp;$D$5),0)+COUNTIF(AD$8:AD19,AD19)-1)</f>
        <v>8</v>
      </c>
      <c r="AF19" s="1">
        <f t="shared" ca="1" si="18"/>
        <v>9</v>
      </c>
      <c r="AG19" s="10">
        <f t="shared" ca="1" si="19"/>
        <v>11</v>
      </c>
      <c r="AH19" s="10">
        <f t="shared" ca="1" si="20"/>
        <v>2</v>
      </c>
      <c r="AI19" s="10">
        <f t="shared" ca="1" si="21"/>
        <v>1</v>
      </c>
      <c r="AJ19" s="11" t="str">
        <f t="shared" ca="1" si="22"/>
        <v>=11</v>
      </c>
      <c r="AK19" s="1" t="str">
        <f t="shared" ca="1" si="23"/>
        <v>San José</v>
      </c>
      <c r="AL19" s="9">
        <f t="shared" ca="1" si="24"/>
        <v>0</v>
      </c>
      <c r="AM19" s="9"/>
      <c r="AO19" s="1">
        <f t="shared" ca="1" si="3"/>
        <v>55.4</v>
      </c>
      <c r="AP19" s="1">
        <f ca="1">IF($B19=0,"",RANK(AO19,INDIRECT(AO$4&amp;":"&amp;AO$3&amp;$D$5),0)+COUNTIF(AO$8:AO19,AO19)-1)</f>
        <v>4</v>
      </c>
      <c r="AQ19" s="1">
        <f t="shared" ca="1" si="25"/>
        <v>9</v>
      </c>
      <c r="AR19" s="10">
        <f t="shared" ca="1" si="26"/>
        <v>12</v>
      </c>
      <c r="AS19" s="10">
        <f t="shared" ca="1" si="27"/>
        <v>1</v>
      </c>
      <c r="AT19" s="10">
        <f t="shared" ca="1" si="28"/>
        <v>1</v>
      </c>
      <c r="AU19" s="11">
        <f t="shared" ca="1" si="29"/>
        <v>12</v>
      </c>
      <c r="AV19" s="1" t="str">
        <f t="shared" ca="1" si="30"/>
        <v>San José</v>
      </c>
      <c r="AW19" s="9">
        <f t="shared" ca="1" si="31"/>
        <v>26</v>
      </c>
      <c r="AX19" s="9"/>
      <c r="BC19" s="10"/>
      <c r="BD19" s="10"/>
      <c r="BE19" s="10"/>
      <c r="BF19" s="11"/>
      <c r="BH19" s="9"/>
      <c r="BI19" s="9"/>
      <c r="BN19" s="10"/>
      <c r="BO19" s="10"/>
      <c r="BP19" s="10"/>
      <c r="BQ19" s="11"/>
      <c r="BS19" s="9"/>
      <c r="BY19" s="10"/>
      <c r="BZ19" s="10"/>
      <c r="CA19" s="10"/>
      <c r="CB19" s="11"/>
      <c r="CD19" s="9"/>
    </row>
    <row r="20" spans="1:82">
      <c r="A20" s="1">
        <f>tblTerritories!A15</f>
        <v>13</v>
      </c>
      <c r="B20" s="1">
        <f>tblTerritories!F15</f>
        <v>1</v>
      </c>
      <c r="C20" s="1" t="str">
        <f>tblTerritories!C15</f>
        <v>Escriba el nombre de la ciudad: incompleto</v>
      </c>
      <c r="H20" s="1">
        <f t="shared" ca="1" si="0"/>
        <v>6.4</v>
      </c>
      <c r="I20" s="1" t="e">
        <f ca="1">IF($B20=0,"",RANK(H20,INDIRECT(H$4&amp;":"&amp;H$3&amp;$D$5),0)+COUNTIF(H$8:H20,H20)-1)</f>
        <v>#N/A</v>
      </c>
      <c r="J20" s="1" t="str">
        <f t="shared" ca="1" si="4"/>
        <v/>
      </c>
      <c r="K20" s="10" t="str">
        <f t="shared" ca="1" si="5"/>
        <v/>
      </c>
      <c r="L20" s="10" t="str">
        <f t="shared" ca="1" si="6"/>
        <v/>
      </c>
      <c r="M20" s="10">
        <f t="shared" ca="1" si="7"/>
        <v>0</v>
      </c>
      <c r="N20" s="11" t="str">
        <f t="shared" ref="N20" ca="1" si="34">IF(J20="","",IF(L20&gt;1,CONCATENATE("=",K20),K20))</f>
        <v/>
      </c>
      <c r="O20" s="1" t="str">
        <f t="shared" ca="1" si="9"/>
        <v/>
      </c>
      <c r="P20" s="9" t="str">
        <f t="shared" ca="1" si="10"/>
        <v/>
      </c>
      <c r="Q20" s="9"/>
      <c r="S20" s="1">
        <f t="shared" ca="1" si="1"/>
        <v>4.7</v>
      </c>
      <c r="T20" s="1" t="e">
        <f ca="1">IF($B20=0,"",RANK(S20,INDIRECT(S$4&amp;":"&amp;S$3&amp;$D$5),0)+COUNTIF(S$8:S20,S20)-1)</f>
        <v>#N/A</v>
      </c>
      <c r="U20" s="1" t="str">
        <f t="shared" ca="1" si="11"/>
        <v/>
      </c>
      <c r="V20" s="10" t="str">
        <f t="shared" ca="1" si="12"/>
        <v/>
      </c>
      <c r="W20" s="10" t="str">
        <f t="shared" ca="1" si="13"/>
        <v/>
      </c>
      <c r="X20" s="10">
        <f t="shared" ca="1" si="14"/>
        <v>0</v>
      </c>
      <c r="Y20" s="11" t="str">
        <f t="shared" ref="Y20" ca="1" si="35">IF(U20="","",IF(W20&gt;1,CONCATENATE("=",V20),V20))</f>
        <v/>
      </c>
      <c r="Z20" s="1" t="str">
        <f t="shared" ca="1" si="16"/>
        <v/>
      </c>
      <c r="AA20" s="9" t="str">
        <f t="shared" ca="1" si="17"/>
        <v/>
      </c>
      <c r="AB20" s="9"/>
      <c r="AD20" s="1">
        <f t="shared" ca="1" si="2"/>
        <v>0</v>
      </c>
      <c r="AE20" s="1">
        <f ca="1">IF($B20=0,"",RANK(AD20,INDIRECT(AD$4&amp;":"&amp;AD$3&amp;$D$5),0)+COUNTIF(AD$8:AD20,AD20)-1)</f>
        <v>13</v>
      </c>
      <c r="AF20" s="1" t="str">
        <f t="shared" ca="1" si="18"/>
        <v/>
      </c>
      <c r="AG20" s="10" t="str">
        <f t="shared" ca="1" si="19"/>
        <v/>
      </c>
      <c r="AH20" s="10" t="str">
        <f t="shared" ca="1" si="20"/>
        <v/>
      </c>
      <c r="AI20" s="10">
        <f t="shared" ca="1" si="21"/>
        <v>0</v>
      </c>
      <c r="AJ20" s="11" t="str">
        <f t="shared" ca="1" si="22"/>
        <v/>
      </c>
      <c r="AK20" s="1" t="str">
        <f t="shared" ca="1" si="23"/>
        <v/>
      </c>
      <c r="AL20" s="9" t="str">
        <f t="shared" ca="1" si="24"/>
        <v/>
      </c>
      <c r="AM20" s="9"/>
      <c r="AO20" s="1">
        <f t="shared" ca="1" si="3"/>
        <v>14.6</v>
      </c>
      <c r="AP20" s="1" t="e">
        <f ca="1">IF($B20=0,"",RANK(AO20,INDIRECT(AO$4&amp;":"&amp;AO$3&amp;$D$5),0)+COUNTIF(AO$8:AO20,AO20)-1)</f>
        <v>#N/A</v>
      </c>
      <c r="AQ20" s="1" t="str">
        <f t="shared" ca="1" si="25"/>
        <v/>
      </c>
      <c r="AR20" s="10" t="str">
        <f t="shared" ca="1" si="26"/>
        <v/>
      </c>
      <c r="AS20" s="10" t="str">
        <f t="shared" ca="1" si="27"/>
        <v/>
      </c>
      <c r="AT20" s="10">
        <f t="shared" ca="1" si="28"/>
        <v>0</v>
      </c>
      <c r="AU20" s="11" t="str">
        <f t="shared" ca="1" si="29"/>
        <v/>
      </c>
      <c r="AV20" s="1" t="str">
        <f t="shared" ca="1" si="30"/>
        <v/>
      </c>
      <c r="AW20" s="9" t="str">
        <f t="shared" ca="1" si="31"/>
        <v/>
      </c>
      <c r="AX20" s="9"/>
      <c r="BC20" s="10"/>
      <c r="BD20" s="10"/>
      <c r="BE20" s="10"/>
      <c r="BF20" s="11"/>
      <c r="BH20" s="9"/>
      <c r="BI20" s="9"/>
      <c r="BN20" s="10"/>
      <c r="BO20" s="10"/>
      <c r="BP20" s="10"/>
      <c r="BQ20" s="11"/>
      <c r="BS20" s="9"/>
      <c r="BY20" s="10"/>
      <c r="BZ20" s="10"/>
      <c r="CA20" s="10"/>
      <c r="CB20" s="11"/>
      <c r="CD20" s="9"/>
    </row>
    <row r="21" spans="1:82">
      <c r="A21" s="1">
        <f>tblTerritories!A16</f>
        <v>14</v>
      </c>
      <c r="B21" s="1">
        <f>tblTerritories!F16</f>
        <v>1</v>
      </c>
      <c r="C21" s="1" t="str">
        <f>tblTerritories!C16</f>
        <v>Ciudad_02: incompleto</v>
      </c>
      <c r="H21" s="1">
        <f t="shared" si="0"/>
        <v>0</v>
      </c>
      <c r="I21" s="1" t="e">
        <f ca="1">IF($B21=0,"",RANK(H21,INDIRECT(H$4&amp;":"&amp;H$3&amp;$D$5),0)+COUNTIF(H$8:H21,H21)-1)</f>
        <v>#N/A</v>
      </c>
      <c r="J21" s="1" t="str">
        <f t="shared" ca="1" si="4"/>
        <v/>
      </c>
      <c r="K21" s="10" t="str">
        <f t="shared" ca="1" si="5"/>
        <v/>
      </c>
      <c r="L21" s="10" t="str">
        <f t="shared" ca="1" si="6"/>
        <v/>
      </c>
      <c r="M21" s="10">
        <f t="shared" ca="1" si="7"/>
        <v>0</v>
      </c>
      <c r="N21" s="11" t="str">
        <f t="shared" ref="N21:N29" ca="1" si="36">IF(J21="","",IF(L21&gt;1,CONCATENATE("=",K21),K21))</f>
        <v/>
      </c>
      <c r="O21" s="1" t="str">
        <f t="shared" ca="1" si="9"/>
        <v/>
      </c>
      <c r="P21" s="9" t="str">
        <f t="shared" ca="1" si="10"/>
        <v/>
      </c>
      <c r="Q21" s="9"/>
      <c r="S21" s="1">
        <f t="shared" si="1"/>
        <v>0</v>
      </c>
      <c r="T21" s="1" t="e">
        <f ca="1">IF($B21=0,"",RANK(S21,INDIRECT(S$4&amp;":"&amp;S$3&amp;$D$5),0)+COUNTIF(S$8:S21,S21)-1)</f>
        <v>#N/A</v>
      </c>
      <c r="U21" s="1" t="str">
        <f t="shared" ca="1" si="11"/>
        <v/>
      </c>
      <c r="V21" s="10" t="str">
        <f t="shared" ca="1" si="12"/>
        <v/>
      </c>
      <c r="W21" s="10" t="str">
        <f t="shared" ca="1" si="13"/>
        <v/>
      </c>
      <c r="X21" s="10">
        <f t="shared" ca="1" si="14"/>
        <v>0</v>
      </c>
      <c r="Y21" s="11" t="str">
        <f t="shared" ref="Y21:Y29" ca="1" si="37">IF(U21="","",IF(W21&gt;1,CONCATENATE("=",V21),V21))</f>
        <v/>
      </c>
      <c r="Z21" s="1" t="str">
        <f t="shared" ca="1" si="16"/>
        <v/>
      </c>
      <c r="AA21" s="9" t="str">
        <f t="shared" ca="1" si="17"/>
        <v/>
      </c>
      <c r="AB21" s="9"/>
      <c r="AD21" s="1">
        <f t="shared" si="2"/>
        <v>0</v>
      </c>
      <c r="AE21" s="1">
        <f ca="1">IF($B21=0,"",RANK(AD21,INDIRECT(AD$4&amp;":"&amp;AD$3&amp;$D$5),0)+COUNTIF(AD$8:AD21,AD21)-1)</f>
        <v>14</v>
      </c>
      <c r="AF21" s="1" t="str">
        <f t="shared" ca="1" si="18"/>
        <v/>
      </c>
      <c r="AG21" s="10" t="str">
        <f t="shared" ca="1" si="19"/>
        <v/>
      </c>
      <c r="AH21" s="10" t="str">
        <f t="shared" ca="1" si="20"/>
        <v/>
      </c>
      <c r="AI21" s="10">
        <f t="shared" ca="1" si="21"/>
        <v>0</v>
      </c>
      <c r="AJ21" s="11" t="str">
        <f t="shared" ca="1" si="22"/>
        <v/>
      </c>
      <c r="AK21" s="1" t="str">
        <f t="shared" ca="1" si="23"/>
        <v/>
      </c>
      <c r="AL21" s="9" t="str">
        <f t="shared" ca="1" si="24"/>
        <v/>
      </c>
      <c r="AM21" s="9"/>
      <c r="AO21" s="1">
        <f t="shared" si="3"/>
        <v>0</v>
      </c>
      <c r="AP21" s="1" t="e">
        <f ca="1">IF($B21=0,"",RANK(AO21,INDIRECT(AO$4&amp;":"&amp;AO$3&amp;$D$5),0)+COUNTIF(AO$8:AO21,AO21)-1)</f>
        <v>#N/A</v>
      </c>
      <c r="AQ21" s="1" t="str">
        <f t="shared" ca="1" si="25"/>
        <v/>
      </c>
      <c r="AR21" s="10" t="str">
        <f t="shared" ca="1" si="26"/>
        <v/>
      </c>
      <c r="AS21" s="10" t="str">
        <f t="shared" ca="1" si="27"/>
        <v/>
      </c>
      <c r="AT21" s="10">
        <f t="shared" ca="1" si="28"/>
        <v>0</v>
      </c>
      <c r="AU21" s="11" t="str">
        <f t="shared" ca="1" si="29"/>
        <v/>
      </c>
      <c r="AV21" s="1" t="str">
        <f t="shared" ca="1" si="30"/>
        <v/>
      </c>
      <c r="AW21" s="9" t="str">
        <f t="shared" ca="1" si="31"/>
        <v/>
      </c>
      <c r="AX21" s="9"/>
      <c r="BC21" s="10"/>
      <c r="BD21" s="10"/>
      <c r="BE21" s="10"/>
      <c r="BF21" s="11"/>
      <c r="BH21" s="9"/>
      <c r="BI21" s="9"/>
      <c r="BN21" s="10"/>
      <c r="BO21" s="10"/>
      <c r="BP21" s="10"/>
      <c r="BQ21" s="11"/>
      <c r="BS21" s="9"/>
      <c r="BY21" s="10"/>
      <c r="BZ21" s="10"/>
      <c r="CA21" s="10"/>
      <c r="CB21" s="11"/>
      <c r="CD21" s="9"/>
    </row>
    <row r="22" spans="1:82">
      <c r="A22" s="1">
        <f>tblTerritories!A17</f>
        <v>15</v>
      </c>
      <c r="B22" s="1">
        <f>tblTerritories!F17</f>
        <v>1</v>
      </c>
      <c r="C22" s="1" t="str">
        <f>tblTerritories!C17</f>
        <v>Ciudad_03: incompleto</v>
      </c>
      <c r="H22" s="1">
        <f t="shared" si="0"/>
        <v>0</v>
      </c>
      <c r="I22" s="1" t="e">
        <f ca="1">IF($B22=0,"",RANK(H22,INDIRECT(H$4&amp;":"&amp;H$3&amp;$D$5),0)+COUNTIF(H$8:H22,H22)-1)</f>
        <v>#N/A</v>
      </c>
      <c r="J22" s="1" t="str">
        <f t="shared" ca="1" si="4"/>
        <v/>
      </c>
      <c r="K22" s="10" t="str">
        <f t="shared" ca="1" si="5"/>
        <v/>
      </c>
      <c r="L22" s="10" t="str">
        <f t="shared" ca="1" si="6"/>
        <v/>
      </c>
      <c r="M22" s="10">
        <f t="shared" ca="1" si="7"/>
        <v>0</v>
      </c>
      <c r="N22" s="11" t="str">
        <f t="shared" ca="1" si="36"/>
        <v/>
      </c>
      <c r="O22" s="1" t="str">
        <f t="shared" ca="1" si="9"/>
        <v/>
      </c>
      <c r="P22" s="9" t="str">
        <f t="shared" ca="1" si="10"/>
        <v/>
      </c>
      <c r="Q22" s="9"/>
      <c r="S22" s="1">
        <f t="shared" si="1"/>
        <v>0</v>
      </c>
      <c r="T22" s="1" t="e">
        <f ca="1">IF($B22=0,"",RANK(S22,INDIRECT(S$4&amp;":"&amp;S$3&amp;$D$5),0)+COUNTIF(S$8:S22,S22)-1)</f>
        <v>#N/A</v>
      </c>
      <c r="U22" s="1" t="str">
        <f t="shared" ca="1" si="11"/>
        <v/>
      </c>
      <c r="V22" s="10" t="str">
        <f t="shared" ca="1" si="12"/>
        <v/>
      </c>
      <c r="W22" s="10" t="str">
        <f t="shared" ca="1" si="13"/>
        <v/>
      </c>
      <c r="X22" s="10">
        <f t="shared" ca="1" si="14"/>
        <v>0</v>
      </c>
      <c r="Y22" s="11" t="str">
        <f t="shared" ca="1" si="37"/>
        <v/>
      </c>
      <c r="Z22" s="1" t="str">
        <f t="shared" ca="1" si="16"/>
        <v/>
      </c>
      <c r="AA22" s="9" t="str">
        <f t="shared" ca="1" si="17"/>
        <v/>
      </c>
      <c r="AB22" s="9"/>
      <c r="AD22" s="1">
        <f t="shared" si="2"/>
        <v>0</v>
      </c>
      <c r="AE22" s="1">
        <f ca="1">IF($B22=0,"",RANK(AD22,INDIRECT(AD$4&amp;":"&amp;AD$3&amp;$D$5),0)+COUNTIF(AD$8:AD22,AD22)-1)</f>
        <v>15</v>
      </c>
      <c r="AF22" s="1" t="str">
        <f t="shared" ca="1" si="18"/>
        <v/>
      </c>
      <c r="AG22" s="10" t="str">
        <f t="shared" ca="1" si="19"/>
        <v/>
      </c>
      <c r="AH22" s="10" t="str">
        <f t="shared" ca="1" si="20"/>
        <v/>
      </c>
      <c r="AI22" s="10">
        <f t="shared" ca="1" si="21"/>
        <v>0</v>
      </c>
      <c r="AJ22" s="11" t="str">
        <f t="shared" ca="1" si="22"/>
        <v/>
      </c>
      <c r="AK22" s="1" t="str">
        <f t="shared" ca="1" si="23"/>
        <v/>
      </c>
      <c r="AL22" s="9" t="str">
        <f t="shared" ca="1" si="24"/>
        <v/>
      </c>
      <c r="AM22" s="9"/>
      <c r="AO22" s="1">
        <f t="shared" si="3"/>
        <v>0</v>
      </c>
      <c r="AP22" s="1" t="e">
        <f ca="1">IF($B22=0,"",RANK(AO22,INDIRECT(AO$4&amp;":"&amp;AO$3&amp;$D$5),0)+COUNTIF(AO$8:AO22,AO22)-1)</f>
        <v>#N/A</v>
      </c>
      <c r="AQ22" s="1" t="str">
        <f t="shared" ca="1" si="25"/>
        <v/>
      </c>
      <c r="AR22" s="10" t="str">
        <f t="shared" ca="1" si="26"/>
        <v/>
      </c>
      <c r="AS22" s="10" t="str">
        <f t="shared" ca="1" si="27"/>
        <v/>
      </c>
      <c r="AT22" s="10">
        <f t="shared" ca="1" si="28"/>
        <v>0</v>
      </c>
      <c r="AU22" s="11" t="str">
        <f t="shared" ca="1" si="29"/>
        <v/>
      </c>
      <c r="AV22" s="1" t="str">
        <f t="shared" ca="1" si="30"/>
        <v/>
      </c>
      <c r="AW22" s="9" t="str">
        <f t="shared" ca="1" si="31"/>
        <v/>
      </c>
      <c r="AX22" s="9"/>
      <c r="BC22" s="10"/>
      <c r="BD22" s="10"/>
      <c r="BE22" s="10"/>
      <c r="BF22" s="11"/>
      <c r="BH22" s="9"/>
      <c r="BI22" s="9"/>
      <c r="BN22" s="10"/>
      <c r="BO22" s="10"/>
      <c r="BP22" s="10"/>
      <c r="BQ22" s="11"/>
      <c r="BS22" s="9"/>
      <c r="BY22" s="10"/>
      <c r="BZ22" s="10"/>
      <c r="CA22" s="10"/>
      <c r="CB22" s="11"/>
      <c r="CD22" s="9"/>
    </row>
    <row r="23" spans="1:82">
      <c r="A23" s="1">
        <f>tblTerritories!A18</f>
        <v>16</v>
      </c>
      <c r="B23" s="1">
        <f>tblTerritories!F18</f>
        <v>1</v>
      </c>
      <c r="C23" s="1" t="str">
        <f>tblTerritories!C18</f>
        <v>Ciudad_04: incompleto</v>
      </c>
      <c r="H23" s="1">
        <f t="shared" si="0"/>
        <v>0</v>
      </c>
      <c r="I23" s="1" t="e">
        <f ca="1">IF($B23=0,"",RANK(H23,INDIRECT(H$4&amp;":"&amp;H$3&amp;$D$5),0)+COUNTIF(H$8:H23,H23)-1)</f>
        <v>#N/A</v>
      </c>
      <c r="J23" s="1" t="str">
        <f t="shared" ca="1" si="4"/>
        <v/>
      </c>
      <c r="K23" s="10" t="str">
        <f t="shared" ca="1" si="5"/>
        <v/>
      </c>
      <c r="L23" s="10" t="str">
        <f t="shared" ca="1" si="6"/>
        <v/>
      </c>
      <c r="M23" s="10">
        <f t="shared" ca="1" si="7"/>
        <v>0</v>
      </c>
      <c r="N23" s="11" t="str">
        <f t="shared" ca="1" si="36"/>
        <v/>
      </c>
      <c r="O23" s="1" t="str">
        <f t="shared" ca="1" si="9"/>
        <v/>
      </c>
      <c r="P23" s="9" t="str">
        <f t="shared" ca="1" si="10"/>
        <v/>
      </c>
      <c r="Q23" s="9"/>
      <c r="S23" s="1">
        <f t="shared" si="1"/>
        <v>0</v>
      </c>
      <c r="T23" s="1" t="e">
        <f ca="1">IF($B23=0,"",RANK(S23,INDIRECT(S$4&amp;":"&amp;S$3&amp;$D$5),0)+COUNTIF(S$8:S23,S23)-1)</f>
        <v>#N/A</v>
      </c>
      <c r="U23" s="1" t="str">
        <f t="shared" ca="1" si="11"/>
        <v/>
      </c>
      <c r="V23" s="10" t="str">
        <f t="shared" ca="1" si="12"/>
        <v/>
      </c>
      <c r="W23" s="10" t="str">
        <f t="shared" ca="1" si="13"/>
        <v/>
      </c>
      <c r="X23" s="10">
        <f t="shared" ca="1" si="14"/>
        <v>0</v>
      </c>
      <c r="Y23" s="11" t="str">
        <f t="shared" ca="1" si="37"/>
        <v/>
      </c>
      <c r="Z23" s="1" t="str">
        <f t="shared" ca="1" si="16"/>
        <v/>
      </c>
      <c r="AA23" s="9" t="str">
        <f t="shared" ca="1" si="17"/>
        <v/>
      </c>
      <c r="AB23" s="9"/>
      <c r="AD23" s="1">
        <f t="shared" si="2"/>
        <v>0</v>
      </c>
      <c r="AE23" s="1">
        <f ca="1">IF($B23=0,"",RANK(AD23,INDIRECT(AD$4&amp;":"&amp;AD$3&amp;$D$5),0)+COUNTIF(AD$8:AD23,AD23)-1)</f>
        <v>16</v>
      </c>
      <c r="AF23" s="1" t="str">
        <f t="shared" ca="1" si="18"/>
        <v/>
      </c>
      <c r="AG23" s="10" t="str">
        <f t="shared" ca="1" si="19"/>
        <v/>
      </c>
      <c r="AH23" s="10" t="str">
        <f t="shared" ca="1" si="20"/>
        <v/>
      </c>
      <c r="AI23" s="10">
        <f t="shared" ca="1" si="21"/>
        <v>0</v>
      </c>
      <c r="AJ23" s="11" t="str">
        <f t="shared" ca="1" si="22"/>
        <v/>
      </c>
      <c r="AK23" s="1" t="str">
        <f t="shared" ca="1" si="23"/>
        <v/>
      </c>
      <c r="AL23" s="9" t="str">
        <f t="shared" ca="1" si="24"/>
        <v/>
      </c>
      <c r="AM23" s="9"/>
      <c r="AO23" s="1">
        <f t="shared" si="3"/>
        <v>0</v>
      </c>
      <c r="AP23" s="1" t="e">
        <f ca="1">IF($B23=0,"",RANK(AO23,INDIRECT(AO$4&amp;":"&amp;AO$3&amp;$D$5),0)+COUNTIF(AO$8:AO23,AO23)-1)</f>
        <v>#N/A</v>
      </c>
      <c r="AQ23" s="1" t="str">
        <f t="shared" ca="1" si="25"/>
        <v/>
      </c>
      <c r="AR23" s="10" t="str">
        <f t="shared" ca="1" si="26"/>
        <v/>
      </c>
      <c r="AS23" s="10" t="str">
        <f t="shared" ca="1" si="27"/>
        <v/>
      </c>
      <c r="AT23" s="10">
        <f t="shared" ca="1" si="28"/>
        <v>0</v>
      </c>
      <c r="AU23" s="11" t="str">
        <f t="shared" ca="1" si="29"/>
        <v/>
      </c>
      <c r="AV23" s="1" t="str">
        <f t="shared" ca="1" si="30"/>
        <v/>
      </c>
      <c r="AW23" s="9" t="str">
        <f t="shared" ca="1" si="31"/>
        <v/>
      </c>
      <c r="AX23" s="9"/>
      <c r="BC23" s="10"/>
      <c r="BD23" s="10"/>
      <c r="BE23" s="10"/>
      <c r="BF23" s="11"/>
      <c r="BH23" s="9"/>
      <c r="BI23" s="9"/>
      <c r="BN23" s="10"/>
      <c r="BO23" s="10"/>
      <c r="BP23" s="10"/>
      <c r="BQ23" s="11"/>
      <c r="BS23" s="9"/>
      <c r="BY23" s="10"/>
      <c r="BZ23" s="10"/>
      <c r="CA23" s="10"/>
      <c r="CB23" s="11"/>
      <c r="CD23" s="9"/>
    </row>
    <row r="24" spans="1:82">
      <c r="A24" s="1">
        <f>tblTerritories!A19</f>
        <v>17</v>
      </c>
      <c r="B24" s="1">
        <f>tblTerritories!F19</f>
        <v>1</v>
      </c>
      <c r="C24" s="1" t="str">
        <f>tblTerritories!C19</f>
        <v>Ciudad_05: incompleto</v>
      </c>
      <c r="H24" s="1">
        <f t="shared" si="0"/>
        <v>0</v>
      </c>
      <c r="I24" s="1" t="e">
        <f ca="1">IF($B24=0,"",RANK(H24,INDIRECT(H$4&amp;":"&amp;H$3&amp;$D$5),0)+COUNTIF(H$8:H24,H24)-1)</f>
        <v>#N/A</v>
      </c>
      <c r="J24" s="1" t="str">
        <f t="shared" ca="1" si="4"/>
        <v/>
      </c>
      <c r="K24" s="10" t="str">
        <f t="shared" ca="1" si="5"/>
        <v/>
      </c>
      <c r="L24" s="10" t="str">
        <f t="shared" ca="1" si="6"/>
        <v/>
      </c>
      <c r="M24" s="10">
        <f t="shared" ca="1" si="7"/>
        <v>0</v>
      </c>
      <c r="N24" s="11" t="str">
        <f t="shared" ca="1" si="36"/>
        <v/>
      </c>
      <c r="O24" s="1" t="str">
        <f t="shared" ca="1" si="9"/>
        <v/>
      </c>
      <c r="P24" s="9" t="str">
        <f t="shared" ca="1" si="10"/>
        <v/>
      </c>
      <c r="Q24" s="9"/>
      <c r="S24" s="1">
        <f t="shared" si="1"/>
        <v>0</v>
      </c>
      <c r="T24" s="1" t="e">
        <f ca="1">IF($B24=0,"",RANK(S24,INDIRECT(S$4&amp;":"&amp;S$3&amp;$D$5),0)+COUNTIF(S$8:S24,S24)-1)</f>
        <v>#N/A</v>
      </c>
      <c r="U24" s="1" t="str">
        <f t="shared" ca="1" si="11"/>
        <v/>
      </c>
      <c r="V24" s="10" t="str">
        <f t="shared" ca="1" si="12"/>
        <v/>
      </c>
      <c r="W24" s="10" t="str">
        <f t="shared" ca="1" si="13"/>
        <v/>
      </c>
      <c r="X24" s="10">
        <f t="shared" ca="1" si="14"/>
        <v>0</v>
      </c>
      <c r="Y24" s="11" t="str">
        <f t="shared" ca="1" si="37"/>
        <v/>
      </c>
      <c r="Z24" s="1" t="str">
        <f t="shared" ca="1" si="16"/>
        <v/>
      </c>
      <c r="AA24" s="9" t="str">
        <f t="shared" ca="1" si="17"/>
        <v/>
      </c>
      <c r="AB24" s="9"/>
      <c r="AD24" s="1">
        <f t="shared" si="2"/>
        <v>0</v>
      </c>
      <c r="AE24" s="1">
        <f ca="1">IF($B24=0,"",RANK(AD24,INDIRECT(AD$4&amp;":"&amp;AD$3&amp;$D$5),0)+COUNTIF(AD$8:AD24,AD24)-1)</f>
        <v>17</v>
      </c>
      <c r="AF24" s="1" t="str">
        <f t="shared" ca="1" si="18"/>
        <v/>
      </c>
      <c r="AG24" s="10" t="str">
        <f t="shared" ca="1" si="19"/>
        <v/>
      </c>
      <c r="AH24" s="10" t="str">
        <f t="shared" ca="1" si="20"/>
        <v/>
      </c>
      <c r="AI24" s="10">
        <f t="shared" ca="1" si="21"/>
        <v>0</v>
      </c>
      <c r="AJ24" s="11" t="str">
        <f t="shared" ca="1" si="22"/>
        <v/>
      </c>
      <c r="AK24" s="1" t="str">
        <f t="shared" ca="1" si="23"/>
        <v/>
      </c>
      <c r="AL24" s="9" t="str">
        <f t="shared" ca="1" si="24"/>
        <v/>
      </c>
      <c r="AM24" s="9"/>
      <c r="AO24" s="1">
        <f t="shared" si="3"/>
        <v>0</v>
      </c>
      <c r="AP24" s="1" t="e">
        <f ca="1">IF($B24=0,"",RANK(AO24,INDIRECT(AO$4&amp;":"&amp;AO$3&amp;$D$5),0)+COUNTIF(AO$8:AO24,AO24)-1)</f>
        <v>#N/A</v>
      </c>
      <c r="AQ24" s="1" t="str">
        <f t="shared" ca="1" si="25"/>
        <v/>
      </c>
      <c r="AR24" s="10" t="str">
        <f t="shared" ca="1" si="26"/>
        <v/>
      </c>
      <c r="AS24" s="10" t="str">
        <f t="shared" ca="1" si="27"/>
        <v/>
      </c>
      <c r="AT24" s="10">
        <f t="shared" ca="1" si="28"/>
        <v>0</v>
      </c>
      <c r="AU24" s="11" t="str">
        <f t="shared" ca="1" si="29"/>
        <v/>
      </c>
      <c r="AV24" s="1" t="str">
        <f t="shared" ca="1" si="30"/>
        <v/>
      </c>
      <c r="AW24" s="9" t="str">
        <f t="shared" ca="1" si="31"/>
        <v/>
      </c>
      <c r="AX24" s="9"/>
      <c r="BC24" s="10"/>
      <c r="BD24" s="10"/>
      <c r="BE24" s="10"/>
      <c r="BF24" s="11"/>
      <c r="BH24" s="9"/>
      <c r="BI24" s="9"/>
      <c r="BN24" s="10"/>
      <c r="BO24" s="10"/>
      <c r="BP24" s="10"/>
      <c r="BQ24" s="11"/>
      <c r="BS24" s="9"/>
      <c r="BY24" s="10"/>
      <c r="BZ24" s="10"/>
      <c r="CA24" s="10"/>
      <c r="CB24" s="11"/>
      <c r="CD24" s="9"/>
    </row>
    <row r="25" spans="1:82">
      <c r="A25" s="1">
        <f>tblTerritories!A20</f>
        <v>18</v>
      </c>
      <c r="B25" s="1">
        <f>tblTerritories!F20</f>
        <v>1</v>
      </c>
      <c r="C25" s="1" t="str">
        <f>tblTerritories!C20</f>
        <v>Ciudad_06: incompleto</v>
      </c>
      <c r="H25" s="1">
        <f t="shared" si="0"/>
        <v>0</v>
      </c>
      <c r="I25" s="1" t="e">
        <f ca="1">IF($B25=0,"",RANK(H25,INDIRECT(H$4&amp;":"&amp;H$3&amp;$D$5),0)+COUNTIF(H$8:H25,H25)-1)</f>
        <v>#N/A</v>
      </c>
      <c r="J25" s="1" t="str">
        <f t="shared" ca="1" si="4"/>
        <v/>
      </c>
      <c r="K25" s="10" t="str">
        <f t="shared" ca="1" si="5"/>
        <v/>
      </c>
      <c r="L25" s="10" t="str">
        <f t="shared" ca="1" si="6"/>
        <v/>
      </c>
      <c r="M25" s="10">
        <f t="shared" ca="1" si="7"/>
        <v>0</v>
      </c>
      <c r="N25" s="11" t="str">
        <f t="shared" ca="1" si="36"/>
        <v/>
      </c>
      <c r="O25" s="1" t="str">
        <f t="shared" ca="1" si="9"/>
        <v/>
      </c>
      <c r="P25" s="9" t="str">
        <f t="shared" ca="1" si="10"/>
        <v/>
      </c>
      <c r="Q25" s="9"/>
      <c r="S25" s="1">
        <f t="shared" si="1"/>
        <v>0</v>
      </c>
      <c r="T25" s="1" t="e">
        <f ca="1">IF($B25=0,"",RANK(S25,INDIRECT(S$4&amp;":"&amp;S$3&amp;$D$5),0)+COUNTIF(S$8:S25,S25)-1)</f>
        <v>#N/A</v>
      </c>
      <c r="U25" s="1" t="str">
        <f t="shared" ca="1" si="11"/>
        <v/>
      </c>
      <c r="V25" s="10" t="str">
        <f t="shared" ca="1" si="12"/>
        <v/>
      </c>
      <c r="W25" s="10" t="str">
        <f t="shared" ca="1" si="13"/>
        <v/>
      </c>
      <c r="X25" s="10">
        <f t="shared" ca="1" si="14"/>
        <v>0</v>
      </c>
      <c r="Y25" s="11" t="str">
        <f t="shared" ca="1" si="37"/>
        <v/>
      </c>
      <c r="Z25" s="1" t="str">
        <f t="shared" ca="1" si="16"/>
        <v/>
      </c>
      <c r="AA25" s="9" t="str">
        <f t="shared" ca="1" si="17"/>
        <v/>
      </c>
      <c r="AB25" s="9"/>
      <c r="AD25" s="1">
        <f t="shared" si="2"/>
        <v>0</v>
      </c>
      <c r="AE25" s="1">
        <f ca="1">IF($B25=0,"",RANK(AD25,INDIRECT(AD$4&amp;":"&amp;AD$3&amp;$D$5),0)+COUNTIF(AD$8:AD25,AD25)-1)</f>
        <v>18</v>
      </c>
      <c r="AF25" s="1" t="str">
        <f t="shared" ca="1" si="18"/>
        <v/>
      </c>
      <c r="AG25" s="10" t="str">
        <f t="shared" ca="1" si="19"/>
        <v/>
      </c>
      <c r="AH25" s="10" t="str">
        <f t="shared" ca="1" si="20"/>
        <v/>
      </c>
      <c r="AI25" s="10">
        <f t="shared" ca="1" si="21"/>
        <v>0</v>
      </c>
      <c r="AJ25" s="11" t="str">
        <f t="shared" ca="1" si="22"/>
        <v/>
      </c>
      <c r="AK25" s="1" t="str">
        <f t="shared" ca="1" si="23"/>
        <v/>
      </c>
      <c r="AL25" s="9" t="str">
        <f t="shared" ca="1" si="24"/>
        <v/>
      </c>
      <c r="AM25" s="9"/>
      <c r="AO25" s="1">
        <f t="shared" si="3"/>
        <v>0</v>
      </c>
      <c r="AP25" s="1" t="e">
        <f ca="1">IF($B25=0,"",RANK(AO25,INDIRECT(AO$4&amp;":"&amp;AO$3&amp;$D$5),0)+COUNTIF(AO$8:AO25,AO25)-1)</f>
        <v>#N/A</v>
      </c>
      <c r="AQ25" s="1" t="str">
        <f t="shared" ca="1" si="25"/>
        <v/>
      </c>
      <c r="AR25" s="10" t="str">
        <f t="shared" ca="1" si="26"/>
        <v/>
      </c>
      <c r="AS25" s="10" t="str">
        <f t="shared" ca="1" si="27"/>
        <v/>
      </c>
      <c r="AT25" s="10">
        <f t="shared" ca="1" si="28"/>
        <v>0</v>
      </c>
      <c r="AU25" s="11" t="str">
        <f t="shared" ca="1" si="29"/>
        <v/>
      </c>
      <c r="AV25" s="1" t="str">
        <f t="shared" ca="1" si="30"/>
        <v/>
      </c>
      <c r="AW25" s="9" t="str">
        <f t="shared" ca="1" si="31"/>
        <v/>
      </c>
      <c r="AX25" s="9"/>
      <c r="BC25" s="10"/>
      <c r="BD25" s="10"/>
      <c r="BE25" s="10"/>
      <c r="BF25" s="11"/>
      <c r="BH25" s="9"/>
      <c r="BI25" s="9"/>
      <c r="BN25" s="10"/>
      <c r="BO25" s="10"/>
      <c r="BP25" s="10"/>
      <c r="BQ25" s="11"/>
      <c r="BS25" s="9"/>
      <c r="BY25" s="10"/>
      <c r="BZ25" s="10"/>
      <c r="CA25" s="10"/>
      <c r="CB25" s="11"/>
      <c r="CD25" s="9"/>
    </row>
    <row r="26" spans="1:82">
      <c r="A26" s="1">
        <f>tblTerritories!A21</f>
        <v>19</v>
      </c>
      <c r="B26" s="1">
        <f>tblTerritories!F21</f>
        <v>1</v>
      </c>
      <c r="C26" s="1" t="str">
        <f>tblTerritories!C21</f>
        <v>Ciudad_07: incompleto</v>
      </c>
      <c r="H26" s="1">
        <f t="shared" si="0"/>
        <v>0</v>
      </c>
      <c r="I26" s="1" t="e">
        <f ca="1">IF($B26=0,"",RANK(H26,INDIRECT(H$4&amp;":"&amp;H$3&amp;$D$5),0)+COUNTIF(H$8:H26,H26)-1)</f>
        <v>#N/A</v>
      </c>
      <c r="J26" s="1" t="str">
        <f t="shared" ca="1" si="4"/>
        <v/>
      </c>
      <c r="K26" s="10" t="str">
        <f t="shared" ca="1" si="5"/>
        <v/>
      </c>
      <c r="L26" s="10" t="str">
        <f t="shared" ca="1" si="6"/>
        <v/>
      </c>
      <c r="M26" s="10">
        <f t="shared" ca="1" si="7"/>
        <v>0</v>
      </c>
      <c r="N26" s="11" t="str">
        <f t="shared" ca="1" si="36"/>
        <v/>
      </c>
      <c r="O26" s="1" t="str">
        <f t="shared" ca="1" si="9"/>
        <v/>
      </c>
      <c r="P26" s="9" t="str">
        <f t="shared" ca="1" si="10"/>
        <v/>
      </c>
      <c r="Q26" s="9"/>
      <c r="S26" s="1">
        <f t="shared" si="1"/>
        <v>0</v>
      </c>
      <c r="T26" s="1" t="e">
        <f ca="1">IF($B26=0,"",RANK(S26,INDIRECT(S$4&amp;":"&amp;S$3&amp;$D$5),0)+COUNTIF(S$8:S26,S26)-1)</f>
        <v>#N/A</v>
      </c>
      <c r="U26" s="1" t="str">
        <f t="shared" ca="1" si="11"/>
        <v/>
      </c>
      <c r="V26" s="10" t="str">
        <f t="shared" ca="1" si="12"/>
        <v/>
      </c>
      <c r="W26" s="10" t="str">
        <f t="shared" ca="1" si="13"/>
        <v/>
      </c>
      <c r="X26" s="10">
        <f t="shared" ca="1" si="14"/>
        <v>0</v>
      </c>
      <c r="Y26" s="11" t="str">
        <f t="shared" ca="1" si="37"/>
        <v/>
      </c>
      <c r="Z26" s="1" t="str">
        <f t="shared" ca="1" si="16"/>
        <v/>
      </c>
      <c r="AA26" s="9" t="str">
        <f t="shared" ca="1" si="17"/>
        <v/>
      </c>
      <c r="AB26" s="9"/>
      <c r="AD26" s="1">
        <f t="shared" si="2"/>
        <v>0</v>
      </c>
      <c r="AE26" s="1">
        <f ca="1">IF($B26=0,"",RANK(AD26,INDIRECT(AD$4&amp;":"&amp;AD$3&amp;$D$5),0)+COUNTIF(AD$8:AD26,AD26)-1)</f>
        <v>19</v>
      </c>
      <c r="AF26" s="1" t="str">
        <f t="shared" ca="1" si="18"/>
        <v/>
      </c>
      <c r="AG26" s="10" t="str">
        <f t="shared" ca="1" si="19"/>
        <v/>
      </c>
      <c r="AH26" s="10" t="str">
        <f t="shared" ca="1" si="20"/>
        <v/>
      </c>
      <c r="AI26" s="10">
        <f t="shared" ca="1" si="21"/>
        <v>0</v>
      </c>
      <c r="AJ26" s="11" t="str">
        <f t="shared" ca="1" si="22"/>
        <v/>
      </c>
      <c r="AK26" s="1" t="str">
        <f t="shared" ca="1" si="23"/>
        <v/>
      </c>
      <c r="AL26" s="9" t="str">
        <f t="shared" ca="1" si="24"/>
        <v/>
      </c>
      <c r="AM26" s="9"/>
      <c r="AO26" s="1">
        <f t="shared" si="3"/>
        <v>0</v>
      </c>
      <c r="AP26" s="1" t="e">
        <f ca="1">IF($B26=0,"",RANK(AO26,INDIRECT(AO$4&amp;":"&amp;AO$3&amp;$D$5),0)+COUNTIF(AO$8:AO26,AO26)-1)</f>
        <v>#N/A</v>
      </c>
      <c r="AQ26" s="1" t="str">
        <f t="shared" ca="1" si="25"/>
        <v/>
      </c>
      <c r="AR26" s="10" t="str">
        <f t="shared" ca="1" si="26"/>
        <v/>
      </c>
      <c r="AS26" s="10" t="str">
        <f t="shared" ca="1" si="27"/>
        <v/>
      </c>
      <c r="AT26" s="10">
        <f t="shared" ca="1" si="28"/>
        <v>0</v>
      </c>
      <c r="AU26" s="11" t="str">
        <f t="shared" ca="1" si="29"/>
        <v/>
      </c>
      <c r="AV26" s="1" t="str">
        <f t="shared" ca="1" si="30"/>
        <v/>
      </c>
      <c r="AW26" s="9" t="str">
        <f t="shared" ca="1" si="31"/>
        <v/>
      </c>
      <c r="AX26" s="9"/>
      <c r="BC26" s="10"/>
      <c r="BD26" s="10"/>
      <c r="BE26" s="10"/>
      <c r="BF26" s="11"/>
      <c r="BH26" s="9"/>
      <c r="BI26" s="9"/>
      <c r="BN26" s="10"/>
      <c r="BO26" s="10"/>
      <c r="BP26" s="10"/>
      <c r="BQ26" s="11"/>
      <c r="BS26" s="9"/>
      <c r="BY26" s="10"/>
      <c r="BZ26" s="10"/>
      <c r="CA26" s="10"/>
      <c r="CB26" s="11"/>
      <c r="CD26" s="9"/>
    </row>
    <row r="27" spans="1:82">
      <c r="A27" s="1">
        <f>tblTerritories!A22</f>
        <v>20</v>
      </c>
      <c r="B27" s="1">
        <f>tblTerritories!F22</f>
        <v>1</v>
      </c>
      <c r="C27" s="1" t="str">
        <f>tblTerritories!C22</f>
        <v>Ciudad_08: incompleto</v>
      </c>
      <c r="H27" s="1">
        <f t="shared" si="0"/>
        <v>0</v>
      </c>
      <c r="I27" s="1" t="e">
        <f ca="1">IF($B27=0,"",RANK(H27,INDIRECT(H$4&amp;":"&amp;H$3&amp;$D$5),0)+COUNTIF(H$8:H27,H27)-1)</f>
        <v>#N/A</v>
      </c>
      <c r="J27" s="1" t="str">
        <f t="shared" ca="1" si="4"/>
        <v/>
      </c>
      <c r="K27" s="10" t="str">
        <f t="shared" ca="1" si="5"/>
        <v/>
      </c>
      <c r="L27" s="10" t="str">
        <f t="shared" ca="1" si="6"/>
        <v/>
      </c>
      <c r="M27" s="10">
        <f t="shared" ca="1" si="7"/>
        <v>0</v>
      </c>
      <c r="N27" s="11" t="str">
        <f t="shared" ca="1" si="36"/>
        <v/>
      </c>
      <c r="O27" s="1" t="str">
        <f t="shared" ca="1" si="9"/>
        <v/>
      </c>
      <c r="P27" s="9" t="str">
        <f t="shared" ca="1" si="10"/>
        <v/>
      </c>
      <c r="Q27" s="9"/>
      <c r="S27" s="1">
        <f t="shared" si="1"/>
        <v>0</v>
      </c>
      <c r="T27" s="1" t="e">
        <f ca="1">IF($B27=0,"",RANK(S27,INDIRECT(S$4&amp;":"&amp;S$3&amp;$D$5),0)+COUNTIF(S$8:S27,S27)-1)</f>
        <v>#N/A</v>
      </c>
      <c r="U27" s="1" t="str">
        <f t="shared" ca="1" si="11"/>
        <v/>
      </c>
      <c r="V27" s="10" t="str">
        <f t="shared" ca="1" si="12"/>
        <v/>
      </c>
      <c r="W27" s="10" t="str">
        <f t="shared" ca="1" si="13"/>
        <v/>
      </c>
      <c r="X27" s="10">
        <f t="shared" ca="1" si="14"/>
        <v>0</v>
      </c>
      <c r="Y27" s="11" t="str">
        <f t="shared" ca="1" si="37"/>
        <v/>
      </c>
      <c r="Z27" s="1" t="str">
        <f t="shared" ca="1" si="16"/>
        <v/>
      </c>
      <c r="AA27" s="9" t="str">
        <f t="shared" ca="1" si="17"/>
        <v/>
      </c>
      <c r="AB27" s="9"/>
      <c r="AD27" s="1">
        <f t="shared" si="2"/>
        <v>0</v>
      </c>
      <c r="AE27" s="1">
        <f ca="1">IF($B27=0,"",RANK(AD27,INDIRECT(AD$4&amp;":"&amp;AD$3&amp;$D$5),0)+COUNTIF(AD$8:AD27,AD27)-1)</f>
        <v>20</v>
      </c>
      <c r="AF27" s="1" t="str">
        <f t="shared" ca="1" si="18"/>
        <v/>
      </c>
      <c r="AG27" s="10" t="str">
        <f t="shared" ca="1" si="19"/>
        <v/>
      </c>
      <c r="AH27" s="10" t="str">
        <f t="shared" ca="1" si="20"/>
        <v/>
      </c>
      <c r="AI27" s="10">
        <f t="shared" ca="1" si="21"/>
        <v>0</v>
      </c>
      <c r="AJ27" s="11" t="str">
        <f t="shared" ca="1" si="22"/>
        <v/>
      </c>
      <c r="AK27" s="1" t="str">
        <f t="shared" ca="1" si="23"/>
        <v/>
      </c>
      <c r="AL27" s="9" t="str">
        <f t="shared" ca="1" si="24"/>
        <v/>
      </c>
      <c r="AM27" s="9"/>
      <c r="AO27" s="1">
        <f t="shared" si="3"/>
        <v>0</v>
      </c>
      <c r="AP27" s="1" t="e">
        <f ca="1">IF($B27=0,"",RANK(AO27,INDIRECT(AO$4&amp;":"&amp;AO$3&amp;$D$5),0)+COUNTIF(AO$8:AO27,AO27)-1)</f>
        <v>#N/A</v>
      </c>
      <c r="AQ27" s="1" t="str">
        <f t="shared" ca="1" si="25"/>
        <v/>
      </c>
      <c r="AR27" s="10" t="str">
        <f t="shared" ca="1" si="26"/>
        <v/>
      </c>
      <c r="AS27" s="10" t="str">
        <f t="shared" ca="1" si="27"/>
        <v/>
      </c>
      <c r="AT27" s="10">
        <f t="shared" ca="1" si="28"/>
        <v>0</v>
      </c>
      <c r="AU27" s="11" t="str">
        <f t="shared" ca="1" si="29"/>
        <v/>
      </c>
      <c r="AV27" s="1" t="str">
        <f t="shared" ca="1" si="30"/>
        <v/>
      </c>
      <c r="AW27" s="9" t="str">
        <f t="shared" ca="1" si="31"/>
        <v/>
      </c>
      <c r="AX27" s="9"/>
      <c r="BC27" s="10"/>
      <c r="BD27" s="10"/>
      <c r="BE27" s="10"/>
      <c r="BF27" s="11"/>
      <c r="BH27" s="9"/>
      <c r="BI27" s="9"/>
      <c r="BN27" s="10"/>
      <c r="BO27" s="10"/>
      <c r="BP27" s="10"/>
      <c r="BQ27" s="11"/>
      <c r="BS27" s="9"/>
      <c r="BY27" s="10"/>
      <c r="BZ27" s="10"/>
      <c r="CA27" s="10"/>
      <c r="CB27" s="11"/>
      <c r="CD27" s="9"/>
    </row>
    <row r="28" spans="1:82">
      <c r="A28" s="1">
        <f>tblTerritories!A23</f>
        <v>21</v>
      </c>
      <c r="B28" s="1">
        <f>tblTerritories!F23</f>
        <v>1</v>
      </c>
      <c r="C28" s="1" t="str">
        <f>tblTerritories!C23</f>
        <v>Ciudad_09: incompleto</v>
      </c>
      <c r="H28" s="1">
        <f t="shared" si="0"/>
        <v>0</v>
      </c>
      <c r="I28" s="1" t="e">
        <f ca="1">IF($B28=0,"",RANK(H28,INDIRECT(H$4&amp;":"&amp;H$3&amp;$D$5),0)+COUNTIF(H$8:H28,H28)-1)</f>
        <v>#N/A</v>
      </c>
      <c r="J28" s="1" t="str">
        <f t="shared" ca="1" si="4"/>
        <v/>
      </c>
      <c r="K28" s="10" t="str">
        <f t="shared" ca="1" si="5"/>
        <v/>
      </c>
      <c r="L28" s="10" t="str">
        <f t="shared" ca="1" si="6"/>
        <v/>
      </c>
      <c r="M28" s="10">
        <f t="shared" ca="1" si="7"/>
        <v>0</v>
      </c>
      <c r="N28" s="11" t="str">
        <f t="shared" ca="1" si="36"/>
        <v/>
      </c>
      <c r="O28" s="1" t="str">
        <f t="shared" ca="1" si="9"/>
        <v/>
      </c>
      <c r="P28" s="9" t="str">
        <f t="shared" ca="1" si="10"/>
        <v/>
      </c>
      <c r="Q28" s="9"/>
      <c r="S28" s="1">
        <f t="shared" si="1"/>
        <v>0</v>
      </c>
      <c r="T28" s="1" t="e">
        <f ca="1">IF($B28=0,"",RANK(S28,INDIRECT(S$4&amp;":"&amp;S$3&amp;$D$5),0)+COUNTIF(S$8:S28,S28)-1)</f>
        <v>#N/A</v>
      </c>
      <c r="U28" s="1" t="str">
        <f t="shared" ca="1" si="11"/>
        <v/>
      </c>
      <c r="V28" s="10" t="str">
        <f t="shared" ca="1" si="12"/>
        <v/>
      </c>
      <c r="W28" s="10" t="str">
        <f t="shared" ca="1" si="13"/>
        <v/>
      </c>
      <c r="X28" s="10">
        <f t="shared" ca="1" si="14"/>
        <v>0</v>
      </c>
      <c r="Y28" s="11" t="str">
        <f t="shared" ca="1" si="37"/>
        <v/>
      </c>
      <c r="Z28" s="1" t="str">
        <f t="shared" ca="1" si="16"/>
        <v/>
      </c>
      <c r="AA28" s="9" t="str">
        <f t="shared" ca="1" si="17"/>
        <v/>
      </c>
      <c r="AB28" s="9"/>
      <c r="AD28" s="1">
        <f t="shared" si="2"/>
        <v>0</v>
      </c>
      <c r="AE28" s="1">
        <f ca="1">IF($B28=0,"",RANK(AD28,INDIRECT(AD$4&amp;":"&amp;AD$3&amp;$D$5),0)+COUNTIF(AD$8:AD28,AD28)-1)</f>
        <v>21</v>
      </c>
      <c r="AF28" s="1" t="str">
        <f t="shared" ca="1" si="18"/>
        <v/>
      </c>
      <c r="AG28" s="10" t="str">
        <f t="shared" ca="1" si="19"/>
        <v/>
      </c>
      <c r="AH28" s="10" t="str">
        <f t="shared" ca="1" si="20"/>
        <v/>
      </c>
      <c r="AI28" s="10">
        <f t="shared" ca="1" si="21"/>
        <v>0</v>
      </c>
      <c r="AJ28" s="11" t="str">
        <f t="shared" ca="1" si="22"/>
        <v/>
      </c>
      <c r="AK28" s="1" t="str">
        <f t="shared" ca="1" si="23"/>
        <v/>
      </c>
      <c r="AL28" s="9" t="str">
        <f t="shared" ca="1" si="24"/>
        <v/>
      </c>
      <c r="AM28" s="9"/>
      <c r="AO28" s="1">
        <f t="shared" si="3"/>
        <v>0</v>
      </c>
      <c r="AP28" s="1" t="e">
        <f ca="1">IF($B28=0,"",RANK(AO28,INDIRECT(AO$4&amp;":"&amp;AO$3&amp;$D$5),0)+COUNTIF(AO$8:AO28,AO28)-1)</f>
        <v>#N/A</v>
      </c>
      <c r="AQ28" s="1" t="str">
        <f t="shared" ca="1" si="25"/>
        <v/>
      </c>
      <c r="AR28" s="10" t="str">
        <f t="shared" ca="1" si="26"/>
        <v/>
      </c>
      <c r="AS28" s="10" t="str">
        <f t="shared" ca="1" si="27"/>
        <v/>
      </c>
      <c r="AT28" s="10">
        <f t="shared" ca="1" si="28"/>
        <v>0</v>
      </c>
      <c r="AU28" s="11" t="str">
        <f t="shared" ca="1" si="29"/>
        <v/>
      </c>
      <c r="AV28" s="1" t="str">
        <f t="shared" ca="1" si="30"/>
        <v/>
      </c>
      <c r="AW28" s="9" t="str">
        <f t="shared" ca="1" si="31"/>
        <v/>
      </c>
      <c r="AX28" s="9"/>
      <c r="BC28" s="10"/>
      <c r="BD28" s="10"/>
      <c r="BE28" s="10"/>
      <c r="BF28" s="11"/>
      <c r="BH28" s="9"/>
      <c r="BI28" s="9"/>
      <c r="BN28" s="10"/>
      <c r="BO28" s="10"/>
      <c r="BP28" s="10"/>
      <c r="BQ28" s="11"/>
      <c r="BS28" s="9"/>
      <c r="BY28" s="10"/>
      <c r="BZ28" s="10"/>
      <c r="CA28" s="10"/>
      <c r="CB28" s="11"/>
      <c r="CD28" s="9"/>
    </row>
    <row r="29" spans="1:82">
      <c r="A29" s="1">
        <f>tblTerritories!A24</f>
        <v>22</v>
      </c>
      <c r="B29" s="1">
        <f>tblTerritories!F24</f>
        <v>1</v>
      </c>
      <c r="C29" s="1" t="str">
        <f>tblTerritories!C24</f>
        <v>Ciudad_10: incompleto</v>
      </c>
      <c r="H29" s="1">
        <f t="shared" si="0"/>
        <v>0</v>
      </c>
      <c r="I29" s="1" t="e">
        <f ca="1">IF($B29=0,"",RANK(H29,INDIRECT(H$4&amp;":"&amp;H$3&amp;$D$5),0)+COUNTIF(H$8:H29,H29)-1)</f>
        <v>#N/A</v>
      </c>
      <c r="J29" s="1" t="str">
        <f t="shared" ca="1" si="4"/>
        <v/>
      </c>
      <c r="K29" s="10" t="str">
        <f t="shared" ca="1" si="5"/>
        <v/>
      </c>
      <c r="L29" s="10" t="str">
        <f t="shared" ca="1" si="6"/>
        <v/>
      </c>
      <c r="M29" s="10">
        <f t="shared" ca="1" si="7"/>
        <v>0</v>
      </c>
      <c r="N29" s="11" t="str">
        <f t="shared" ca="1" si="36"/>
        <v/>
      </c>
      <c r="O29" s="1" t="str">
        <f t="shared" ca="1" si="9"/>
        <v/>
      </c>
      <c r="P29" s="9" t="str">
        <f t="shared" ca="1" si="10"/>
        <v/>
      </c>
      <c r="Q29" s="9"/>
      <c r="S29" s="1">
        <f t="shared" si="1"/>
        <v>0</v>
      </c>
      <c r="T29" s="1" t="e">
        <f ca="1">IF($B29=0,"",RANK(S29,INDIRECT(S$4&amp;":"&amp;S$3&amp;$D$5),0)+COUNTIF(S$8:S29,S29)-1)</f>
        <v>#N/A</v>
      </c>
      <c r="U29" s="1" t="str">
        <f t="shared" ca="1" si="11"/>
        <v/>
      </c>
      <c r="V29" s="10" t="str">
        <f t="shared" ca="1" si="12"/>
        <v/>
      </c>
      <c r="W29" s="10" t="str">
        <f t="shared" ca="1" si="13"/>
        <v/>
      </c>
      <c r="X29" s="10">
        <f t="shared" ca="1" si="14"/>
        <v>0</v>
      </c>
      <c r="Y29" s="11" t="str">
        <f t="shared" ca="1" si="37"/>
        <v/>
      </c>
      <c r="Z29" s="1" t="str">
        <f t="shared" ca="1" si="16"/>
        <v/>
      </c>
      <c r="AA29" s="9" t="str">
        <f t="shared" ca="1" si="17"/>
        <v/>
      </c>
      <c r="AB29" s="9"/>
      <c r="AD29" s="1">
        <f t="shared" si="2"/>
        <v>0</v>
      </c>
      <c r="AE29" s="1">
        <f ca="1">IF($B29=0,"",RANK(AD29,INDIRECT(AD$4&amp;":"&amp;AD$3&amp;$D$5),0)+COUNTIF(AD$8:AD29,AD29)-1)</f>
        <v>22</v>
      </c>
      <c r="AF29" s="1" t="str">
        <f t="shared" ca="1" si="18"/>
        <v/>
      </c>
      <c r="AG29" s="10" t="str">
        <f t="shared" ca="1" si="19"/>
        <v/>
      </c>
      <c r="AH29" s="10" t="str">
        <f t="shared" ca="1" si="20"/>
        <v/>
      </c>
      <c r="AI29" s="10">
        <f t="shared" ca="1" si="21"/>
        <v>0</v>
      </c>
      <c r="AJ29" s="11" t="str">
        <f t="shared" ca="1" si="22"/>
        <v/>
      </c>
      <c r="AK29" s="1" t="str">
        <f t="shared" ca="1" si="23"/>
        <v/>
      </c>
      <c r="AL29" s="9" t="str">
        <f t="shared" ca="1" si="24"/>
        <v/>
      </c>
      <c r="AM29" s="9"/>
      <c r="AO29" s="1">
        <f t="shared" si="3"/>
        <v>0</v>
      </c>
      <c r="AP29" s="1" t="e">
        <f ca="1">IF($B29=0,"",RANK(AO29,INDIRECT(AO$4&amp;":"&amp;AO$3&amp;$D$5),0)+COUNTIF(AO$8:AO29,AO29)-1)</f>
        <v>#N/A</v>
      </c>
      <c r="AQ29" s="1" t="str">
        <f t="shared" ca="1" si="25"/>
        <v/>
      </c>
      <c r="AR29" s="10" t="str">
        <f t="shared" ca="1" si="26"/>
        <v/>
      </c>
      <c r="AS29" s="10" t="str">
        <f t="shared" ca="1" si="27"/>
        <v/>
      </c>
      <c r="AT29" s="10">
        <f t="shared" ca="1" si="28"/>
        <v>0</v>
      </c>
      <c r="AU29" s="11" t="str">
        <f t="shared" ca="1" si="29"/>
        <v/>
      </c>
      <c r="AV29" s="1" t="str">
        <f t="shared" ca="1" si="30"/>
        <v/>
      </c>
      <c r="AW29" s="9" t="str">
        <f t="shared" ca="1" si="31"/>
        <v/>
      </c>
      <c r="AX29" s="9"/>
      <c r="BC29" s="10"/>
      <c r="BD29" s="10"/>
      <c r="BE29" s="10"/>
      <c r="BF29" s="11"/>
      <c r="BH29" s="9"/>
      <c r="BI29" s="9"/>
      <c r="BN29" s="10"/>
      <c r="BO29" s="10"/>
      <c r="BP29" s="10"/>
      <c r="BQ29" s="11"/>
      <c r="BS29" s="9"/>
      <c r="BY29" s="10"/>
      <c r="BZ29" s="10"/>
      <c r="CA29" s="10"/>
      <c r="CB29" s="11"/>
      <c r="CD29" s="9"/>
    </row>
    <row r="30" spans="1:82">
      <c r="K30" s="10"/>
      <c r="L30" s="10"/>
      <c r="M30" s="10"/>
      <c r="N30" s="11"/>
      <c r="P30" s="9"/>
      <c r="Q30" s="9"/>
      <c r="V30" s="10"/>
      <c r="W30" s="10"/>
      <c r="X30" s="10"/>
      <c r="Y30" s="11"/>
      <c r="AA30" s="9"/>
      <c r="AB30" s="9"/>
      <c r="AG30" s="10"/>
      <c r="AH30" s="10"/>
      <c r="AI30" s="10"/>
      <c r="AJ30" s="11"/>
      <c r="AL30" s="9"/>
      <c r="AM30" s="9"/>
      <c r="AR30" s="10"/>
      <c r="AS30" s="10"/>
      <c r="AT30" s="10"/>
      <c r="AU30" s="11"/>
      <c r="AW30" s="9"/>
      <c r="AX30" s="9"/>
      <c r="BC30" s="10"/>
      <c r="BD30" s="10"/>
      <c r="BE30" s="10"/>
      <c r="BF30" s="11"/>
      <c r="BH30" s="9"/>
      <c r="BI30" s="9"/>
      <c r="BN30" s="10"/>
      <c r="BO30" s="10"/>
      <c r="BP30" s="10"/>
      <c r="BQ30" s="11"/>
      <c r="BS30" s="9"/>
      <c r="BY30" s="10"/>
      <c r="BZ30" s="10"/>
      <c r="CA30" s="10"/>
      <c r="CB30" s="11"/>
      <c r="CD30" s="9"/>
    </row>
    <row r="31" spans="1:82">
      <c r="K31" s="10"/>
      <c r="L31" s="10"/>
      <c r="M31" s="10"/>
      <c r="N31" s="11"/>
      <c r="P31" s="9"/>
      <c r="Q31" s="9"/>
      <c r="V31" s="10"/>
      <c r="W31" s="10"/>
      <c r="X31" s="10"/>
      <c r="Y31" s="11"/>
      <c r="AA31" s="9"/>
      <c r="AB31" s="9"/>
      <c r="AG31" s="10"/>
      <c r="AH31" s="10"/>
      <c r="AI31" s="10"/>
      <c r="AJ31" s="11"/>
      <c r="AL31" s="9"/>
      <c r="AM31" s="9"/>
      <c r="AR31" s="10"/>
      <c r="AS31" s="10"/>
      <c r="AT31" s="10"/>
      <c r="AU31" s="11"/>
      <c r="AW31" s="9"/>
      <c r="AX31" s="9"/>
      <c r="BC31" s="10"/>
      <c r="BD31" s="10"/>
      <c r="BE31" s="10"/>
      <c r="BF31" s="11"/>
      <c r="BH31" s="9"/>
      <c r="BI31" s="9"/>
      <c r="BN31" s="10"/>
      <c r="BO31" s="10"/>
      <c r="BP31" s="10"/>
      <c r="BQ31" s="11"/>
      <c r="BS31" s="9"/>
      <c r="BY31" s="10"/>
      <c r="BZ31" s="10"/>
      <c r="CA31" s="10"/>
      <c r="CB31" s="11"/>
      <c r="CD31" s="9"/>
    </row>
    <row r="35" spans="27:27">
      <c r="AA35" s="581"/>
    </row>
  </sheetData>
  <phoneticPr fontId="4" type="noConversion"/>
  <pageMargins left="0.55118110236220474" right="0.55118110236220474" top="0.59055118110236227" bottom="0.78740157480314965" header="0.51181102362204722" footer="0.51181102362204722"/>
  <pageSetup paperSize="9" scale="27" orientation="landscape" r:id="rId1"/>
  <headerFooter alignWithMargins="0">
    <oddHeader>&amp;RResultados del Modelo de Reciclaje Inclusivo</oddHeader>
  </headerFooter>
</worksheet>
</file>

<file path=xl/worksheets/sheet10.xml><?xml version="1.0" encoding="utf-8"?>
<worksheet xmlns="http://schemas.openxmlformats.org/spreadsheetml/2006/main" xmlns:r="http://schemas.openxmlformats.org/officeDocument/2006/relationships">
  <sheetPr codeName="Sheet49">
    <tabColor rgb="FFFFFF00"/>
    <pageSetUpPr fitToPage="1"/>
  </sheetPr>
  <dimension ref="A1:BJ63"/>
  <sheetViews>
    <sheetView showRowColHeaders="0" topLeftCell="A3" zoomScale="80" zoomScaleNormal="80" workbookViewId="0">
      <selection activeCell="U8" sqref="U8"/>
    </sheetView>
  </sheetViews>
  <sheetFormatPr defaultColWidth="9.140625" defaultRowHeight="11.25"/>
  <cols>
    <col min="1" max="1" width="9.5703125" style="95" bestFit="1" customWidth="1"/>
    <col min="2" max="2" width="8.28515625" style="95" bestFit="1" customWidth="1"/>
    <col min="3" max="3" width="15.5703125" style="95" bestFit="1" customWidth="1"/>
    <col min="4" max="4" width="8" style="95" customWidth="1"/>
    <col min="5" max="6" width="11.5703125" style="95" bestFit="1" customWidth="1"/>
    <col min="7" max="7" width="7" style="95" bestFit="1" customWidth="1"/>
    <col min="8" max="8" width="15" style="95" bestFit="1" customWidth="1"/>
    <col min="9" max="9" width="5.140625" style="95" bestFit="1" customWidth="1"/>
    <col min="10" max="10" width="3.140625" style="95" bestFit="1" customWidth="1"/>
    <col min="11" max="11" width="6" style="95" bestFit="1" customWidth="1"/>
    <col min="12" max="12" width="14.5703125" style="95" bestFit="1" customWidth="1"/>
    <col min="13" max="13" width="11" style="516" bestFit="1" customWidth="1"/>
    <col min="14" max="14" width="2.140625" style="95" bestFit="1" customWidth="1"/>
    <col min="15" max="15" width="14.5703125" style="95" bestFit="1" customWidth="1"/>
    <col min="16" max="16" width="11" style="95" bestFit="1" customWidth="1"/>
    <col min="17" max="17" width="9.42578125" style="95" bestFit="1" customWidth="1"/>
    <col min="18" max="18" width="4.28515625" style="95" bestFit="1" customWidth="1"/>
    <col min="19" max="19" width="7.140625" style="95" bestFit="1" customWidth="1"/>
    <col min="20" max="20" width="6.42578125" style="95" bestFit="1" customWidth="1"/>
    <col min="21" max="21" width="13.85546875" style="95" bestFit="1" customWidth="1"/>
    <col min="22" max="22" width="7" style="95" bestFit="1" customWidth="1"/>
    <col min="23" max="23" width="11" style="95" bestFit="1" customWidth="1"/>
    <col min="24" max="24" width="8.42578125" style="95" bestFit="1" customWidth="1"/>
    <col min="25" max="28" width="5.28515625" style="95" bestFit="1" customWidth="1"/>
    <col min="29" max="29" width="5.28515625" style="95" customWidth="1"/>
    <col min="30" max="30" width="2.42578125" style="95" customWidth="1"/>
    <col min="31" max="31" width="10.7109375" style="95" bestFit="1" customWidth="1"/>
    <col min="32" max="32" width="7.42578125" style="95" bestFit="1" customWidth="1"/>
    <col min="33" max="33" width="10.140625" style="95" bestFit="1" customWidth="1"/>
    <col min="34" max="34" width="7.85546875" style="95" bestFit="1" customWidth="1"/>
    <col min="35" max="35" width="8.7109375" style="95" bestFit="1" customWidth="1"/>
    <col min="36" max="36" width="1.5703125" style="95" bestFit="1" customWidth="1"/>
    <col min="37" max="37" width="13.140625" style="95" bestFit="1" customWidth="1"/>
    <col min="38" max="38" width="1.5703125" style="95" bestFit="1" customWidth="1"/>
    <col min="39" max="45" width="2.42578125" style="95" customWidth="1"/>
    <col min="46" max="46" width="10.5703125" style="95" bestFit="1" customWidth="1"/>
    <col min="47" max="48" width="7.42578125" style="95" bestFit="1" customWidth="1"/>
    <col min="49" max="49" width="2.42578125" style="517" customWidth="1"/>
    <col min="50" max="52" width="2.42578125" style="95" customWidth="1"/>
    <col min="53" max="54" width="6.28515625" style="95" bestFit="1" customWidth="1"/>
    <col min="55" max="55" width="2.42578125" style="95" customWidth="1"/>
    <col min="56" max="56" width="9.140625" style="95"/>
    <col min="57" max="57" width="10.42578125" style="95" bestFit="1" customWidth="1"/>
    <col min="58" max="16384" width="9.140625" style="95"/>
  </cols>
  <sheetData>
    <row r="1" spans="1:62" ht="12" customHeight="1">
      <c r="A1" s="95" t="str">
        <f>uxb_works!A20</f>
        <v>INDI_ID_MAP</v>
      </c>
      <c r="B1" s="95">
        <f>uxb_works!B20</f>
        <v>28</v>
      </c>
      <c r="C1" s="95">
        <f>uxb_works!C20</f>
        <v>0</v>
      </c>
      <c r="D1" s="95" t="str">
        <f>C7&amp;D2&amp;" between "&amp;E3</f>
        <v>1 between 0</v>
      </c>
      <c r="I1" s="95">
        <v>1</v>
      </c>
    </row>
    <row r="2" spans="1:62">
      <c r="A2" s="95" t="str">
        <f>uxb_works!A29</f>
        <v>IND_SUB_INDI</v>
      </c>
      <c r="B2" s="95" t="b">
        <f>uxb_works!B29</f>
        <v>0</v>
      </c>
      <c r="C2" s="95">
        <f>uxb_works!C29</f>
        <v>0</v>
      </c>
      <c r="D2" s="95">
        <v>1</v>
      </c>
      <c r="I2" s="95" t="str">
        <f>IF(B7=1,"0.0","0.0"%)</f>
        <v>0.0</v>
      </c>
      <c r="M2" s="95"/>
    </row>
    <row r="3" spans="1:62">
      <c r="A3" s="518">
        <f>uxb_works!A56</f>
        <v>0</v>
      </c>
      <c r="B3" s="518">
        <f>uxb_works!B56</f>
        <v>0</v>
      </c>
      <c r="C3" s="518">
        <f>uxb_works!C56</f>
        <v>0</v>
      </c>
      <c r="D3" s="518">
        <f>uxb_works!D56</f>
        <v>0</v>
      </c>
      <c r="E3" s="518">
        <f>uxb_works!E56</f>
        <v>0</v>
      </c>
      <c r="AF3" s="95">
        <f ca="1">AF4+0.1</f>
        <v>100.1</v>
      </c>
      <c r="AG3" s="95">
        <f ca="1">AG4+0.1</f>
        <v>50.1</v>
      </c>
      <c r="AH3" s="95">
        <f ca="1">AH4+0.1</f>
        <v>0.1</v>
      </c>
    </row>
    <row r="4" spans="1:62">
      <c r="A4" s="95" t="str">
        <f>uxb_works!A6</f>
        <v>CITY_HIGHLIGHT_DD</v>
      </c>
      <c r="B4" s="95">
        <f>uxb_works!B6-1</f>
        <v>0</v>
      </c>
      <c r="D4" s="95" t="str">
        <f>CHOOSE(B7,"US$m","%")</f>
        <v>US$m</v>
      </c>
      <c r="L4" s="95" t="s">
        <v>36</v>
      </c>
      <c r="M4" s="516">
        <f ca="1">MAX(M8:M19)</f>
        <v>100</v>
      </c>
      <c r="T4" s="95" t="s">
        <v>36</v>
      </c>
      <c r="U4" s="95">
        <f ca="1">MAX(BH8:BH19)</f>
        <v>100</v>
      </c>
      <c r="AE4" s="95" t="str">
        <f ca="1">TEXT(AE5,$B$6)</f>
        <v>100.0</v>
      </c>
      <c r="AF4" s="95" t="str">
        <f ca="1">TEXT(AF5,$B$6)</f>
        <v>100.0</v>
      </c>
      <c r="AG4" s="95" t="str">
        <f ca="1">TEXT(AG5,$B$6)</f>
        <v>50.0</v>
      </c>
      <c r="AH4" s="95" t="str">
        <f ca="1">TEXT(AH5,$B$6)</f>
        <v>0.0</v>
      </c>
      <c r="AI4" s="95" t="str">
        <f ca="1">TEXT(AI5,$B$6)</f>
        <v>0.0</v>
      </c>
    </row>
    <row r="5" spans="1:62">
      <c r="A5" s="95" t="str">
        <f>uxb_works!A59</f>
        <v>MODE</v>
      </c>
      <c r="B5" s="95" t="str">
        <f>uxb_works!B59</f>
        <v>PRODUCTION</v>
      </c>
      <c r="L5" s="95" t="s">
        <v>35</v>
      </c>
      <c r="M5" s="516">
        <f ca="1">MIN(M8:M19)</f>
        <v>0</v>
      </c>
      <c r="T5" s="95" t="s">
        <v>35</v>
      </c>
      <c r="U5" s="519">
        <f ca="1">CHOOSE($B$7,MIN(BG8:BG19),W5)</f>
        <v>0</v>
      </c>
      <c r="W5" s="95">
        <f ca="1">INDEX(BG8:BG19,MATCH(MIN(INDEX(ABS(BG8:BG19),0,1)),INDEX(ABS(BG8:BG19),0,1),0))</f>
        <v>0</v>
      </c>
      <c r="AE5" s="570">
        <f ca="1">IFERROR(QUARTILE($M$8:$M$19,4),"n/a")</f>
        <v>100</v>
      </c>
      <c r="AF5" s="570">
        <f ca="1">IFERROR(QUARTILE($M$8:$M$19,3),"n/a")</f>
        <v>100</v>
      </c>
      <c r="AG5" s="570">
        <f ca="1">IFERROR(QUARTILE($M$8:$M$19,2),"n/a")</f>
        <v>50</v>
      </c>
      <c r="AH5" s="570">
        <f ca="1">IFERROR(QUARTILE($M$8:$M$19,1),"n/a")</f>
        <v>0</v>
      </c>
      <c r="AI5" s="570">
        <f ca="1">IFERROR(QUARTILE($M$8:$M$19,0),"n/a")</f>
        <v>0</v>
      </c>
      <c r="AJ5" s="570"/>
      <c r="BE5" s="95">
        <v>1</v>
      </c>
      <c r="BF5" s="95">
        <v>2</v>
      </c>
      <c r="BG5" s="95" t="s">
        <v>35</v>
      </c>
      <c r="BH5" s="95" t="s">
        <v>285</v>
      </c>
    </row>
    <row r="6" spans="1:62">
      <c r="A6" s="95" t="s">
        <v>2103</v>
      </c>
      <c r="B6" s="518" t="str">
        <f>I2</f>
        <v>0.0</v>
      </c>
      <c r="L6" s="520" t="s">
        <v>2104</v>
      </c>
      <c r="M6" s="521"/>
      <c r="N6" s="520"/>
      <c r="O6" s="520"/>
      <c r="P6" s="520"/>
      <c r="Q6" s="520"/>
      <c r="T6" s="520" t="s">
        <v>82</v>
      </c>
      <c r="U6" s="520"/>
      <c r="V6" s="520"/>
      <c r="X6" s="520" t="s">
        <v>2105</v>
      </c>
      <c r="Y6" s="520">
        <v>4</v>
      </c>
      <c r="Z6" s="520">
        <v>3</v>
      </c>
      <c r="AA6" s="520">
        <v>2</v>
      </c>
      <c r="AB6" s="520">
        <v>1</v>
      </c>
      <c r="AC6" s="520">
        <v>0</v>
      </c>
      <c r="AD6" s="520"/>
      <c r="AE6" s="520" t="s">
        <v>2106</v>
      </c>
      <c r="AF6" s="520"/>
      <c r="AG6" s="520" t="s">
        <v>2107</v>
      </c>
      <c r="AH6" s="520" t="s">
        <v>160</v>
      </c>
      <c r="AI6" s="520" t="s">
        <v>2107</v>
      </c>
      <c r="AJ6" s="520" t="s">
        <v>160</v>
      </c>
      <c r="AK6" s="520" t="s">
        <v>2108</v>
      </c>
      <c r="AL6" s="520" t="s">
        <v>160</v>
      </c>
      <c r="AM6" s="520" t="s">
        <v>2109</v>
      </c>
      <c r="AN6" s="520"/>
      <c r="AO6" s="520"/>
      <c r="AQ6" s="520" t="s">
        <v>2110</v>
      </c>
      <c r="AR6" s="520"/>
      <c r="AS6" s="520"/>
      <c r="AT6" s="520"/>
      <c r="AU6" s="520">
        <v>1</v>
      </c>
      <c r="AV6" s="520">
        <v>2</v>
      </c>
    </row>
    <row r="7" spans="1:62" ht="12" thickBot="1">
      <c r="B7" s="95">
        <v>1</v>
      </c>
      <c r="C7" s="95" t="str">
        <f>CHOOSE($B$7,"","Growth in: ")</f>
        <v/>
      </c>
      <c r="D7" s="95">
        <v>1</v>
      </c>
      <c r="E7" s="516" t="s">
        <v>64</v>
      </c>
      <c r="F7" s="516" t="s">
        <v>2111</v>
      </c>
      <c r="G7" s="516" t="s">
        <v>2112</v>
      </c>
      <c r="H7" s="516" t="s">
        <v>2113</v>
      </c>
      <c r="I7" s="516" t="s">
        <v>48</v>
      </c>
      <c r="J7" s="95" t="s">
        <v>45</v>
      </c>
      <c r="K7" s="95" t="s">
        <v>2114</v>
      </c>
      <c r="P7" s="95" t="s">
        <v>161</v>
      </c>
      <c r="Q7" s="95" t="s">
        <v>106</v>
      </c>
      <c r="U7" s="95" t="s">
        <v>2115</v>
      </c>
      <c r="V7" s="516" t="s">
        <v>2112</v>
      </c>
      <c r="Y7" s="95">
        <v>0</v>
      </c>
      <c r="Z7" s="95">
        <v>0</v>
      </c>
      <c r="AA7" s="95">
        <v>0</v>
      </c>
      <c r="AB7" s="95">
        <v>0</v>
      </c>
      <c r="AC7" s="95">
        <v>0</v>
      </c>
      <c r="AE7" s="95" t="str">
        <f ca="1">CONCATENATE(AF3," to ",AE4)</f>
        <v>100.1 to 100.0</v>
      </c>
      <c r="AF7" s="95" t="s">
        <v>160</v>
      </c>
      <c r="AG7" s="95" t="str">
        <f ca="1">CONCATENATE(AG3," to ",AF4)</f>
        <v>50.1 to 100.0</v>
      </c>
      <c r="AH7" s="95" t="s">
        <v>160</v>
      </c>
      <c r="AI7" s="95" t="str">
        <f ca="1">CONCATENATE(AH3," to ",AG4)</f>
        <v>0.1 to 50.0</v>
      </c>
      <c r="AJ7" s="95" t="s">
        <v>160</v>
      </c>
      <c r="AK7" s="95" t="str">
        <f ca="1">CONCATENATE(AI4," to ",AH4)</f>
        <v>0.0 to 0.0</v>
      </c>
      <c r="AL7" s="95" t="s">
        <v>160</v>
      </c>
      <c r="AW7" s="517" t="s">
        <v>136</v>
      </c>
    </row>
    <row r="8" spans="1:62" ht="15" customHeight="1">
      <c r="A8" s="95">
        <v>1</v>
      </c>
      <c r="B8" s="95" t="str">
        <f>tblTerritories!B3</f>
        <v>ASUN</v>
      </c>
      <c r="C8" s="95" t="str">
        <f>CONCATENATE(B8,$C$2)</f>
        <v>ASUN0</v>
      </c>
      <c r="D8" s="517">
        <f ca="1">IF(E8&lt;=$E$23,1,IF(E8&lt;=$E$24,2,IF(E8&lt;=$E$25,3,4)))</f>
        <v>2</v>
      </c>
      <c r="E8" s="516">
        <f t="shared" ref="E8:E19" ca="1" si="0">IF(K8=0,0,INDEX(aScores,$B$1,A8))</f>
        <v>50</v>
      </c>
      <c r="F8" s="516">
        <f ca="1">IF(ISNUMBER(E8),ROUND(E8,4),-100000)</f>
        <v>50</v>
      </c>
      <c r="G8" s="516">
        <f ca="1">IF(D8=1,24,IF(D8=2,28,IF(D8=3,23,25)))</f>
        <v>28</v>
      </c>
      <c r="H8" s="522">
        <f ca="1">IF(ISNA(P8),0,1)</f>
        <v>1</v>
      </c>
      <c r="I8" s="516">
        <f ca="1">RANK(F8,$F$8:$F$19)+COUNTIF(F$8:F8,F8)-1</f>
        <v>5</v>
      </c>
      <c r="J8" s="95">
        <f t="shared" ref="J8:J19" ca="1" si="1">MATCH($A8,$I$8:$I$19,0)</f>
        <v>2</v>
      </c>
      <c r="K8" s="95">
        <f>tblTerritories!F3</f>
        <v>1</v>
      </c>
      <c r="L8" s="95" t="str">
        <f t="shared" ref="L8:L19" ca="1" si="2">INDEX(luCities,$J8)</f>
        <v>Bogotá</v>
      </c>
      <c r="M8" s="516">
        <f t="shared" ref="M8:M19" ca="1" si="3">INDEX($E$8:$E$19,$J8)</f>
        <v>100</v>
      </c>
      <c r="N8" s="516">
        <f t="shared" ref="N8:N19" ca="1" si="4">INDEX($K$8:$K$19,$J8)</f>
        <v>1</v>
      </c>
      <c r="O8" s="95" t="str">
        <f ca="1">IF(ISNUMBER(M8),L8,CONCATENATE(L8))</f>
        <v>Bogotá</v>
      </c>
      <c r="P8" s="95">
        <f ca="1">IF(ISNUMBER(M8),M8,"-")/$D$7</f>
        <v>100</v>
      </c>
      <c r="Q8" s="95" t="e">
        <f ca="1">IF(AND($J8=$B$4,ISNUMBER(M8)),M8,NA())/$D$7</f>
        <v>#N/A</v>
      </c>
      <c r="R8" s="95" t="str">
        <f ca="1">TEXT(P8,$I$2)</f>
        <v>100.0</v>
      </c>
      <c r="S8" s="95">
        <v>-10000</v>
      </c>
      <c r="T8" s="527" t="str">
        <f ca="1">INDEX(tblTerritories!$B$3:$B$41,J8)</f>
        <v>BOGA</v>
      </c>
      <c r="U8" s="95">
        <f ca="1">IF(N8=0,-1,IF($B$1=1,ABS(IF(ISNUMBER(M8),100*((M8-$U$5)/($U$4-$U$5)),-1))+1,ABS(IF(ISNUMBER(M8),100*((M8-$U$5)/($U$4-$U$5)),-1))))</f>
        <v>100</v>
      </c>
      <c r="V8" s="95">
        <f t="shared" ref="V8:V19" ca="1" si="5">INDEX($G$8:$G$19,$J8)</f>
        <v>25</v>
      </c>
      <c r="W8" s="95">
        <f ca="1">ABS(IF(ISNUMBER(M8),100*((M8-$U$5)/($U$4-$U$5)),-1))</f>
        <v>100</v>
      </c>
      <c r="Y8" s="95" t="e">
        <f t="shared" ref="Y8:Y19" ca="1" si="6">Y7+MATCH(Y$6,OFFSET($V$8:$V$19,Y7,0),0)</f>
        <v>#N/A</v>
      </c>
      <c r="Z8" s="95" t="e">
        <f t="shared" ref="Z8:Z19" ca="1" si="7">Z7+MATCH(Z$6,OFFSET($V$8:$V$19,Z7,0),0)</f>
        <v>#N/A</v>
      </c>
      <c r="AA8" s="95" t="e">
        <f t="shared" ref="AA8:AA19" ca="1" si="8">AA7+MATCH(AA$6,OFFSET($V$8:$V$19,AA7,0),0)</f>
        <v>#N/A</v>
      </c>
      <c r="AB8" s="95" t="e">
        <f t="shared" ref="AB8:AB19" ca="1" si="9">AB7+MATCH(AB$6,OFFSET($V$8:$V$19,AB7,0),0)</f>
        <v>#N/A</v>
      </c>
      <c r="AC8" s="95" t="e">
        <f t="shared" ref="AC8:AC19" ca="1" si="10">AC7+MATCH(AC$6,OFFSET($V$8:$V$19,AC7,0),0)</f>
        <v>#N/A</v>
      </c>
      <c r="AE8" s="95" t="str">
        <f t="shared" ref="AE8:AE19" ca="1" si="11">IF(ISNUMBER(Y8),INDEX($O$8:$O$19,Y8),"")</f>
        <v/>
      </c>
      <c r="AF8" s="95" t="str">
        <f t="shared" ref="AF8:AF19" ca="1" si="12">IF(ISNUMBER(Y8),INDEX($P$8:$P$19,Y8),"")</f>
        <v/>
      </c>
      <c r="AG8" s="95" t="str">
        <f t="shared" ref="AG8:AG19" ca="1" si="13">IF(ISNUMBER(Z8),INDEX($O$8:$O$19,Z8),"")</f>
        <v/>
      </c>
      <c r="AH8" s="95" t="str">
        <f t="shared" ref="AH8:AH19" ca="1" si="14">IF(ISNUMBER(Z8),INDEX($P$8:$P$19,Z8),"")</f>
        <v/>
      </c>
      <c r="AI8" s="95" t="str">
        <f t="shared" ref="AI8:AI19" ca="1" si="15">IF(ISNUMBER(AA8),INDEX($O$8:$O$19,AA8),"")</f>
        <v/>
      </c>
      <c r="AJ8" s="95" t="str">
        <f t="shared" ref="AJ8:AJ19" ca="1" si="16">IF(ISNUMBER(AA8),INDEX($P$8:$P$19,AA8),"")</f>
        <v/>
      </c>
      <c r="AK8" s="95" t="str">
        <f t="shared" ref="AK8:AK19" ca="1" si="17">IF(ISNUMBER(AB8),INDEX($O$8:$O$19,AB8),"")</f>
        <v/>
      </c>
      <c r="AL8" s="95" t="str">
        <f t="shared" ref="AL8:AL19" ca="1" si="18">IF(ISNUMBER(AB8),INDEX($P$8:$P$19,AB8),"")</f>
        <v/>
      </c>
      <c r="AM8" s="95" t="str">
        <f t="shared" ref="AM8:AM19" ca="1" si="19">IF(ISNUMBER(AC8),INDEX($O$8:$O$19,AC8),"")</f>
        <v/>
      </c>
      <c r="AQ8" s="95">
        <f>A8</f>
        <v>1</v>
      </c>
      <c r="AR8" s="95">
        <f>AQ8</f>
        <v>1</v>
      </c>
      <c r="AS8" s="95">
        <f t="shared" ref="AS8:AS19" ca="1" si="20">INDEX($D$8:$D$19,AR8)</f>
        <v>2</v>
      </c>
      <c r="AT8" s="95" t="str">
        <f t="shared" ref="AT8:AT19" ca="1" si="21">INDEX(luCities,AR8)</f>
        <v>Asunción</v>
      </c>
      <c r="AU8" s="516">
        <f t="shared" ref="AU8:AV19" ca="1" si="22">INDEX(aScores,$A8,AU$6)</f>
        <v>29.531599128521769</v>
      </c>
      <c r="AV8" s="516">
        <f t="shared" ca="1" si="22"/>
        <v>65.144325288871812</v>
      </c>
      <c r="AW8" s="523"/>
      <c r="BA8" s="517"/>
      <c r="BB8" s="516"/>
      <c r="BE8" s="516">
        <f t="shared" ref="BE8:BF19" ca="1" si="23">IF($K8=0,0,INDEX(aScores,$A8,BE$5))</f>
        <v>29.531599128521769</v>
      </c>
      <c r="BF8" s="516">
        <f t="shared" ca="1" si="23"/>
        <v>65.144325288871812</v>
      </c>
      <c r="BG8" s="95">
        <f ca="1">MIN(BE8:BF8)</f>
        <v>29.531599128521769</v>
      </c>
      <c r="BH8" s="95">
        <f t="shared" ref="BH8:BH19" ca="1" si="24">MAX(BE8:BF8)</f>
        <v>65.144325288871812</v>
      </c>
      <c r="BI8" s="95" t="str">
        <f t="shared" ref="BI8:BI19" ca="1" si="25">L8</f>
        <v>Bogotá</v>
      </c>
      <c r="BJ8" s="516">
        <f t="shared" ref="BJ8:BJ19" ca="1" si="26">INDEX($BH$8:$BH$19,$J8)</f>
        <v>62.5</v>
      </c>
    </row>
    <row r="9" spans="1:62" ht="15" customHeight="1">
      <c r="A9" s="95">
        <v>2</v>
      </c>
      <c r="B9" s="95" t="str">
        <f>tblTerritories!B4</f>
        <v>BOGA</v>
      </c>
      <c r="C9" s="95" t="str">
        <f t="shared" ref="C9:C19" si="27">CONCATENATE(B9,$C$2)</f>
        <v>BOGA0</v>
      </c>
      <c r="D9" s="517">
        <f t="shared" ref="D9:D19" ca="1" si="28">IF(E9&lt;=$E$23,1,IF(E9&lt;=$E$24,2,IF(E9&lt;=$E$25,3,4)))</f>
        <v>4</v>
      </c>
      <c r="E9" s="516">
        <f t="shared" ca="1" si="0"/>
        <v>100</v>
      </c>
      <c r="F9" s="516">
        <f t="shared" ref="F9:F19" ca="1" si="29">IF(ISNUMBER(E9),ROUND(E9,4),-100000)</f>
        <v>100</v>
      </c>
      <c r="G9" s="516">
        <f t="shared" ref="G9:G19" ca="1" si="30">IF(D9=1,24,IF(D9=2,28,IF(D9=3,23,25)))</f>
        <v>25</v>
      </c>
      <c r="H9" s="524">
        <f t="shared" ref="H9:H19" ca="1" si="31">IF(ISNA(P9),0,1)</f>
        <v>1</v>
      </c>
      <c r="I9" s="516">
        <f ca="1">RANK(F9,$F$8:$F$19)+COUNTIF(F$8:F9,F9)-1</f>
        <v>1</v>
      </c>
      <c r="J9" s="95">
        <f t="shared" ca="1" si="1"/>
        <v>8</v>
      </c>
      <c r="K9" s="95">
        <f>tblTerritories!F4</f>
        <v>1</v>
      </c>
      <c r="L9" s="95" t="str">
        <f t="shared" ca="1" si="2"/>
        <v>Quito</v>
      </c>
      <c r="M9" s="516">
        <f t="shared" ca="1" si="3"/>
        <v>100</v>
      </c>
      <c r="N9" s="516">
        <f t="shared" ca="1" si="4"/>
        <v>1</v>
      </c>
      <c r="O9" s="95" t="str">
        <f t="shared" ref="O9:O19" ca="1" si="32">IF(ISNUMBER(M9),L9,CONCATENATE(L9))</f>
        <v>Quito</v>
      </c>
      <c r="P9" s="95">
        <f t="shared" ref="P9:P19" ca="1" si="33">IF(ISNUMBER(M9),M9,"-")/$D$7</f>
        <v>100</v>
      </c>
      <c r="Q9" s="95" t="e">
        <f t="shared" ref="Q9:Q19" ca="1" si="34">IF(AND($J9=$B$4,ISNUMBER(M9)),M9,NA())/$D$7</f>
        <v>#N/A</v>
      </c>
      <c r="R9" s="95" t="str">
        <f t="shared" ref="R9:R19" ca="1" si="35">TEXT(P9,$I$2)</f>
        <v>100.0</v>
      </c>
      <c r="S9" s="95">
        <v>-10000</v>
      </c>
      <c r="T9" s="528" t="str">
        <f ca="1">INDEX(tblTerritories!$B$3:$B$41,J9)</f>
        <v>QUIT</v>
      </c>
      <c r="U9" s="95">
        <f t="shared" ref="U9:U19" ca="1" si="36">IF(N9=0,-1,IF($B$1=1,ABS(IF(ISNUMBER(M9),100*((M9-$U$5)/($U$4-$U$5)),-1))+1,ABS(IF(ISNUMBER(M9),100*((M9-$U$5)/($U$4-$U$5)),-1))))</f>
        <v>100</v>
      </c>
      <c r="V9" s="95">
        <f t="shared" ca="1" si="5"/>
        <v>25</v>
      </c>
      <c r="W9" s="95">
        <f t="shared" ref="W9:W19" ca="1" si="37">ABS(IF(ISNUMBER(M9),100*((M9-$U$5)/($U$4-$U$5)),-1))</f>
        <v>100</v>
      </c>
      <c r="Y9" s="95" t="e">
        <f t="shared" ca="1" si="6"/>
        <v>#N/A</v>
      </c>
      <c r="Z9" s="95" t="e">
        <f t="shared" ca="1" si="7"/>
        <v>#N/A</v>
      </c>
      <c r="AA9" s="95" t="e">
        <f t="shared" ca="1" si="8"/>
        <v>#N/A</v>
      </c>
      <c r="AB9" s="95" t="e">
        <f t="shared" ca="1" si="9"/>
        <v>#N/A</v>
      </c>
      <c r="AC9" s="95" t="e">
        <f t="shared" ca="1" si="10"/>
        <v>#N/A</v>
      </c>
      <c r="AE9" s="95" t="str">
        <f t="shared" ca="1" si="11"/>
        <v/>
      </c>
      <c r="AF9" s="95" t="str">
        <f t="shared" ca="1" si="12"/>
        <v/>
      </c>
      <c r="AG9" s="95" t="str">
        <f t="shared" ca="1" si="13"/>
        <v/>
      </c>
      <c r="AH9" s="95" t="str">
        <f t="shared" ca="1" si="14"/>
        <v/>
      </c>
      <c r="AI9" s="95" t="str">
        <f t="shared" ca="1" si="15"/>
        <v/>
      </c>
      <c r="AJ9" s="95" t="str">
        <f t="shared" ca="1" si="16"/>
        <v/>
      </c>
      <c r="AK9" s="95" t="str">
        <f t="shared" ca="1" si="17"/>
        <v/>
      </c>
      <c r="AL9" s="95" t="str">
        <f t="shared" ca="1" si="18"/>
        <v/>
      </c>
      <c r="AM9" s="95" t="str">
        <f t="shared" ca="1" si="19"/>
        <v/>
      </c>
      <c r="AQ9" s="95">
        <f t="shared" ref="AQ9:AQ19" si="38">A9</f>
        <v>2</v>
      </c>
      <c r="AR9" s="95">
        <f t="shared" ref="AR9:AR19" si="39">AQ9</f>
        <v>2</v>
      </c>
      <c r="AS9" s="95">
        <f t="shared" ca="1" si="20"/>
        <v>4</v>
      </c>
      <c r="AT9" s="95" t="str">
        <f t="shared" ca="1" si="21"/>
        <v>Bogotá</v>
      </c>
      <c r="AU9" s="516">
        <f t="shared" ca="1" si="22"/>
        <v>32.8125</v>
      </c>
      <c r="AV9" s="516">
        <f t="shared" ca="1" si="22"/>
        <v>62.5</v>
      </c>
      <c r="AW9" s="523"/>
      <c r="BA9" s="517"/>
      <c r="BB9" s="516"/>
      <c r="BE9" s="516">
        <f t="shared" ca="1" si="23"/>
        <v>32.8125</v>
      </c>
      <c r="BF9" s="516">
        <f t="shared" ca="1" si="23"/>
        <v>62.5</v>
      </c>
      <c r="BG9" s="95">
        <f t="shared" ref="BG9:BG19" ca="1" si="40">MIN(BE9:BF9)</f>
        <v>32.8125</v>
      </c>
      <c r="BH9" s="95">
        <f t="shared" ca="1" si="24"/>
        <v>62.5</v>
      </c>
      <c r="BI9" s="95" t="str">
        <f t="shared" ca="1" si="25"/>
        <v>Quito</v>
      </c>
      <c r="BJ9" s="516">
        <f t="shared" ca="1" si="26"/>
        <v>75</v>
      </c>
    </row>
    <row r="10" spans="1:62" ht="15" customHeight="1">
      <c r="A10" s="95">
        <v>3</v>
      </c>
      <c r="B10" s="95" t="str">
        <f>tblTerritories!B5</f>
        <v>BSAS</v>
      </c>
      <c r="C10" s="95" t="str">
        <f t="shared" si="27"/>
        <v>BSAS0</v>
      </c>
      <c r="D10" s="517">
        <f t="shared" ca="1" si="28"/>
        <v>2</v>
      </c>
      <c r="E10" s="516">
        <f t="shared" ca="1" si="0"/>
        <v>50</v>
      </c>
      <c r="F10" s="516">
        <f t="shared" ca="1" si="29"/>
        <v>50</v>
      </c>
      <c r="G10" s="516">
        <f t="shared" ca="1" si="30"/>
        <v>28</v>
      </c>
      <c r="H10" s="524">
        <f t="shared" ca="1" si="31"/>
        <v>1</v>
      </c>
      <c r="I10" s="516">
        <f ca="1">RANK(F10,$F$8:$F$19)+COUNTIF(F$8:F10,F10)-1</f>
        <v>6</v>
      </c>
      <c r="J10" s="95">
        <f t="shared" ca="1" si="1"/>
        <v>10</v>
      </c>
      <c r="K10" s="95">
        <f>tblTerritories!F5</f>
        <v>1</v>
      </c>
      <c r="L10" s="95" t="str">
        <f t="shared" ca="1" si="2"/>
        <v>San Pablo</v>
      </c>
      <c r="M10" s="516">
        <f t="shared" ca="1" si="3"/>
        <v>100</v>
      </c>
      <c r="N10" s="516">
        <f t="shared" ca="1" si="4"/>
        <v>1</v>
      </c>
      <c r="O10" s="95" t="str">
        <f t="shared" ca="1" si="32"/>
        <v>San Pablo</v>
      </c>
      <c r="P10" s="95">
        <f t="shared" ca="1" si="33"/>
        <v>100</v>
      </c>
      <c r="Q10" s="95" t="e">
        <f t="shared" ca="1" si="34"/>
        <v>#N/A</v>
      </c>
      <c r="R10" s="95" t="str">
        <f t="shared" ca="1" si="35"/>
        <v>100.0</v>
      </c>
      <c r="S10" s="95">
        <v>-10000</v>
      </c>
      <c r="T10" s="528" t="str">
        <f ca="1">INDEX(tblTerritories!$B$3:$B$41,J10)</f>
        <v>SAPA</v>
      </c>
      <c r="U10" s="95">
        <f t="shared" ca="1" si="36"/>
        <v>100</v>
      </c>
      <c r="V10" s="95">
        <f t="shared" ca="1" si="5"/>
        <v>25</v>
      </c>
      <c r="W10" s="95">
        <f t="shared" ca="1" si="37"/>
        <v>100</v>
      </c>
      <c r="Y10" s="95" t="e">
        <f t="shared" ca="1" si="6"/>
        <v>#N/A</v>
      </c>
      <c r="Z10" s="95" t="e">
        <f t="shared" ca="1" si="7"/>
        <v>#N/A</v>
      </c>
      <c r="AA10" s="95" t="e">
        <f t="shared" ca="1" si="8"/>
        <v>#N/A</v>
      </c>
      <c r="AB10" s="95" t="e">
        <f t="shared" ca="1" si="9"/>
        <v>#N/A</v>
      </c>
      <c r="AC10" s="95" t="e">
        <f t="shared" ca="1" si="10"/>
        <v>#N/A</v>
      </c>
      <c r="AE10" s="95" t="str">
        <f t="shared" ca="1" si="11"/>
        <v/>
      </c>
      <c r="AF10" s="95" t="str">
        <f t="shared" ca="1" si="12"/>
        <v/>
      </c>
      <c r="AG10" s="95" t="str">
        <f t="shared" ca="1" si="13"/>
        <v/>
      </c>
      <c r="AH10" s="95" t="str">
        <f t="shared" ca="1" si="14"/>
        <v/>
      </c>
      <c r="AI10" s="95" t="str">
        <f t="shared" ca="1" si="15"/>
        <v/>
      </c>
      <c r="AJ10" s="95" t="str">
        <f t="shared" ca="1" si="16"/>
        <v/>
      </c>
      <c r="AK10" s="95" t="str">
        <f t="shared" ca="1" si="17"/>
        <v/>
      </c>
      <c r="AL10" s="95" t="str">
        <f t="shared" ca="1" si="18"/>
        <v/>
      </c>
      <c r="AM10" s="95" t="str">
        <f t="shared" ca="1" si="19"/>
        <v/>
      </c>
      <c r="AQ10" s="95">
        <f t="shared" si="38"/>
        <v>3</v>
      </c>
      <c r="AR10" s="95">
        <f t="shared" si="39"/>
        <v>3</v>
      </c>
      <c r="AS10" s="95">
        <f t="shared" ca="1" si="20"/>
        <v>2</v>
      </c>
      <c r="AT10" s="95" t="str">
        <f t="shared" ca="1" si="21"/>
        <v>Buenos Aires</v>
      </c>
      <c r="AU10" s="516">
        <f t="shared" ca="1" si="22"/>
        <v>25</v>
      </c>
      <c r="AV10" s="516">
        <f t="shared" ca="1" si="22"/>
        <v>75</v>
      </c>
      <c r="AW10" s="523"/>
      <c r="BA10" s="517"/>
      <c r="BB10" s="516"/>
      <c r="BE10" s="516">
        <f t="shared" ca="1" si="23"/>
        <v>25</v>
      </c>
      <c r="BF10" s="516">
        <f t="shared" ca="1" si="23"/>
        <v>75</v>
      </c>
      <c r="BG10" s="95">
        <f t="shared" ca="1" si="40"/>
        <v>25</v>
      </c>
      <c r="BH10" s="95">
        <f t="shared" ca="1" si="24"/>
        <v>75</v>
      </c>
      <c r="BI10" s="95" t="str">
        <f t="shared" ca="1" si="25"/>
        <v>San Pablo</v>
      </c>
      <c r="BJ10" s="516">
        <f t="shared" ca="1" si="26"/>
        <v>100</v>
      </c>
    </row>
    <row r="11" spans="1:62" ht="15" customHeight="1">
      <c r="A11" s="95">
        <v>4</v>
      </c>
      <c r="B11" s="95" t="str">
        <f>tblTerritories!B6</f>
        <v>CDBE</v>
      </c>
      <c r="C11" s="95" t="str">
        <f t="shared" si="27"/>
        <v>CDBE0</v>
      </c>
      <c r="D11" s="517">
        <f t="shared" ca="1" si="28"/>
        <v>1</v>
      </c>
      <c r="E11" s="516">
        <f t="shared" ca="1" si="0"/>
        <v>0</v>
      </c>
      <c r="F11" s="516">
        <f t="shared" ca="1" si="29"/>
        <v>0</v>
      </c>
      <c r="G11" s="516">
        <f t="shared" ca="1" si="30"/>
        <v>24</v>
      </c>
      <c r="H11" s="524">
        <f t="shared" ca="1" si="31"/>
        <v>1</v>
      </c>
      <c r="I11" s="516">
        <f ca="1">RANK(F11,$F$8:$F$19)+COUNTIF(F$8:F11,F11)-1</f>
        <v>9</v>
      </c>
      <c r="J11" s="95">
        <f t="shared" ca="1" si="1"/>
        <v>11</v>
      </c>
      <c r="K11" s="95">
        <f>tblTerritories!F6</f>
        <v>1</v>
      </c>
      <c r="L11" s="95" t="str">
        <f t="shared" ca="1" si="2"/>
        <v>Santa Cruz</v>
      </c>
      <c r="M11" s="516">
        <f t="shared" ca="1" si="3"/>
        <v>100</v>
      </c>
      <c r="N11" s="516">
        <f t="shared" ca="1" si="4"/>
        <v>1</v>
      </c>
      <c r="O11" s="95" t="str">
        <f t="shared" ca="1" si="32"/>
        <v>Santa Cruz</v>
      </c>
      <c r="P11" s="95">
        <f t="shared" ca="1" si="33"/>
        <v>100</v>
      </c>
      <c r="Q11" s="95" t="e">
        <f t="shared" ca="1" si="34"/>
        <v>#N/A</v>
      </c>
      <c r="R11" s="95" t="str">
        <f t="shared" ca="1" si="35"/>
        <v>100.0</v>
      </c>
      <c r="S11" s="95">
        <v>-10000</v>
      </c>
      <c r="T11" s="528" t="str">
        <f ca="1">INDEX(tblTerritories!$B$3:$B$41,J11)</f>
        <v>SACR</v>
      </c>
      <c r="U11" s="95">
        <f t="shared" ca="1" si="36"/>
        <v>100</v>
      </c>
      <c r="V11" s="95">
        <f t="shared" ca="1" si="5"/>
        <v>25</v>
      </c>
      <c r="W11" s="95">
        <f t="shared" ca="1" si="37"/>
        <v>100</v>
      </c>
      <c r="Y11" s="95" t="e">
        <f t="shared" ca="1" si="6"/>
        <v>#N/A</v>
      </c>
      <c r="Z11" s="95" t="e">
        <f t="shared" ca="1" si="7"/>
        <v>#N/A</v>
      </c>
      <c r="AA11" s="95" t="e">
        <f t="shared" ca="1" si="8"/>
        <v>#N/A</v>
      </c>
      <c r="AB11" s="95" t="e">
        <f t="shared" ca="1" si="9"/>
        <v>#N/A</v>
      </c>
      <c r="AC11" s="95" t="e">
        <f t="shared" ca="1" si="10"/>
        <v>#N/A</v>
      </c>
      <c r="AE11" s="95" t="str">
        <f t="shared" ca="1" si="11"/>
        <v/>
      </c>
      <c r="AF11" s="95" t="str">
        <f t="shared" ca="1" si="12"/>
        <v/>
      </c>
      <c r="AG11" s="95" t="str">
        <f t="shared" ca="1" si="13"/>
        <v/>
      </c>
      <c r="AH11" s="95" t="str">
        <f t="shared" ca="1" si="14"/>
        <v/>
      </c>
      <c r="AI11" s="95" t="str">
        <f t="shared" ca="1" si="15"/>
        <v/>
      </c>
      <c r="AJ11" s="95" t="str">
        <f t="shared" ca="1" si="16"/>
        <v/>
      </c>
      <c r="AK11" s="95" t="str">
        <f t="shared" ca="1" si="17"/>
        <v/>
      </c>
      <c r="AL11" s="95" t="str">
        <f t="shared" ca="1" si="18"/>
        <v/>
      </c>
      <c r="AM11" s="95" t="str">
        <f t="shared" ca="1" si="19"/>
        <v/>
      </c>
      <c r="AQ11" s="95">
        <f t="shared" si="38"/>
        <v>4</v>
      </c>
      <c r="AR11" s="95">
        <f t="shared" si="39"/>
        <v>4</v>
      </c>
      <c r="AS11" s="95">
        <f t="shared" ca="1" si="20"/>
        <v>1</v>
      </c>
      <c r="AT11" s="95" t="str">
        <f t="shared" ca="1" si="21"/>
        <v>Ciudad de Belice</v>
      </c>
      <c r="AU11" s="516">
        <f t="shared" ca="1" si="22"/>
        <v>0</v>
      </c>
      <c r="AV11" s="516">
        <f t="shared" ca="1" si="22"/>
        <v>50</v>
      </c>
      <c r="AW11" s="523"/>
      <c r="BA11" s="517"/>
      <c r="BB11" s="516"/>
      <c r="BE11" s="516">
        <f t="shared" ca="1" si="23"/>
        <v>0</v>
      </c>
      <c r="BF11" s="516">
        <f t="shared" ca="1" si="23"/>
        <v>50</v>
      </c>
      <c r="BG11" s="95">
        <f t="shared" ca="1" si="40"/>
        <v>0</v>
      </c>
      <c r="BH11" s="95">
        <f t="shared" ca="1" si="24"/>
        <v>50</v>
      </c>
      <c r="BI11" s="95" t="str">
        <f t="shared" ca="1" si="25"/>
        <v>Santa Cruz</v>
      </c>
      <c r="BJ11" s="516">
        <f t="shared" ca="1" si="26"/>
        <v>100</v>
      </c>
    </row>
    <row r="12" spans="1:62" ht="15" customHeight="1">
      <c r="A12" s="95">
        <v>5</v>
      </c>
      <c r="B12" s="95" t="str">
        <f>tblTerritories!B7</f>
        <v>MEXC</v>
      </c>
      <c r="C12" s="95" t="str">
        <f t="shared" si="27"/>
        <v>MEXC0</v>
      </c>
      <c r="D12" s="517">
        <f t="shared" ca="1" si="28"/>
        <v>2</v>
      </c>
      <c r="E12" s="516">
        <f t="shared" ca="1" si="0"/>
        <v>50</v>
      </c>
      <c r="F12" s="516">
        <f t="shared" ca="1" si="29"/>
        <v>50</v>
      </c>
      <c r="G12" s="516">
        <f t="shared" ca="1" si="30"/>
        <v>28</v>
      </c>
      <c r="H12" s="524">
        <f t="shared" ca="1" si="31"/>
        <v>1</v>
      </c>
      <c r="I12" s="516">
        <f ca="1">RANK(F12,$F$8:$F$19)+COUNTIF(F$8:F12,F12)-1</f>
        <v>7</v>
      </c>
      <c r="J12" s="95">
        <f t="shared" ca="1" si="1"/>
        <v>1</v>
      </c>
      <c r="K12" s="95">
        <f>tblTerritories!F7</f>
        <v>1</v>
      </c>
      <c r="L12" s="95" t="str">
        <f t="shared" ca="1" si="2"/>
        <v>Asunción</v>
      </c>
      <c r="M12" s="516">
        <f t="shared" ca="1" si="3"/>
        <v>50</v>
      </c>
      <c r="N12" s="516">
        <f t="shared" ca="1" si="4"/>
        <v>1</v>
      </c>
      <c r="O12" s="95" t="str">
        <f t="shared" ca="1" si="32"/>
        <v>Asunción</v>
      </c>
      <c r="P12" s="95">
        <f t="shared" ca="1" si="33"/>
        <v>50</v>
      </c>
      <c r="Q12" s="95" t="e">
        <f t="shared" ca="1" si="34"/>
        <v>#N/A</v>
      </c>
      <c r="R12" s="95" t="str">
        <f t="shared" ca="1" si="35"/>
        <v>50.0</v>
      </c>
      <c r="S12" s="95">
        <v>-10000</v>
      </c>
      <c r="T12" s="528" t="str">
        <f ca="1">INDEX(tblTerritories!$B$3:$B$41,J12)</f>
        <v>ASUN</v>
      </c>
      <c r="U12" s="95">
        <f t="shared" ca="1" si="36"/>
        <v>50</v>
      </c>
      <c r="V12" s="95">
        <f t="shared" ca="1" si="5"/>
        <v>28</v>
      </c>
      <c r="W12" s="95">
        <f t="shared" ca="1" si="37"/>
        <v>50</v>
      </c>
      <c r="Y12" s="95" t="e">
        <f t="shared" ca="1" si="6"/>
        <v>#N/A</v>
      </c>
      <c r="Z12" s="95" t="e">
        <f t="shared" ca="1" si="7"/>
        <v>#N/A</v>
      </c>
      <c r="AA12" s="95" t="e">
        <f t="shared" ca="1" si="8"/>
        <v>#N/A</v>
      </c>
      <c r="AB12" s="95" t="e">
        <f t="shared" ca="1" si="9"/>
        <v>#N/A</v>
      </c>
      <c r="AC12" s="95" t="e">
        <f t="shared" ca="1" si="10"/>
        <v>#N/A</v>
      </c>
      <c r="AE12" s="95" t="str">
        <f t="shared" ca="1" si="11"/>
        <v/>
      </c>
      <c r="AF12" s="95" t="str">
        <f t="shared" ca="1" si="12"/>
        <v/>
      </c>
      <c r="AG12" s="95" t="str">
        <f t="shared" ca="1" si="13"/>
        <v/>
      </c>
      <c r="AH12" s="95" t="str">
        <f t="shared" ca="1" si="14"/>
        <v/>
      </c>
      <c r="AI12" s="95" t="str">
        <f t="shared" ca="1" si="15"/>
        <v/>
      </c>
      <c r="AJ12" s="95" t="str">
        <f t="shared" ca="1" si="16"/>
        <v/>
      </c>
      <c r="AK12" s="95" t="str">
        <f t="shared" ca="1" si="17"/>
        <v/>
      </c>
      <c r="AL12" s="95" t="str">
        <f t="shared" ca="1" si="18"/>
        <v/>
      </c>
      <c r="AM12" s="95" t="str">
        <f t="shared" ca="1" si="19"/>
        <v/>
      </c>
      <c r="AQ12" s="95">
        <f t="shared" si="38"/>
        <v>5</v>
      </c>
      <c r="AR12" s="95">
        <f t="shared" si="39"/>
        <v>5</v>
      </c>
      <c r="AS12" s="95">
        <f t="shared" ca="1" si="20"/>
        <v>2</v>
      </c>
      <c r="AT12" s="95" t="str">
        <f t="shared" ca="1" si="21"/>
        <v>Ciudad de México</v>
      </c>
      <c r="AU12" s="516">
        <f t="shared" ca="1" si="22"/>
        <v>50</v>
      </c>
      <c r="AV12" s="516">
        <f t="shared" ca="1" si="22"/>
        <v>100</v>
      </c>
      <c r="AW12" s="523"/>
      <c r="BA12" s="517"/>
      <c r="BB12" s="516"/>
      <c r="BE12" s="516">
        <f t="shared" ca="1" si="23"/>
        <v>50</v>
      </c>
      <c r="BF12" s="516">
        <f t="shared" ca="1" si="23"/>
        <v>100</v>
      </c>
      <c r="BG12" s="95">
        <f t="shared" ca="1" si="40"/>
        <v>50</v>
      </c>
      <c r="BH12" s="95">
        <f t="shared" ca="1" si="24"/>
        <v>100</v>
      </c>
      <c r="BI12" s="95" t="str">
        <f t="shared" ca="1" si="25"/>
        <v>Asunción</v>
      </c>
      <c r="BJ12" s="516">
        <f t="shared" ca="1" si="26"/>
        <v>65.144325288871812</v>
      </c>
    </row>
    <row r="13" spans="1:62" ht="15" customHeight="1">
      <c r="A13" s="95">
        <v>6</v>
      </c>
      <c r="B13" s="95" t="str">
        <f>tblTerritories!B8</f>
        <v>LIMA</v>
      </c>
      <c r="C13" s="95" t="str">
        <f t="shared" si="27"/>
        <v>LIMA0</v>
      </c>
      <c r="D13" s="517">
        <f t="shared" ca="1" si="28"/>
        <v>1</v>
      </c>
      <c r="E13" s="516">
        <f t="shared" ca="1" si="0"/>
        <v>0</v>
      </c>
      <c r="F13" s="516">
        <f t="shared" ca="1" si="29"/>
        <v>0</v>
      </c>
      <c r="G13" s="516">
        <f t="shared" ca="1" si="30"/>
        <v>24</v>
      </c>
      <c r="H13" s="524">
        <f t="shared" ca="1" si="31"/>
        <v>1</v>
      </c>
      <c r="I13" s="516">
        <f ca="1">RANK(F13,$F$8:$F$19)+COUNTIF(F$8:F13,F13)-1</f>
        <v>10</v>
      </c>
      <c r="J13" s="95">
        <f t="shared" ca="1" si="1"/>
        <v>3</v>
      </c>
      <c r="K13" s="95">
        <f>tblTerritories!F8</f>
        <v>1</v>
      </c>
      <c r="L13" s="95" t="str">
        <f t="shared" ca="1" si="2"/>
        <v>Buenos Aires</v>
      </c>
      <c r="M13" s="516">
        <f t="shared" ca="1" si="3"/>
        <v>50</v>
      </c>
      <c r="N13" s="516">
        <f t="shared" ca="1" si="4"/>
        <v>1</v>
      </c>
      <c r="O13" s="95" t="str">
        <f t="shared" ca="1" si="32"/>
        <v>Buenos Aires</v>
      </c>
      <c r="P13" s="95">
        <f t="shared" ca="1" si="33"/>
        <v>50</v>
      </c>
      <c r="Q13" s="95" t="e">
        <f t="shared" ca="1" si="34"/>
        <v>#N/A</v>
      </c>
      <c r="R13" s="95" t="str">
        <f t="shared" ca="1" si="35"/>
        <v>50.0</v>
      </c>
      <c r="S13" s="95">
        <v>-10000</v>
      </c>
      <c r="T13" s="528" t="str">
        <f ca="1">INDEX(tblTerritories!$B$3:$B$41,J13)</f>
        <v>BSAS</v>
      </c>
      <c r="U13" s="95">
        <f t="shared" ca="1" si="36"/>
        <v>50</v>
      </c>
      <c r="V13" s="95">
        <f t="shared" ca="1" si="5"/>
        <v>28</v>
      </c>
      <c r="W13" s="95">
        <f t="shared" ca="1" si="37"/>
        <v>50</v>
      </c>
      <c r="Y13" s="95" t="e">
        <f t="shared" ca="1" si="6"/>
        <v>#N/A</v>
      </c>
      <c r="Z13" s="95" t="e">
        <f t="shared" ca="1" si="7"/>
        <v>#N/A</v>
      </c>
      <c r="AA13" s="95" t="e">
        <f t="shared" ca="1" si="8"/>
        <v>#N/A</v>
      </c>
      <c r="AB13" s="95" t="e">
        <f t="shared" ca="1" si="9"/>
        <v>#N/A</v>
      </c>
      <c r="AC13" s="95" t="e">
        <f t="shared" ca="1" si="10"/>
        <v>#N/A</v>
      </c>
      <c r="AE13" s="95" t="str">
        <f t="shared" ca="1" si="11"/>
        <v/>
      </c>
      <c r="AF13" s="95" t="str">
        <f t="shared" ca="1" si="12"/>
        <v/>
      </c>
      <c r="AG13" s="95" t="str">
        <f t="shared" ca="1" si="13"/>
        <v/>
      </c>
      <c r="AH13" s="95" t="str">
        <f t="shared" ca="1" si="14"/>
        <v/>
      </c>
      <c r="AI13" s="95" t="str">
        <f t="shared" ca="1" si="15"/>
        <v/>
      </c>
      <c r="AJ13" s="95" t="str">
        <f t="shared" ca="1" si="16"/>
        <v/>
      </c>
      <c r="AK13" s="95" t="str">
        <f t="shared" ca="1" si="17"/>
        <v/>
      </c>
      <c r="AL13" s="95" t="str">
        <f t="shared" ca="1" si="18"/>
        <v/>
      </c>
      <c r="AM13" s="95" t="str">
        <f t="shared" ca="1" si="19"/>
        <v/>
      </c>
      <c r="AQ13" s="95">
        <f t="shared" si="38"/>
        <v>6</v>
      </c>
      <c r="AR13" s="95">
        <f t="shared" si="39"/>
        <v>6</v>
      </c>
      <c r="AS13" s="95">
        <f t="shared" ca="1" si="20"/>
        <v>1</v>
      </c>
      <c r="AT13" s="95" t="str">
        <f t="shared" ca="1" si="21"/>
        <v>Lima</v>
      </c>
      <c r="AU13" s="516">
        <f t="shared" ca="1" si="22"/>
        <v>50</v>
      </c>
      <c r="AV13" s="516">
        <f t="shared" ca="1" si="22"/>
        <v>50</v>
      </c>
      <c r="AW13" s="523"/>
      <c r="BA13" s="517"/>
      <c r="BB13" s="516"/>
      <c r="BE13" s="516">
        <f t="shared" ca="1" si="23"/>
        <v>50</v>
      </c>
      <c r="BF13" s="516">
        <f t="shared" ca="1" si="23"/>
        <v>50</v>
      </c>
      <c r="BG13" s="95">
        <f t="shared" ca="1" si="40"/>
        <v>50</v>
      </c>
      <c r="BH13" s="95">
        <f t="shared" ca="1" si="24"/>
        <v>50</v>
      </c>
      <c r="BI13" s="95" t="str">
        <f t="shared" ca="1" si="25"/>
        <v>Buenos Aires</v>
      </c>
      <c r="BJ13" s="516">
        <f t="shared" ca="1" si="26"/>
        <v>75</v>
      </c>
    </row>
    <row r="14" spans="1:62" ht="15" customHeight="1">
      <c r="A14" s="95">
        <v>7</v>
      </c>
      <c r="B14" s="95" t="str">
        <f>tblTerritories!B9</f>
        <v>MONT</v>
      </c>
      <c r="C14" s="95" t="str">
        <f t="shared" si="27"/>
        <v>MONT0</v>
      </c>
      <c r="D14" s="517">
        <f t="shared" ca="1" si="28"/>
        <v>2</v>
      </c>
      <c r="E14" s="516">
        <f t="shared" ca="1" si="0"/>
        <v>50</v>
      </c>
      <c r="F14" s="516">
        <f t="shared" ca="1" si="29"/>
        <v>50</v>
      </c>
      <c r="G14" s="516">
        <f t="shared" ca="1" si="30"/>
        <v>28</v>
      </c>
      <c r="H14" s="524">
        <f t="shared" ca="1" si="31"/>
        <v>1</v>
      </c>
      <c r="I14" s="516">
        <f ca="1">RANK(F14,$F$8:$F$19)+COUNTIF(F$8:F14,F14)-1</f>
        <v>8</v>
      </c>
      <c r="J14" s="95">
        <f t="shared" ca="1" si="1"/>
        <v>5</v>
      </c>
      <c r="K14" s="95">
        <f>tblTerritories!F9</f>
        <v>1</v>
      </c>
      <c r="L14" s="95" t="str">
        <f t="shared" ca="1" si="2"/>
        <v>Ciudad de México</v>
      </c>
      <c r="M14" s="516">
        <f t="shared" ca="1" si="3"/>
        <v>50</v>
      </c>
      <c r="N14" s="516">
        <f t="shared" ca="1" si="4"/>
        <v>1</v>
      </c>
      <c r="O14" s="95" t="str">
        <f t="shared" ca="1" si="32"/>
        <v>Ciudad de México</v>
      </c>
      <c r="P14" s="95">
        <f t="shared" ca="1" si="33"/>
        <v>50</v>
      </c>
      <c r="Q14" s="95" t="e">
        <f t="shared" ca="1" si="34"/>
        <v>#N/A</v>
      </c>
      <c r="R14" s="95" t="str">
        <f t="shared" ca="1" si="35"/>
        <v>50.0</v>
      </c>
      <c r="S14" s="95">
        <v>-10000</v>
      </c>
      <c r="T14" s="528" t="str">
        <f ca="1">INDEX(tblTerritories!$B$3:$B$41,J14)</f>
        <v>MEXC</v>
      </c>
      <c r="U14" s="95">
        <f t="shared" ca="1" si="36"/>
        <v>50</v>
      </c>
      <c r="V14" s="95">
        <f t="shared" ca="1" si="5"/>
        <v>28</v>
      </c>
      <c r="W14" s="95">
        <f t="shared" ca="1" si="37"/>
        <v>50</v>
      </c>
      <c r="Y14" s="95" t="e">
        <f t="shared" ca="1" si="6"/>
        <v>#N/A</v>
      </c>
      <c r="Z14" s="95" t="e">
        <f t="shared" ca="1" si="7"/>
        <v>#N/A</v>
      </c>
      <c r="AA14" s="95" t="e">
        <f t="shared" ca="1" si="8"/>
        <v>#N/A</v>
      </c>
      <c r="AB14" s="95" t="e">
        <f t="shared" ca="1" si="9"/>
        <v>#N/A</v>
      </c>
      <c r="AC14" s="95" t="e">
        <f t="shared" ca="1" si="10"/>
        <v>#N/A</v>
      </c>
      <c r="AE14" s="95" t="str">
        <f t="shared" ca="1" si="11"/>
        <v/>
      </c>
      <c r="AF14" s="95" t="str">
        <f t="shared" ca="1" si="12"/>
        <v/>
      </c>
      <c r="AG14" s="95" t="str">
        <f t="shared" ca="1" si="13"/>
        <v/>
      </c>
      <c r="AH14" s="95" t="str">
        <f t="shared" ca="1" si="14"/>
        <v/>
      </c>
      <c r="AI14" s="95" t="str">
        <f t="shared" ca="1" si="15"/>
        <v/>
      </c>
      <c r="AJ14" s="95" t="str">
        <f t="shared" ca="1" si="16"/>
        <v/>
      </c>
      <c r="AK14" s="95" t="str">
        <f t="shared" ca="1" si="17"/>
        <v/>
      </c>
      <c r="AL14" s="95" t="str">
        <f t="shared" ca="1" si="18"/>
        <v/>
      </c>
      <c r="AM14" s="95" t="str">
        <f t="shared" ca="1" si="19"/>
        <v/>
      </c>
      <c r="AQ14" s="95">
        <f t="shared" si="38"/>
        <v>7</v>
      </c>
      <c r="AR14" s="95">
        <f t="shared" si="39"/>
        <v>7</v>
      </c>
      <c r="AS14" s="95">
        <f t="shared" ca="1" si="20"/>
        <v>2</v>
      </c>
      <c r="AT14" s="95" t="str">
        <f t="shared" ca="1" si="21"/>
        <v>Montevideo</v>
      </c>
      <c r="AU14" s="516">
        <f t="shared" ca="1" si="22"/>
        <v>0</v>
      </c>
      <c r="AV14" s="516">
        <f t="shared" ca="1" si="22"/>
        <v>100</v>
      </c>
      <c r="AW14" s="523"/>
      <c r="BA14" s="517"/>
      <c r="BB14" s="516"/>
      <c r="BE14" s="516">
        <f t="shared" ca="1" si="23"/>
        <v>0</v>
      </c>
      <c r="BF14" s="516">
        <f t="shared" ca="1" si="23"/>
        <v>100</v>
      </c>
      <c r="BG14" s="95">
        <f t="shared" ca="1" si="40"/>
        <v>0</v>
      </c>
      <c r="BH14" s="95">
        <f t="shared" ca="1" si="24"/>
        <v>100</v>
      </c>
      <c r="BI14" s="95" t="str">
        <f t="shared" ca="1" si="25"/>
        <v>Ciudad de México</v>
      </c>
      <c r="BJ14" s="516">
        <f t="shared" ca="1" si="26"/>
        <v>100</v>
      </c>
    </row>
    <row r="15" spans="1:62" ht="15" customHeight="1">
      <c r="A15" s="95">
        <v>8</v>
      </c>
      <c r="B15" s="95" t="str">
        <f>tblTerritories!B10</f>
        <v>QUIT</v>
      </c>
      <c r="C15" s="95" t="str">
        <f t="shared" si="27"/>
        <v>QUIT0</v>
      </c>
      <c r="D15" s="517">
        <f t="shared" ca="1" si="28"/>
        <v>4</v>
      </c>
      <c r="E15" s="516">
        <f t="shared" ca="1" si="0"/>
        <v>100</v>
      </c>
      <c r="F15" s="516">
        <f t="shared" ca="1" si="29"/>
        <v>100</v>
      </c>
      <c r="G15" s="516">
        <f t="shared" ca="1" si="30"/>
        <v>25</v>
      </c>
      <c r="H15" s="524">
        <f t="shared" ca="1" si="31"/>
        <v>1</v>
      </c>
      <c r="I15" s="516">
        <f ca="1">RANK(F15,$F$8:$F$19)+COUNTIF(F$8:F15,F15)-1</f>
        <v>2</v>
      </c>
      <c r="J15" s="95">
        <f t="shared" ca="1" si="1"/>
        <v>7</v>
      </c>
      <c r="K15" s="95">
        <f>tblTerritories!F10</f>
        <v>1</v>
      </c>
      <c r="L15" s="95" t="str">
        <f t="shared" ca="1" si="2"/>
        <v>Montevideo</v>
      </c>
      <c r="M15" s="516">
        <f t="shared" ca="1" si="3"/>
        <v>50</v>
      </c>
      <c r="N15" s="516">
        <f t="shared" ca="1" si="4"/>
        <v>1</v>
      </c>
      <c r="O15" s="95" t="str">
        <f t="shared" ca="1" si="32"/>
        <v>Montevideo</v>
      </c>
      <c r="P15" s="95">
        <f t="shared" ca="1" si="33"/>
        <v>50</v>
      </c>
      <c r="Q15" s="95" t="e">
        <f t="shared" ca="1" si="34"/>
        <v>#N/A</v>
      </c>
      <c r="R15" s="95" t="str">
        <f t="shared" ca="1" si="35"/>
        <v>50.0</v>
      </c>
      <c r="S15" s="95">
        <v>-10000</v>
      </c>
      <c r="T15" s="528" t="str">
        <f ca="1">INDEX(tblTerritories!$B$3:$B$41,J15)</f>
        <v>MONT</v>
      </c>
      <c r="U15" s="95">
        <f t="shared" ca="1" si="36"/>
        <v>50</v>
      </c>
      <c r="V15" s="95">
        <f t="shared" ca="1" si="5"/>
        <v>28</v>
      </c>
      <c r="W15" s="95">
        <f t="shared" ca="1" si="37"/>
        <v>50</v>
      </c>
      <c r="Y15" s="95" t="e">
        <f t="shared" ca="1" si="6"/>
        <v>#N/A</v>
      </c>
      <c r="Z15" s="95" t="e">
        <f t="shared" ca="1" si="7"/>
        <v>#N/A</v>
      </c>
      <c r="AA15" s="95" t="e">
        <f t="shared" ca="1" si="8"/>
        <v>#N/A</v>
      </c>
      <c r="AB15" s="95" t="e">
        <f t="shared" ca="1" si="9"/>
        <v>#N/A</v>
      </c>
      <c r="AC15" s="95" t="e">
        <f t="shared" ca="1" si="10"/>
        <v>#N/A</v>
      </c>
      <c r="AE15" s="95" t="str">
        <f t="shared" ca="1" si="11"/>
        <v/>
      </c>
      <c r="AF15" s="95" t="str">
        <f t="shared" ca="1" si="12"/>
        <v/>
      </c>
      <c r="AG15" s="95" t="str">
        <f t="shared" ca="1" si="13"/>
        <v/>
      </c>
      <c r="AH15" s="95" t="str">
        <f t="shared" ca="1" si="14"/>
        <v/>
      </c>
      <c r="AI15" s="95" t="str">
        <f t="shared" ca="1" si="15"/>
        <v/>
      </c>
      <c r="AJ15" s="95" t="str">
        <f t="shared" ca="1" si="16"/>
        <v/>
      </c>
      <c r="AK15" s="95" t="str">
        <f t="shared" ca="1" si="17"/>
        <v/>
      </c>
      <c r="AL15" s="95" t="str">
        <f t="shared" ca="1" si="18"/>
        <v/>
      </c>
      <c r="AM15" s="95" t="str">
        <f t="shared" ca="1" si="19"/>
        <v/>
      </c>
      <c r="AQ15" s="95">
        <f t="shared" si="38"/>
        <v>8</v>
      </c>
      <c r="AR15" s="95">
        <f t="shared" si="39"/>
        <v>8</v>
      </c>
      <c r="AS15" s="95">
        <f t="shared" ca="1" si="20"/>
        <v>4</v>
      </c>
      <c r="AT15" s="95" t="str">
        <f t="shared" ca="1" si="21"/>
        <v>Quito</v>
      </c>
      <c r="AU15" s="516">
        <f t="shared" ca="1" si="22"/>
        <v>31.25</v>
      </c>
      <c r="AV15" s="516">
        <f t="shared" ca="1" si="22"/>
        <v>75</v>
      </c>
      <c r="AW15" s="523"/>
      <c r="BA15" s="517"/>
      <c r="BB15" s="516"/>
      <c r="BE15" s="516">
        <f t="shared" ca="1" si="23"/>
        <v>31.25</v>
      </c>
      <c r="BF15" s="516">
        <f t="shared" ca="1" si="23"/>
        <v>75</v>
      </c>
      <c r="BG15" s="95">
        <f t="shared" ca="1" si="40"/>
        <v>31.25</v>
      </c>
      <c r="BH15" s="95">
        <f t="shared" ca="1" si="24"/>
        <v>75</v>
      </c>
      <c r="BI15" s="95" t="str">
        <f t="shared" ca="1" si="25"/>
        <v>Montevideo</v>
      </c>
      <c r="BJ15" s="516">
        <f t="shared" ca="1" si="26"/>
        <v>100</v>
      </c>
    </row>
    <row r="16" spans="1:62" ht="15" customHeight="1">
      <c r="A16" s="95">
        <v>9</v>
      </c>
      <c r="B16" s="95" t="str">
        <f>tblTerritories!B11</f>
        <v>SANJ</v>
      </c>
      <c r="C16" s="95" t="str">
        <f t="shared" si="27"/>
        <v>SANJ0</v>
      </c>
      <c r="D16" s="517">
        <f t="shared" ca="1" si="28"/>
        <v>1</v>
      </c>
      <c r="E16" s="516">
        <f t="shared" ca="1" si="0"/>
        <v>0</v>
      </c>
      <c r="F16" s="516">
        <f t="shared" ca="1" si="29"/>
        <v>0</v>
      </c>
      <c r="G16" s="516">
        <f t="shared" ca="1" si="30"/>
        <v>24</v>
      </c>
      <c r="H16" s="524">
        <f t="shared" ca="1" si="31"/>
        <v>1</v>
      </c>
      <c r="I16" s="516">
        <f ca="1">RANK(F16,$F$8:$F$19)+COUNTIF(F$8:F16,F16)-1</f>
        <v>11</v>
      </c>
      <c r="J16" s="95">
        <f t="shared" ca="1" si="1"/>
        <v>4</v>
      </c>
      <c r="K16" s="95">
        <f>tblTerritories!F11</f>
        <v>1</v>
      </c>
      <c r="L16" s="95" t="str">
        <f t="shared" ca="1" si="2"/>
        <v>Ciudad de Belice</v>
      </c>
      <c r="M16" s="516">
        <f t="shared" ca="1" si="3"/>
        <v>0</v>
      </c>
      <c r="N16" s="516">
        <f t="shared" ca="1" si="4"/>
        <v>1</v>
      </c>
      <c r="O16" s="95" t="str">
        <f t="shared" ca="1" si="32"/>
        <v>Ciudad de Belice</v>
      </c>
      <c r="P16" s="95">
        <f t="shared" ca="1" si="33"/>
        <v>0</v>
      </c>
      <c r="Q16" s="95" t="e">
        <f t="shared" ca="1" si="34"/>
        <v>#N/A</v>
      </c>
      <c r="R16" s="95" t="str">
        <f t="shared" ca="1" si="35"/>
        <v>0.0</v>
      </c>
      <c r="S16" s="95">
        <v>-10000</v>
      </c>
      <c r="T16" s="528" t="str">
        <f ca="1">INDEX(tblTerritories!$B$3:$B$41,J16)</f>
        <v>CDBE</v>
      </c>
      <c r="U16" s="95">
        <f t="shared" ca="1" si="36"/>
        <v>0</v>
      </c>
      <c r="V16" s="95">
        <f t="shared" ca="1" si="5"/>
        <v>24</v>
      </c>
      <c r="W16" s="95">
        <f t="shared" ca="1" si="37"/>
        <v>0</v>
      </c>
      <c r="Y16" s="95" t="e">
        <f t="shared" ca="1" si="6"/>
        <v>#N/A</v>
      </c>
      <c r="Z16" s="95" t="e">
        <f t="shared" ca="1" si="7"/>
        <v>#N/A</v>
      </c>
      <c r="AA16" s="95" t="e">
        <f t="shared" ca="1" si="8"/>
        <v>#N/A</v>
      </c>
      <c r="AB16" s="95" t="e">
        <f t="shared" ca="1" si="9"/>
        <v>#N/A</v>
      </c>
      <c r="AC16" s="95" t="e">
        <f t="shared" ca="1" si="10"/>
        <v>#N/A</v>
      </c>
      <c r="AE16" s="95" t="str">
        <f t="shared" ca="1" si="11"/>
        <v/>
      </c>
      <c r="AF16" s="95" t="str">
        <f t="shared" ca="1" si="12"/>
        <v/>
      </c>
      <c r="AG16" s="95" t="str">
        <f t="shared" ca="1" si="13"/>
        <v/>
      </c>
      <c r="AH16" s="95" t="str">
        <f t="shared" ca="1" si="14"/>
        <v/>
      </c>
      <c r="AI16" s="95" t="str">
        <f t="shared" ca="1" si="15"/>
        <v/>
      </c>
      <c r="AJ16" s="95" t="str">
        <f t="shared" ca="1" si="16"/>
        <v/>
      </c>
      <c r="AK16" s="95" t="str">
        <f t="shared" ca="1" si="17"/>
        <v/>
      </c>
      <c r="AL16" s="95" t="str">
        <f t="shared" ca="1" si="18"/>
        <v/>
      </c>
      <c r="AM16" s="95" t="str">
        <f t="shared" ca="1" si="19"/>
        <v/>
      </c>
      <c r="AQ16" s="95">
        <f t="shared" si="38"/>
        <v>9</v>
      </c>
      <c r="AR16" s="95">
        <f t="shared" si="39"/>
        <v>9</v>
      </c>
      <c r="AS16" s="95">
        <f t="shared" ca="1" si="20"/>
        <v>1</v>
      </c>
      <c r="AT16" s="95" t="str">
        <f t="shared" ca="1" si="21"/>
        <v>San José</v>
      </c>
      <c r="AU16" s="516">
        <f t="shared" ca="1" si="22"/>
        <v>0</v>
      </c>
      <c r="AV16" s="516">
        <f t="shared" ca="1" si="22"/>
        <v>100</v>
      </c>
      <c r="AW16" s="523"/>
      <c r="BA16" s="517"/>
      <c r="BB16" s="516"/>
      <c r="BE16" s="516">
        <f t="shared" ca="1" si="23"/>
        <v>0</v>
      </c>
      <c r="BF16" s="516">
        <f t="shared" ca="1" si="23"/>
        <v>100</v>
      </c>
      <c r="BG16" s="95">
        <f t="shared" ca="1" si="40"/>
        <v>0</v>
      </c>
      <c r="BH16" s="95">
        <f t="shared" ca="1" si="24"/>
        <v>100</v>
      </c>
      <c r="BI16" s="95" t="str">
        <f t="shared" ca="1" si="25"/>
        <v>Ciudad de Belice</v>
      </c>
      <c r="BJ16" s="516">
        <f t="shared" ca="1" si="26"/>
        <v>50</v>
      </c>
    </row>
    <row r="17" spans="1:62" ht="15" customHeight="1">
      <c r="A17" s="95">
        <v>10</v>
      </c>
      <c r="B17" s="95" t="str">
        <f>tblTerritories!B12</f>
        <v>SAPA</v>
      </c>
      <c r="C17" s="95" t="str">
        <f t="shared" si="27"/>
        <v>SAPA0</v>
      </c>
      <c r="D17" s="517">
        <f t="shared" ca="1" si="28"/>
        <v>4</v>
      </c>
      <c r="E17" s="516">
        <f t="shared" ca="1" si="0"/>
        <v>100</v>
      </c>
      <c r="F17" s="516">
        <f t="shared" ca="1" si="29"/>
        <v>100</v>
      </c>
      <c r="G17" s="516">
        <f t="shared" ca="1" si="30"/>
        <v>25</v>
      </c>
      <c r="H17" s="524">
        <f t="shared" ca="1" si="31"/>
        <v>1</v>
      </c>
      <c r="I17" s="516">
        <f ca="1">RANK(F17,$F$8:$F$19)+COUNTIF(F$8:F17,F17)-1</f>
        <v>3</v>
      </c>
      <c r="J17" s="95">
        <f t="shared" ca="1" si="1"/>
        <v>6</v>
      </c>
      <c r="K17" s="95">
        <f>tblTerritories!F12</f>
        <v>1</v>
      </c>
      <c r="L17" s="95" t="str">
        <f t="shared" ca="1" si="2"/>
        <v>Lima</v>
      </c>
      <c r="M17" s="516">
        <f t="shared" ca="1" si="3"/>
        <v>0</v>
      </c>
      <c r="N17" s="516">
        <f t="shared" ca="1" si="4"/>
        <v>1</v>
      </c>
      <c r="O17" s="95" t="str">
        <f t="shared" ca="1" si="32"/>
        <v>Lima</v>
      </c>
      <c r="P17" s="95">
        <f t="shared" ca="1" si="33"/>
        <v>0</v>
      </c>
      <c r="Q17" s="95" t="e">
        <f t="shared" ca="1" si="34"/>
        <v>#N/A</v>
      </c>
      <c r="R17" s="95" t="str">
        <f t="shared" ca="1" si="35"/>
        <v>0.0</v>
      </c>
      <c r="S17" s="95">
        <v>-10000</v>
      </c>
      <c r="T17" s="528" t="str">
        <f ca="1">INDEX(tblTerritories!$B$3:$B$41,J17)</f>
        <v>LIMA</v>
      </c>
      <c r="U17" s="95">
        <f t="shared" ca="1" si="36"/>
        <v>0</v>
      </c>
      <c r="V17" s="95">
        <f t="shared" ca="1" si="5"/>
        <v>24</v>
      </c>
      <c r="W17" s="95">
        <f t="shared" ca="1" si="37"/>
        <v>0</v>
      </c>
      <c r="Y17" s="95" t="e">
        <f t="shared" ca="1" si="6"/>
        <v>#N/A</v>
      </c>
      <c r="Z17" s="95" t="e">
        <f t="shared" ca="1" si="7"/>
        <v>#N/A</v>
      </c>
      <c r="AA17" s="95" t="e">
        <f t="shared" ca="1" si="8"/>
        <v>#N/A</v>
      </c>
      <c r="AB17" s="95" t="e">
        <f t="shared" ca="1" si="9"/>
        <v>#N/A</v>
      </c>
      <c r="AC17" s="95" t="e">
        <f t="shared" ca="1" si="10"/>
        <v>#N/A</v>
      </c>
      <c r="AE17" s="95" t="str">
        <f t="shared" ca="1" si="11"/>
        <v/>
      </c>
      <c r="AF17" s="95" t="str">
        <f t="shared" ca="1" si="12"/>
        <v/>
      </c>
      <c r="AG17" s="95" t="str">
        <f t="shared" ca="1" si="13"/>
        <v/>
      </c>
      <c r="AH17" s="95" t="str">
        <f t="shared" ca="1" si="14"/>
        <v/>
      </c>
      <c r="AI17" s="95" t="str">
        <f t="shared" ca="1" si="15"/>
        <v/>
      </c>
      <c r="AJ17" s="95" t="str">
        <f t="shared" ca="1" si="16"/>
        <v/>
      </c>
      <c r="AK17" s="95" t="str">
        <f t="shared" ca="1" si="17"/>
        <v/>
      </c>
      <c r="AL17" s="95" t="str">
        <f t="shared" ca="1" si="18"/>
        <v/>
      </c>
      <c r="AM17" s="95" t="str">
        <f t="shared" ca="1" si="19"/>
        <v/>
      </c>
      <c r="AQ17" s="95">
        <f t="shared" si="38"/>
        <v>10</v>
      </c>
      <c r="AR17" s="95">
        <f t="shared" si="39"/>
        <v>10</v>
      </c>
      <c r="AS17" s="95">
        <f t="shared" ca="1" si="20"/>
        <v>4</v>
      </c>
      <c r="AT17" s="95" t="str">
        <f t="shared" ca="1" si="21"/>
        <v>San Pablo</v>
      </c>
      <c r="AU17" s="516">
        <f t="shared" ca="1" si="22"/>
        <v>50</v>
      </c>
      <c r="AV17" s="516">
        <f t="shared" ca="1" si="22"/>
        <v>100</v>
      </c>
      <c r="AW17" s="523"/>
      <c r="BA17" s="517"/>
      <c r="BB17" s="516"/>
      <c r="BE17" s="516">
        <f t="shared" ca="1" si="23"/>
        <v>50</v>
      </c>
      <c r="BF17" s="516">
        <f t="shared" ca="1" si="23"/>
        <v>100</v>
      </c>
      <c r="BG17" s="95">
        <f t="shared" ca="1" si="40"/>
        <v>50</v>
      </c>
      <c r="BH17" s="95">
        <f t="shared" ca="1" si="24"/>
        <v>100</v>
      </c>
      <c r="BI17" s="95" t="str">
        <f t="shared" ca="1" si="25"/>
        <v>Lima</v>
      </c>
      <c r="BJ17" s="516">
        <f t="shared" ca="1" si="26"/>
        <v>50</v>
      </c>
    </row>
    <row r="18" spans="1:62" ht="15" customHeight="1">
      <c r="A18" s="95">
        <v>11</v>
      </c>
      <c r="B18" s="95" t="str">
        <f>tblTerritories!B13</f>
        <v>SACR</v>
      </c>
      <c r="C18" s="95" t="str">
        <f t="shared" si="27"/>
        <v>SACR0</v>
      </c>
      <c r="D18" s="517">
        <f t="shared" ca="1" si="28"/>
        <v>4</v>
      </c>
      <c r="E18" s="516">
        <f t="shared" ca="1" si="0"/>
        <v>100</v>
      </c>
      <c r="F18" s="516">
        <f t="shared" ca="1" si="29"/>
        <v>100</v>
      </c>
      <c r="G18" s="516">
        <f t="shared" ca="1" si="30"/>
        <v>25</v>
      </c>
      <c r="H18" s="524">
        <f t="shared" ca="1" si="31"/>
        <v>1</v>
      </c>
      <c r="I18" s="516">
        <f ca="1">RANK(F18,$F$8:$F$19)+COUNTIF(F$8:F18,F18)-1</f>
        <v>4</v>
      </c>
      <c r="J18" s="95">
        <f t="shared" ca="1" si="1"/>
        <v>9</v>
      </c>
      <c r="K18" s="95">
        <f>tblTerritories!F13</f>
        <v>1</v>
      </c>
      <c r="L18" s="95" t="str">
        <f t="shared" ca="1" si="2"/>
        <v>San José</v>
      </c>
      <c r="M18" s="516">
        <f t="shared" ca="1" si="3"/>
        <v>0</v>
      </c>
      <c r="N18" s="516">
        <f t="shared" ca="1" si="4"/>
        <v>1</v>
      </c>
      <c r="O18" s="95" t="str">
        <f t="shared" ca="1" si="32"/>
        <v>San José</v>
      </c>
      <c r="P18" s="95">
        <f t="shared" ca="1" si="33"/>
        <v>0</v>
      </c>
      <c r="Q18" s="95" t="e">
        <f t="shared" ca="1" si="34"/>
        <v>#N/A</v>
      </c>
      <c r="R18" s="95" t="str">
        <f t="shared" ca="1" si="35"/>
        <v>0.0</v>
      </c>
      <c r="S18" s="95">
        <v>-10000</v>
      </c>
      <c r="T18" s="528" t="str">
        <f ca="1">INDEX(tblTerritories!$B$3:$B$41,J18)</f>
        <v>SANJ</v>
      </c>
      <c r="U18" s="95">
        <f t="shared" ca="1" si="36"/>
        <v>0</v>
      </c>
      <c r="V18" s="95">
        <f t="shared" ca="1" si="5"/>
        <v>24</v>
      </c>
      <c r="W18" s="95">
        <f t="shared" ca="1" si="37"/>
        <v>0</v>
      </c>
      <c r="Y18" s="95" t="e">
        <f t="shared" ca="1" si="6"/>
        <v>#N/A</v>
      </c>
      <c r="Z18" s="95" t="e">
        <f t="shared" ca="1" si="7"/>
        <v>#N/A</v>
      </c>
      <c r="AA18" s="95" t="e">
        <f t="shared" ca="1" si="8"/>
        <v>#N/A</v>
      </c>
      <c r="AB18" s="95" t="e">
        <f t="shared" ca="1" si="9"/>
        <v>#N/A</v>
      </c>
      <c r="AC18" s="95" t="e">
        <f t="shared" ca="1" si="10"/>
        <v>#N/A</v>
      </c>
      <c r="AE18" s="95" t="str">
        <f t="shared" ca="1" si="11"/>
        <v/>
      </c>
      <c r="AF18" s="95" t="str">
        <f t="shared" ca="1" si="12"/>
        <v/>
      </c>
      <c r="AG18" s="95" t="str">
        <f t="shared" ca="1" si="13"/>
        <v/>
      </c>
      <c r="AH18" s="95" t="str">
        <f t="shared" ca="1" si="14"/>
        <v/>
      </c>
      <c r="AI18" s="95" t="str">
        <f t="shared" ca="1" si="15"/>
        <v/>
      </c>
      <c r="AJ18" s="95" t="str">
        <f t="shared" ca="1" si="16"/>
        <v/>
      </c>
      <c r="AK18" s="95" t="str">
        <f t="shared" ca="1" si="17"/>
        <v/>
      </c>
      <c r="AL18" s="95" t="str">
        <f t="shared" ca="1" si="18"/>
        <v/>
      </c>
      <c r="AM18" s="95" t="str">
        <f t="shared" ca="1" si="19"/>
        <v/>
      </c>
      <c r="AQ18" s="95">
        <f t="shared" si="38"/>
        <v>11</v>
      </c>
      <c r="AR18" s="95">
        <f t="shared" si="39"/>
        <v>11</v>
      </c>
      <c r="AS18" s="95">
        <f t="shared" ca="1" si="20"/>
        <v>4</v>
      </c>
      <c r="AT18" s="95" t="str">
        <f t="shared" ca="1" si="21"/>
        <v>Santa Cruz</v>
      </c>
      <c r="AU18" s="516">
        <f t="shared" ca="1" si="22"/>
        <v>0</v>
      </c>
      <c r="AV18" s="516">
        <f t="shared" ca="1" si="22"/>
        <v>100</v>
      </c>
      <c r="AW18" s="523"/>
      <c r="BA18" s="517"/>
      <c r="BB18" s="516"/>
      <c r="BE18" s="516">
        <f t="shared" ca="1" si="23"/>
        <v>0</v>
      </c>
      <c r="BF18" s="516">
        <f t="shared" ca="1" si="23"/>
        <v>100</v>
      </c>
      <c r="BG18" s="95">
        <f t="shared" ca="1" si="40"/>
        <v>0</v>
      </c>
      <c r="BH18" s="95">
        <f t="shared" ca="1" si="24"/>
        <v>100</v>
      </c>
      <c r="BI18" s="95" t="str">
        <f t="shared" ca="1" si="25"/>
        <v>San José</v>
      </c>
      <c r="BJ18" s="516">
        <f t="shared" ca="1" si="26"/>
        <v>100</v>
      </c>
    </row>
    <row r="19" spans="1:62" ht="15" customHeight="1">
      <c r="A19" s="95">
        <v>12</v>
      </c>
      <c r="B19" s="95" t="str">
        <f>tblTerritories!B14</f>
        <v>SADC</v>
      </c>
      <c r="C19" s="95" t="str">
        <f t="shared" si="27"/>
        <v>SADC0</v>
      </c>
      <c r="D19" s="517">
        <f t="shared" ca="1" si="28"/>
        <v>1</v>
      </c>
      <c r="E19" s="516">
        <f t="shared" ca="1" si="0"/>
        <v>0</v>
      </c>
      <c r="F19" s="516">
        <f t="shared" ca="1" si="29"/>
        <v>0</v>
      </c>
      <c r="G19" s="516">
        <f t="shared" ca="1" si="30"/>
        <v>24</v>
      </c>
      <c r="H19" s="524">
        <f t="shared" ca="1" si="31"/>
        <v>1</v>
      </c>
      <c r="I19" s="516">
        <f ca="1">RANK(F19,$F$8:$F$19)+COUNTIF(F$8:F19,F19)-1</f>
        <v>12</v>
      </c>
      <c r="J19" s="95">
        <f t="shared" ca="1" si="1"/>
        <v>12</v>
      </c>
      <c r="K19" s="95">
        <f>tblTerritories!F14</f>
        <v>1</v>
      </c>
      <c r="L19" s="95" t="str">
        <f t="shared" ca="1" si="2"/>
        <v>Santiago de Chile</v>
      </c>
      <c r="M19" s="516">
        <f t="shared" ca="1" si="3"/>
        <v>0</v>
      </c>
      <c r="N19" s="516">
        <f t="shared" ca="1" si="4"/>
        <v>1</v>
      </c>
      <c r="O19" s="95" t="str">
        <f t="shared" ca="1" si="32"/>
        <v>Santiago de Chile</v>
      </c>
      <c r="P19" s="95">
        <f t="shared" ca="1" si="33"/>
        <v>0</v>
      </c>
      <c r="Q19" s="95" t="e">
        <f t="shared" ca="1" si="34"/>
        <v>#N/A</v>
      </c>
      <c r="R19" s="95" t="str">
        <f t="shared" ca="1" si="35"/>
        <v>0.0</v>
      </c>
      <c r="S19" s="95">
        <v>-10000</v>
      </c>
      <c r="T19" s="528" t="str">
        <f ca="1">INDEX(tblTerritories!$B$3:$B$41,J19)</f>
        <v>SADC</v>
      </c>
      <c r="U19" s="95">
        <f t="shared" ca="1" si="36"/>
        <v>0</v>
      </c>
      <c r="V19" s="95">
        <f t="shared" ca="1" si="5"/>
        <v>24</v>
      </c>
      <c r="W19" s="95">
        <f t="shared" ca="1" si="37"/>
        <v>0</v>
      </c>
      <c r="Y19" s="95" t="e">
        <f t="shared" ca="1" si="6"/>
        <v>#N/A</v>
      </c>
      <c r="Z19" s="95" t="e">
        <f t="shared" ca="1" si="7"/>
        <v>#N/A</v>
      </c>
      <c r="AA19" s="95" t="e">
        <f t="shared" ca="1" si="8"/>
        <v>#N/A</v>
      </c>
      <c r="AB19" s="95" t="e">
        <f t="shared" ca="1" si="9"/>
        <v>#N/A</v>
      </c>
      <c r="AC19" s="95" t="e">
        <f t="shared" ca="1" si="10"/>
        <v>#N/A</v>
      </c>
      <c r="AE19" s="95" t="str">
        <f t="shared" ca="1" si="11"/>
        <v/>
      </c>
      <c r="AF19" s="95" t="str">
        <f t="shared" ca="1" si="12"/>
        <v/>
      </c>
      <c r="AG19" s="95" t="str">
        <f t="shared" ca="1" si="13"/>
        <v/>
      </c>
      <c r="AH19" s="95" t="str">
        <f t="shared" ca="1" si="14"/>
        <v/>
      </c>
      <c r="AI19" s="95" t="str">
        <f t="shared" ca="1" si="15"/>
        <v/>
      </c>
      <c r="AJ19" s="95" t="str">
        <f t="shared" ca="1" si="16"/>
        <v/>
      </c>
      <c r="AK19" s="95" t="str">
        <f t="shared" ca="1" si="17"/>
        <v/>
      </c>
      <c r="AL19" s="95" t="str">
        <f t="shared" ca="1" si="18"/>
        <v/>
      </c>
      <c r="AM19" s="95" t="str">
        <f t="shared" ca="1" si="19"/>
        <v/>
      </c>
      <c r="AQ19" s="95">
        <f t="shared" si="38"/>
        <v>12</v>
      </c>
      <c r="AR19" s="95">
        <f t="shared" si="39"/>
        <v>12</v>
      </c>
      <c r="AS19" s="95">
        <f t="shared" ca="1" si="20"/>
        <v>1</v>
      </c>
      <c r="AT19" s="95" t="str">
        <f t="shared" ca="1" si="21"/>
        <v>Santiago de Chile</v>
      </c>
      <c r="AU19" s="516">
        <f t="shared" ca="1" si="22"/>
        <v>50</v>
      </c>
      <c r="AV19" s="516">
        <f t="shared" ca="1" si="22"/>
        <v>50</v>
      </c>
      <c r="AW19" s="523"/>
      <c r="BA19" s="517"/>
      <c r="BB19" s="516"/>
      <c r="BE19" s="516">
        <f t="shared" ca="1" si="23"/>
        <v>50</v>
      </c>
      <c r="BF19" s="516">
        <f t="shared" ca="1" si="23"/>
        <v>50</v>
      </c>
      <c r="BG19" s="95">
        <f t="shared" ca="1" si="40"/>
        <v>50</v>
      </c>
      <c r="BH19" s="95">
        <f t="shared" ca="1" si="24"/>
        <v>50</v>
      </c>
      <c r="BI19" s="95" t="str">
        <f t="shared" ca="1" si="25"/>
        <v>Santiago de Chile</v>
      </c>
      <c r="BJ19" s="516">
        <f t="shared" ca="1" si="26"/>
        <v>50</v>
      </c>
    </row>
    <row r="20" spans="1:62">
      <c r="D20" s="517">
        <f>IF(ISNUMBER(E20),MATCH(E20,QUARTILE($E$8:$E$19,{0,1,2,3})),0)</f>
        <v>0</v>
      </c>
      <c r="E20" s="516"/>
      <c r="F20" s="516"/>
      <c r="G20" s="516"/>
      <c r="H20" s="516"/>
      <c r="I20" s="516"/>
      <c r="T20" s="528"/>
      <c r="AU20" s="516"/>
      <c r="AV20" s="516"/>
      <c r="AW20" s="523"/>
    </row>
    <row r="21" spans="1:62">
      <c r="E21" s="516"/>
      <c r="F21" s="516"/>
      <c r="G21" s="516"/>
      <c r="H21" s="516"/>
      <c r="I21" s="516"/>
      <c r="T21" s="528"/>
      <c r="AU21" s="516"/>
      <c r="AV21" s="516"/>
      <c r="AW21" s="523"/>
    </row>
    <row r="22" spans="1:62">
      <c r="D22" s="95">
        <f>iMap_Rank!Q6</f>
        <v>0</v>
      </c>
      <c r="E22" s="95">
        <f>iMap_Rank!R6</f>
        <v>0</v>
      </c>
      <c r="F22" s="516"/>
      <c r="G22" s="516"/>
      <c r="H22" s="516"/>
      <c r="I22" s="516"/>
      <c r="T22" s="528"/>
      <c r="Y22" s="518"/>
      <c r="AU22" s="516"/>
      <c r="AV22" s="516"/>
      <c r="AW22" s="523"/>
    </row>
    <row r="23" spans="1:62">
      <c r="D23" s="95">
        <f>iMap_Rank!Q7</f>
        <v>0.25</v>
      </c>
      <c r="E23" s="95">
        <f>iMap_Rank!R7</f>
        <v>25</v>
      </c>
      <c r="F23" s="516"/>
      <c r="G23" s="516"/>
      <c r="H23" s="516"/>
      <c r="I23" s="516"/>
      <c r="T23" s="528"/>
      <c r="AU23" s="516"/>
      <c r="AV23" s="516"/>
      <c r="AW23" s="523"/>
    </row>
    <row r="24" spans="1:62">
      <c r="D24" s="95">
        <f>iMap_Rank!Q8</f>
        <v>0.5</v>
      </c>
      <c r="E24" s="95">
        <f>iMap_Rank!R8</f>
        <v>50</v>
      </c>
      <c r="F24" s="516"/>
      <c r="G24" s="516"/>
      <c r="H24" s="516"/>
      <c r="I24" s="516"/>
      <c r="T24" s="528"/>
      <c r="AU24" s="516"/>
      <c r="AV24" s="516"/>
      <c r="AW24" s="516"/>
      <c r="AX24" s="516"/>
      <c r="AY24" s="516"/>
      <c r="AZ24" s="516"/>
      <c r="BA24" s="525"/>
    </row>
    <row r="25" spans="1:62" ht="15.75">
      <c r="A25" s="526"/>
      <c r="D25" s="95">
        <f>iMap_Rank!Q9</f>
        <v>0.75</v>
      </c>
      <c r="E25" s="95">
        <f>iMap_Rank!R9</f>
        <v>75</v>
      </c>
      <c r="F25" s="516"/>
      <c r="G25" s="516"/>
      <c r="H25" s="516"/>
      <c r="I25" s="516"/>
      <c r="T25" s="528"/>
      <c r="AU25" s="516"/>
      <c r="AV25" s="516"/>
      <c r="AW25" s="516"/>
      <c r="AX25" s="516"/>
      <c r="AY25" s="516"/>
      <c r="AZ25" s="516"/>
      <c r="BA25" s="525"/>
    </row>
    <row r="26" spans="1:62" ht="15.75">
      <c r="A26" s="526"/>
      <c r="D26" s="95">
        <f>iMap_Rank!Q10</f>
        <v>1</v>
      </c>
      <c r="E26" s="95">
        <f>iMap_Rank!R10</f>
        <v>100</v>
      </c>
      <c r="F26" s="516"/>
      <c r="G26" s="516"/>
      <c r="H26" s="516"/>
      <c r="I26" s="516"/>
      <c r="T26" s="528"/>
      <c r="AU26" s="516"/>
      <c r="AV26" s="516"/>
      <c r="AW26" s="516"/>
      <c r="AX26" s="516"/>
      <c r="AY26" s="516"/>
      <c r="AZ26" s="516"/>
      <c r="BA26" s="525"/>
    </row>
    <row r="27" spans="1:62">
      <c r="E27" s="516"/>
      <c r="F27" s="516"/>
      <c r="G27" s="516"/>
      <c r="H27" s="516"/>
      <c r="I27" s="516"/>
      <c r="T27" s="528"/>
      <c r="AU27" s="516"/>
      <c r="AV27" s="516"/>
      <c r="AW27" s="516"/>
      <c r="AX27" s="516"/>
      <c r="AY27" s="516"/>
      <c r="AZ27" s="516"/>
      <c r="BA27" s="525"/>
    </row>
    <row r="28" spans="1:62">
      <c r="E28" s="516"/>
      <c r="F28" s="516"/>
      <c r="G28" s="516"/>
      <c r="H28" s="516"/>
      <c r="I28" s="516"/>
      <c r="T28" s="528"/>
      <c r="AU28" s="516"/>
      <c r="AV28" s="516"/>
      <c r="AW28" s="516"/>
      <c r="AX28" s="516"/>
      <c r="AY28" s="516"/>
      <c r="AZ28" s="516"/>
      <c r="BA28" s="525"/>
    </row>
    <row r="29" spans="1:62">
      <c r="E29" s="516"/>
      <c r="F29" s="516"/>
      <c r="G29" s="516"/>
      <c r="H29" s="516"/>
      <c r="I29" s="516"/>
      <c r="T29" s="528"/>
      <c r="AU29" s="516"/>
      <c r="AV29" s="516"/>
      <c r="AW29" s="516"/>
      <c r="AX29" s="516"/>
      <c r="AY29" s="516"/>
      <c r="AZ29" s="516"/>
      <c r="BA29" s="525"/>
    </row>
    <row r="30" spans="1:62">
      <c r="E30" s="516"/>
      <c r="F30" s="516"/>
      <c r="G30" s="516"/>
      <c r="H30" s="516"/>
      <c r="I30" s="516"/>
      <c r="T30" s="528"/>
      <c r="AU30" s="516"/>
      <c r="AV30" s="516"/>
      <c r="AW30" s="516"/>
      <c r="AX30" s="516"/>
      <c r="AY30" s="516"/>
      <c r="AZ30" s="516"/>
      <c r="BA30" s="525"/>
    </row>
    <row r="31" spans="1:62">
      <c r="E31" s="516"/>
      <c r="F31" s="516"/>
      <c r="G31" s="516"/>
      <c r="H31" s="516"/>
      <c r="I31" s="516"/>
      <c r="T31" s="528"/>
      <c r="AU31" s="516"/>
      <c r="AV31" s="516"/>
      <c r="AW31" s="516"/>
      <c r="AX31" s="516"/>
      <c r="AY31" s="516"/>
      <c r="AZ31" s="516"/>
      <c r="BA31" s="525"/>
    </row>
    <row r="32" spans="1:62">
      <c r="E32" s="516"/>
      <c r="F32" s="516"/>
      <c r="G32" s="516"/>
      <c r="H32" s="516"/>
      <c r="I32" s="516"/>
      <c r="T32" s="528"/>
      <c r="AU32" s="516"/>
      <c r="AV32" s="516"/>
      <c r="AW32" s="516"/>
      <c r="AX32" s="516"/>
      <c r="AY32" s="516"/>
      <c r="AZ32" s="516"/>
      <c r="BA32" s="525"/>
    </row>
    <row r="33" spans="1:53">
      <c r="E33" s="516"/>
      <c r="F33" s="516"/>
      <c r="G33" s="516"/>
      <c r="H33" s="516"/>
      <c r="I33" s="516"/>
      <c r="T33" s="528"/>
      <c r="AU33" s="516"/>
      <c r="AV33" s="516"/>
      <c r="AW33" s="516"/>
      <c r="AX33" s="516"/>
      <c r="AY33" s="516"/>
      <c r="AZ33" s="516"/>
      <c r="BA33" s="525"/>
    </row>
    <row r="34" spans="1:53">
      <c r="E34" s="516"/>
      <c r="F34" s="516"/>
      <c r="G34" s="516"/>
      <c r="H34" s="516"/>
      <c r="I34" s="516"/>
      <c r="T34" s="528"/>
      <c r="AU34" s="516"/>
      <c r="AV34" s="516"/>
      <c r="AW34" s="516"/>
      <c r="AX34" s="516"/>
      <c r="AY34" s="516"/>
      <c r="AZ34" s="516"/>
      <c r="BA34" s="525"/>
    </row>
    <row r="35" spans="1:53">
      <c r="E35" s="516"/>
      <c r="F35" s="516"/>
      <c r="G35" s="516"/>
      <c r="H35" s="516"/>
      <c r="I35" s="516"/>
      <c r="T35" s="528"/>
      <c r="AU35" s="516"/>
      <c r="AV35" s="516"/>
      <c r="AW35" s="516"/>
      <c r="AX35" s="516"/>
      <c r="AY35" s="516"/>
      <c r="AZ35" s="516"/>
      <c r="BA35" s="525"/>
    </row>
    <row r="36" spans="1:53">
      <c r="E36" s="516"/>
      <c r="F36" s="516"/>
      <c r="G36" s="516"/>
      <c r="H36" s="516"/>
      <c r="I36" s="516"/>
      <c r="T36" s="528"/>
      <c r="AU36" s="516"/>
      <c r="AV36" s="516"/>
      <c r="AW36" s="516"/>
      <c r="AX36" s="516"/>
      <c r="AY36" s="516"/>
      <c r="AZ36" s="516"/>
      <c r="BA36" s="525"/>
    </row>
    <row r="37" spans="1:53">
      <c r="E37" s="516"/>
      <c r="F37" s="516"/>
      <c r="G37" s="516"/>
      <c r="H37" s="516"/>
      <c r="I37" s="516"/>
      <c r="T37" s="528"/>
      <c r="AU37" s="516"/>
      <c r="AV37" s="516"/>
      <c r="AW37" s="516"/>
      <c r="AX37" s="516"/>
      <c r="AY37" s="516"/>
      <c r="AZ37" s="516"/>
      <c r="BA37" s="525"/>
    </row>
    <row r="38" spans="1:53">
      <c r="E38" s="516"/>
      <c r="F38" s="516"/>
      <c r="G38" s="516"/>
      <c r="H38" s="516"/>
      <c r="I38" s="516"/>
      <c r="T38" s="528"/>
      <c r="AU38" s="516"/>
      <c r="AV38" s="516"/>
      <c r="AW38" s="516"/>
      <c r="AX38" s="516"/>
      <c r="AY38" s="516"/>
      <c r="AZ38" s="516"/>
      <c r="BA38" s="525"/>
    </row>
    <row r="39" spans="1:53">
      <c r="E39" s="516"/>
      <c r="F39" s="516"/>
      <c r="G39" s="516"/>
      <c r="H39" s="516"/>
      <c r="I39" s="516"/>
      <c r="T39" s="528"/>
      <c r="AU39" s="516"/>
      <c r="AV39" s="516"/>
      <c r="AW39" s="516"/>
      <c r="AX39" s="516"/>
      <c r="AY39" s="516"/>
      <c r="AZ39" s="516"/>
      <c r="BA39" s="525"/>
    </row>
    <row r="40" spans="1:53">
      <c r="E40" s="516"/>
      <c r="F40" s="516"/>
      <c r="G40" s="516"/>
      <c r="H40" s="516"/>
      <c r="I40" s="516"/>
      <c r="T40" s="528"/>
      <c r="AU40" s="516"/>
      <c r="AV40" s="516"/>
      <c r="AW40" s="516"/>
      <c r="AX40" s="516"/>
      <c r="AY40" s="516"/>
      <c r="AZ40" s="516"/>
      <c r="BA40" s="525"/>
    </row>
    <row r="41" spans="1:53">
      <c r="E41" s="516"/>
      <c r="F41" s="516"/>
      <c r="G41" s="516"/>
      <c r="H41" s="516"/>
      <c r="I41" s="516"/>
      <c r="T41" s="528"/>
      <c r="AU41" s="516"/>
      <c r="AV41" s="516"/>
      <c r="AW41" s="516"/>
      <c r="AX41" s="516"/>
      <c r="AY41" s="516"/>
      <c r="AZ41" s="516"/>
      <c r="BA41" s="525"/>
    </row>
    <row r="42" spans="1:53">
      <c r="E42" s="516"/>
      <c r="F42" s="516"/>
      <c r="G42" s="516"/>
      <c r="H42" s="516"/>
      <c r="I42" s="516"/>
      <c r="T42" s="528"/>
      <c r="AU42" s="516"/>
      <c r="AV42" s="516"/>
      <c r="AW42" s="516"/>
      <c r="AX42" s="516"/>
      <c r="AY42" s="516"/>
      <c r="AZ42" s="516"/>
      <c r="BA42" s="525"/>
    </row>
    <row r="43" spans="1:53">
      <c r="E43" s="516"/>
      <c r="F43" s="516"/>
      <c r="G43" s="516"/>
      <c r="H43" s="516"/>
      <c r="I43" s="516"/>
      <c r="T43" s="528"/>
      <c r="AU43" s="516"/>
      <c r="AV43" s="516"/>
      <c r="AW43" s="516"/>
      <c r="AX43" s="516"/>
      <c r="AY43" s="516"/>
      <c r="AZ43" s="516"/>
      <c r="BA43" s="525"/>
    </row>
    <row r="44" spans="1:53">
      <c r="E44" s="516"/>
      <c r="F44" s="516"/>
      <c r="G44" s="516"/>
      <c r="H44" s="516"/>
      <c r="I44" s="516"/>
      <c r="T44" s="528"/>
      <c r="AU44" s="516"/>
      <c r="AV44" s="516"/>
      <c r="AW44" s="516"/>
      <c r="AX44" s="516"/>
      <c r="AY44" s="516"/>
      <c r="AZ44" s="516"/>
      <c r="BA44" s="525"/>
    </row>
    <row r="45" spans="1:53">
      <c r="E45" s="516"/>
      <c r="F45" s="516"/>
      <c r="G45" s="516"/>
      <c r="H45" s="516"/>
      <c r="I45" s="516"/>
      <c r="T45" s="528"/>
      <c r="AU45" s="516"/>
      <c r="AV45" s="516"/>
      <c r="AW45" s="516"/>
      <c r="AX45" s="516"/>
      <c r="AY45" s="516"/>
      <c r="AZ45" s="516"/>
      <c r="BA45" s="525"/>
    </row>
    <row r="46" spans="1:53">
      <c r="E46" s="516"/>
      <c r="F46" s="516"/>
      <c r="G46" s="516"/>
      <c r="H46" s="516"/>
      <c r="I46" s="516"/>
      <c r="T46" s="528"/>
      <c r="AU46" s="516"/>
      <c r="AV46" s="516"/>
      <c r="AW46" s="516"/>
      <c r="AX46" s="516"/>
      <c r="AY46" s="516"/>
      <c r="AZ46" s="516"/>
      <c r="BA46" s="525"/>
    </row>
    <row r="47" spans="1:53">
      <c r="E47" s="516"/>
      <c r="F47" s="516"/>
      <c r="G47" s="516"/>
      <c r="H47" s="516"/>
      <c r="I47" s="516"/>
      <c r="T47" s="528"/>
      <c r="AU47" s="516"/>
      <c r="AV47" s="516"/>
      <c r="AW47" s="516"/>
      <c r="AX47" s="516"/>
      <c r="AY47" s="516"/>
      <c r="AZ47" s="516"/>
      <c r="BA47" s="525"/>
    </row>
    <row r="48" spans="1:53">
      <c r="A48" s="95" t="s">
        <v>2116</v>
      </c>
      <c r="T48" s="528"/>
      <c r="AW48" s="95"/>
    </row>
    <row r="49" spans="1:49">
      <c r="A49" s="95" t="s">
        <v>36</v>
      </c>
      <c r="B49" s="95" t="str">
        <f ca="1">IF($D$2=0,0,TEXT(M4,$B$6))</f>
        <v>100.0</v>
      </c>
      <c r="T49" s="528"/>
      <c r="AW49" s="95"/>
    </row>
    <row r="50" spans="1:49">
      <c r="A50" s="95" t="s">
        <v>35</v>
      </c>
      <c r="B50" s="95" t="str">
        <f ca="1">IF($D$2=0,0,TEXT(M5,$B$6))</f>
        <v>0.0</v>
      </c>
      <c r="T50" s="528"/>
      <c r="AW50" s="95"/>
    </row>
    <row r="51" spans="1:49" ht="12" thickBot="1">
      <c r="A51" s="95" t="s">
        <v>2117</v>
      </c>
      <c r="B51" s="95" t="str">
        <f>iMap_Rank!AN14</f>
        <v>de 76 hasta 100</v>
      </c>
      <c r="T51" s="529"/>
      <c r="AW51" s="95"/>
    </row>
    <row r="52" spans="1:49">
      <c r="A52" s="95" t="s">
        <v>2118</v>
      </c>
      <c r="B52" s="95" t="str">
        <f>iMap_Rank!AQ14</f>
        <v>de 51 hasta 75</v>
      </c>
      <c r="AW52" s="95"/>
    </row>
    <row r="53" spans="1:49">
      <c r="A53" s="95" t="s">
        <v>2119</v>
      </c>
      <c r="B53" s="95" t="str">
        <f>iMap_Rank!AT14</f>
        <v>de 26 hasta 50</v>
      </c>
      <c r="AW53" s="95"/>
    </row>
    <row r="54" spans="1:49">
      <c r="A54" s="95" t="s">
        <v>2120</v>
      </c>
      <c r="B54" s="95" t="str">
        <f>iMap_Rank!AW14</f>
        <v>de 0 hasta 25</v>
      </c>
      <c r="AW54" s="95"/>
    </row>
    <row r="55" spans="1:49">
      <c r="AW55" s="95"/>
    </row>
    <row r="56" spans="1:49">
      <c r="AW56" s="95"/>
    </row>
    <row r="57" spans="1:49">
      <c r="AW57" s="95"/>
    </row>
    <row r="58" spans="1:49">
      <c r="AW58" s="95"/>
    </row>
    <row r="59" spans="1:49">
      <c r="AW59" s="95"/>
    </row>
    <row r="60" spans="1:49">
      <c r="AW60" s="95"/>
    </row>
    <row r="61" spans="1:49">
      <c r="AW61" s="95"/>
    </row>
    <row r="62" spans="1:49">
      <c r="AW62" s="95"/>
    </row>
    <row r="63" spans="1:49">
      <c r="AW63" s="95"/>
    </row>
  </sheetData>
  <pageMargins left="0.55118110236220474" right="0.55118110236220474" top="0.59055118110236227" bottom="0.78740157480314965" header="0.51181102362204722" footer="0.51181102362204722"/>
  <pageSetup paperSize="9" scale="33" orientation="landscape" r:id="rId1"/>
  <headerFooter alignWithMargins="0">
    <oddHeader>&amp;RResultados del Modelo de Reciclaje Inclusivo</oddHeader>
  </headerFooter>
</worksheet>
</file>

<file path=xl/worksheets/sheet11.xml><?xml version="1.0" encoding="utf-8"?>
<worksheet xmlns="http://schemas.openxmlformats.org/spreadsheetml/2006/main" xmlns:r="http://schemas.openxmlformats.org/officeDocument/2006/relationships">
  <sheetPr codeName="Sheet142">
    <tabColor rgb="FFFFC000"/>
    <pageSetUpPr fitToPage="1"/>
  </sheetPr>
  <dimension ref="A1:AX51"/>
  <sheetViews>
    <sheetView showRowColHeaders="0" topLeftCell="AL2" zoomScale="80" zoomScaleNormal="80" workbookViewId="0">
      <selection activeCell="AT15" sqref="AT15"/>
    </sheetView>
  </sheetViews>
  <sheetFormatPr defaultRowHeight="11.25"/>
  <cols>
    <col min="1" max="3" width="9.140625" style="176"/>
    <col min="4" max="4" width="9.140625" style="176" customWidth="1"/>
    <col min="5" max="9" width="9.140625" style="176"/>
    <col min="10" max="10" width="14.7109375" style="176" customWidth="1"/>
    <col min="11" max="11" width="15" style="176" customWidth="1"/>
    <col min="12" max="12" width="15.85546875" style="176" customWidth="1"/>
    <col min="13" max="13" width="5.5703125" style="176" bestFit="1" customWidth="1"/>
    <col min="14" max="14" width="21.7109375" style="176" customWidth="1"/>
    <col min="15" max="15" width="9.28515625" style="177" bestFit="1" customWidth="1"/>
    <col min="16" max="22" width="9.28515625" style="176" bestFit="1" customWidth="1"/>
    <col min="23" max="23" width="8.5703125" style="176" customWidth="1"/>
    <col min="24" max="30" width="3.42578125" style="176" customWidth="1"/>
    <col min="31" max="38" width="14.28515625" style="176" customWidth="1"/>
    <col min="39" max="39" width="9.28515625" style="176" bestFit="1" customWidth="1"/>
    <col min="40" max="41" width="9.140625" style="176"/>
    <col min="42" max="42" width="1.85546875" style="176" customWidth="1"/>
    <col min="43" max="44" width="9.140625" style="176"/>
    <col min="45" max="45" width="1.85546875" style="176" customWidth="1"/>
    <col min="46" max="47" width="9.140625" style="176"/>
    <col min="48" max="48" width="1.85546875" style="176" customWidth="1"/>
    <col min="49" max="261" width="9.140625" style="176"/>
    <col min="262" max="262" width="14.7109375" style="176" customWidth="1"/>
    <col min="263" max="263" width="15" style="176" customWidth="1"/>
    <col min="264" max="264" width="15.85546875" style="176" customWidth="1"/>
    <col min="265" max="265" width="4.42578125" style="176" bestFit="1" customWidth="1"/>
    <col min="266" max="266" width="21.7109375" style="176" customWidth="1"/>
    <col min="267" max="517" width="9.140625" style="176"/>
    <col min="518" max="518" width="14.7109375" style="176" customWidth="1"/>
    <col min="519" max="519" width="15" style="176" customWidth="1"/>
    <col min="520" max="520" width="15.85546875" style="176" customWidth="1"/>
    <col min="521" max="521" width="4.42578125" style="176" bestFit="1" customWidth="1"/>
    <col min="522" max="522" width="21.7109375" style="176" customWidth="1"/>
    <col min="523" max="773" width="9.140625" style="176"/>
    <col min="774" max="774" width="14.7109375" style="176" customWidth="1"/>
    <col min="775" max="775" width="15" style="176" customWidth="1"/>
    <col min="776" max="776" width="15.85546875" style="176" customWidth="1"/>
    <col min="777" max="777" width="4.42578125" style="176" bestFit="1" customWidth="1"/>
    <col min="778" max="778" width="21.7109375" style="176" customWidth="1"/>
    <col min="779" max="1029" width="9.140625" style="176"/>
    <col min="1030" max="1030" width="14.7109375" style="176" customWidth="1"/>
    <col min="1031" max="1031" width="15" style="176" customWidth="1"/>
    <col min="1032" max="1032" width="15.85546875" style="176" customWidth="1"/>
    <col min="1033" max="1033" width="4.42578125" style="176" bestFit="1" customWidth="1"/>
    <col min="1034" max="1034" width="21.7109375" style="176" customWidth="1"/>
    <col min="1035" max="1285" width="9.140625" style="176"/>
    <col min="1286" max="1286" width="14.7109375" style="176" customWidth="1"/>
    <col min="1287" max="1287" width="15" style="176" customWidth="1"/>
    <col min="1288" max="1288" width="15.85546875" style="176" customWidth="1"/>
    <col min="1289" max="1289" width="4.42578125" style="176" bestFit="1" customWidth="1"/>
    <col min="1290" max="1290" width="21.7109375" style="176" customWidth="1"/>
    <col min="1291" max="1541" width="9.140625" style="176"/>
    <col min="1542" max="1542" width="14.7109375" style="176" customWidth="1"/>
    <col min="1543" max="1543" width="15" style="176" customWidth="1"/>
    <col min="1544" max="1544" width="15.85546875" style="176" customWidth="1"/>
    <col min="1545" max="1545" width="4.42578125" style="176" bestFit="1" customWidth="1"/>
    <col min="1546" max="1546" width="21.7109375" style="176" customWidth="1"/>
    <col min="1547" max="1797" width="9.140625" style="176"/>
    <col min="1798" max="1798" width="14.7109375" style="176" customWidth="1"/>
    <col min="1799" max="1799" width="15" style="176" customWidth="1"/>
    <col min="1800" max="1800" width="15.85546875" style="176" customWidth="1"/>
    <col min="1801" max="1801" width="4.42578125" style="176" bestFit="1" customWidth="1"/>
    <col min="1802" max="1802" width="21.7109375" style="176" customWidth="1"/>
    <col min="1803" max="2053" width="9.140625" style="176"/>
    <col min="2054" max="2054" width="14.7109375" style="176" customWidth="1"/>
    <col min="2055" max="2055" width="15" style="176" customWidth="1"/>
    <col min="2056" max="2056" width="15.85546875" style="176" customWidth="1"/>
    <col min="2057" max="2057" width="4.42578125" style="176" bestFit="1" customWidth="1"/>
    <col min="2058" max="2058" width="21.7109375" style="176" customWidth="1"/>
    <col min="2059" max="2309" width="9.140625" style="176"/>
    <col min="2310" max="2310" width="14.7109375" style="176" customWidth="1"/>
    <col min="2311" max="2311" width="15" style="176" customWidth="1"/>
    <col min="2312" max="2312" width="15.85546875" style="176" customWidth="1"/>
    <col min="2313" max="2313" width="4.42578125" style="176" bestFit="1" customWidth="1"/>
    <col min="2314" max="2314" width="21.7109375" style="176" customWidth="1"/>
    <col min="2315" max="2565" width="9.140625" style="176"/>
    <col min="2566" max="2566" width="14.7109375" style="176" customWidth="1"/>
    <col min="2567" max="2567" width="15" style="176" customWidth="1"/>
    <col min="2568" max="2568" width="15.85546875" style="176" customWidth="1"/>
    <col min="2569" max="2569" width="4.42578125" style="176" bestFit="1" customWidth="1"/>
    <col min="2570" max="2570" width="21.7109375" style="176" customWidth="1"/>
    <col min="2571" max="2821" width="9.140625" style="176"/>
    <col min="2822" max="2822" width="14.7109375" style="176" customWidth="1"/>
    <col min="2823" max="2823" width="15" style="176" customWidth="1"/>
    <col min="2824" max="2824" width="15.85546875" style="176" customWidth="1"/>
    <col min="2825" max="2825" width="4.42578125" style="176" bestFit="1" customWidth="1"/>
    <col min="2826" max="2826" width="21.7109375" style="176" customWidth="1"/>
    <col min="2827" max="3077" width="9.140625" style="176"/>
    <col min="3078" max="3078" width="14.7109375" style="176" customWidth="1"/>
    <col min="3079" max="3079" width="15" style="176" customWidth="1"/>
    <col min="3080" max="3080" width="15.85546875" style="176" customWidth="1"/>
    <col min="3081" max="3081" width="4.42578125" style="176" bestFit="1" customWidth="1"/>
    <col min="3082" max="3082" width="21.7109375" style="176" customWidth="1"/>
    <col min="3083" max="3333" width="9.140625" style="176"/>
    <col min="3334" max="3334" width="14.7109375" style="176" customWidth="1"/>
    <col min="3335" max="3335" width="15" style="176" customWidth="1"/>
    <col min="3336" max="3336" width="15.85546875" style="176" customWidth="1"/>
    <col min="3337" max="3337" width="4.42578125" style="176" bestFit="1" customWidth="1"/>
    <col min="3338" max="3338" width="21.7109375" style="176" customWidth="1"/>
    <col min="3339" max="3589" width="9.140625" style="176"/>
    <col min="3590" max="3590" width="14.7109375" style="176" customWidth="1"/>
    <col min="3591" max="3591" width="15" style="176" customWidth="1"/>
    <col min="3592" max="3592" width="15.85546875" style="176" customWidth="1"/>
    <col min="3593" max="3593" width="4.42578125" style="176" bestFit="1" customWidth="1"/>
    <col min="3594" max="3594" width="21.7109375" style="176" customWidth="1"/>
    <col min="3595" max="3845" width="9.140625" style="176"/>
    <col min="3846" max="3846" width="14.7109375" style="176" customWidth="1"/>
    <col min="3847" max="3847" width="15" style="176" customWidth="1"/>
    <col min="3848" max="3848" width="15.85546875" style="176" customWidth="1"/>
    <col min="3849" max="3849" width="4.42578125" style="176" bestFit="1" customWidth="1"/>
    <col min="3850" max="3850" width="21.7109375" style="176" customWidth="1"/>
    <col min="3851" max="4101" width="9.140625" style="176"/>
    <col min="4102" max="4102" width="14.7109375" style="176" customWidth="1"/>
    <col min="4103" max="4103" width="15" style="176" customWidth="1"/>
    <col min="4104" max="4104" width="15.85546875" style="176" customWidth="1"/>
    <col min="4105" max="4105" width="4.42578125" style="176" bestFit="1" customWidth="1"/>
    <col min="4106" max="4106" width="21.7109375" style="176" customWidth="1"/>
    <col min="4107" max="4357" width="9.140625" style="176"/>
    <col min="4358" max="4358" width="14.7109375" style="176" customWidth="1"/>
    <col min="4359" max="4359" width="15" style="176" customWidth="1"/>
    <col min="4360" max="4360" width="15.85546875" style="176" customWidth="1"/>
    <col min="4361" max="4361" width="4.42578125" style="176" bestFit="1" customWidth="1"/>
    <col min="4362" max="4362" width="21.7109375" style="176" customWidth="1"/>
    <col min="4363" max="4613" width="9.140625" style="176"/>
    <col min="4614" max="4614" width="14.7109375" style="176" customWidth="1"/>
    <col min="4615" max="4615" width="15" style="176" customWidth="1"/>
    <col min="4616" max="4616" width="15.85546875" style="176" customWidth="1"/>
    <col min="4617" max="4617" width="4.42578125" style="176" bestFit="1" customWidth="1"/>
    <col min="4618" max="4618" width="21.7109375" style="176" customWidth="1"/>
    <col min="4619" max="4869" width="9.140625" style="176"/>
    <col min="4870" max="4870" width="14.7109375" style="176" customWidth="1"/>
    <col min="4871" max="4871" width="15" style="176" customWidth="1"/>
    <col min="4872" max="4872" width="15.85546875" style="176" customWidth="1"/>
    <col min="4873" max="4873" width="4.42578125" style="176" bestFit="1" customWidth="1"/>
    <col min="4874" max="4874" width="21.7109375" style="176" customWidth="1"/>
    <col min="4875" max="5125" width="9.140625" style="176"/>
    <col min="5126" max="5126" width="14.7109375" style="176" customWidth="1"/>
    <col min="5127" max="5127" width="15" style="176" customWidth="1"/>
    <col min="5128" max="5128" width="15.85546875" style="176" customWidth="1"/>
    <col min="5129" max="5129" width="4.42578125" style="176" bestFit="1" customWidth="1"/>
    <col min="5130" max="5130" width="21.7109375" style="176" customWidth="1"/>
    <col min="5131" max="5381" width="9.140625" style="176"/>
    <col min="5382" max="5382" width="14.7109375" style="176" customWidth="1"/>
    <col min="5383" max="5383" width="15" style="176" customWidth="1"/>
    <col min="5384" max="5384" width="15.85546875" style="176" customWidth="1"/>
    <col min="5385" max="5385" width="4.42578125" style="176" bestFit="1" customWidth="1"/>
    <col min="5386" max="5386" width="21.7109375" style="176" customWidth="1"/>
    <col min="5387" max="5637" width="9.140625" style="176"/>
    <col min="5638" max="5638" width="14.7109375" style="176" customWidth="1"/>
    <col min="5639" max="5639" width="15" style="176" customWidth="1"/>
    <col min="5640" max="5640" width="15.85546875" style="176" customWidth="1"/>
    <col min="5641" max="5641" width="4.42578125" style="176" bestFit="1" customWidth="1"/>
    <col min="5642" max="5642" width="21.7109375" style="176" customWidth="1"/>
    <col min="5643" max="5893" width="9.140625" style="176"/>
    <col min="5894" max="5894" width="14.7109375" style="176" customWidth="1"/>
    <col min="5895" max="5895" width="15" style="176" customWidth="1"/>
    <col min="5896" max="5896" width="15.85546875" style="176" customWidth="1"/>
    <col min="5897" max="5897" width="4.42578125" style="176" bestFit="1" customWidth="1"/>
    <col min="5898" max="5898" width="21.7109375" style="176" customWidth="1"/>
    <col min="5899" max="6149" width="9.140625" style="176"/>
    <col min="6150" max="6150" width="14.7109375" style="176" customWidth="1"/>
    <col min="6151" max="6151" width="15" style="176" customWidth="1"/>
    <col min="6152" max="6152" width="15.85546875" style="176" customWidth="1"/>
    <col min="6153" max="6153" width="4.42578125" style="176" bestFit="1" customWidth="1"/>
    <col min="6154" max="6154" width="21.7109375" style="176" customWidth="1"/>
    <col min="6155" max="6405" width="9.140625" style="176"/>
    <col min="6406" max="6406" width="14.7109375" style="176" customWidth="1"/>
    <col min="6407" max="6407" width="15" style="176" customWidth="1"/>
    <col min="6408" max="6408" width="15.85546875" style="176" customWidth="1"/>
    <col min="6409" max="6409" width="4.42578125" style="176" bestFit="1" customWidth="1"/>
    <col min="6410" max="6410" width="21.7109375" style="176" customWidth="1"/>
    <col min="6411" max="6661" width="9.140625" style="176"/>
    <col min="6662" max="6662" width="14.7109375" style="176" customWidth="1"/>
    <col min="6663" max="6663" width="15" style="176" customWidth="1"/>
    <col min="6664" max="6664" width="15.85546875" style="176" customWidth="1"/>
    <col min="6665" max="6665" width="4.42578125" style="176" bestFit="1" customWidth="1"/>
    <col min="6666" max="6666" width="21.7109375" style="176" customWidth="1"/>
    <col min="6667" max="6917" width="9.140625" style="176"/>
    <col min="6918" max="6918" width="14.7109375" style="176" customWidth="1"/>
    <col min="6919" max="6919" width="15" style="176" customWidth="1"/>
    <col min="6920" max="6920" width="15.85546875" style="176" customWidth="1"/>
    <col min="6921" max="6921" width="4.42578125" style="176" bestFit="1" customWidth="1"/>
    <col min="6922" max="6922" width="21.7109375" style="176" customWidth="1"/>
    <col min="6923" max="7173" width="9.140625" style="176"/>
    <col min="7174" max="7174" width="14.7109375" style="176" customWidth="1"/>
    <col min="7175" max="7175" width="15" style="176" customWidth="1"/>
    <col min="7176" max="7176" width="15.85546875" style="176" customWidth="1"/>
    <col min="7177" max="7177" width="4.42578125" style="176" bestFit="1" customWidth="1"/>
    <col min="7178" max="7178" width="21.7109375" style="176" customWidth="1"/>
    <col min="7179" max="7429" width="9.140625" style="176"/>
    <col min="7430" max="7430" width="14.7109375" style="176" customWidth="1"/>
    <col min="7431" max="7431" width="15" style="176" customWidth="1"/>
    <col min="7432" max="7432" width="15.85546875" style="176" customWidth="1"/>
    <col min="7433" max="7433" width="4.42578125" style="176" bestFit="1" customWidth="1"/>
    <col min="7434" max="7434" width="21.7109375" style="176" customWidth="1"/>
    <col min="7435" max="7685" width="9.140625" style="176"/>
    <col min="7686" max="7686" width="14.7109375" style="176" customWidth="1"/>
    <col min="7687" max="7687" width="15" style="176" customWidth="1"/>
    <col min="7688" max="7688" width="15.85546875" style="176" customWidth="1"/>
    <col min="7689" max="7689" width="4.42578125" style="176" bestFit="1" customWidth="1"/>
    <col min="7690" max="7690" width="21.7109375" style="176" customWidth="1"/>
    <col min="7691" max="7941" width="9.140625" style="176"/>
    <col min="7942" max="7942" width="14.7109375" style="176" customWidth="1"/>
    <col min="7943" max="7943" width="15" style="176" customWidth="1"/>
    <col min="7944" max="7944" width="15.85546875" style="176" customWidth="1"/>
    <col min="7945" max="7945" width="4.42578125" style="176" bestFit="1" customWidth="1"/>
    <col min="7946" max="7946" width="21.7109375" style="176" customWidth="1"/>
    <col min="7947" max="8197" width="9.140625" style="176"/>
    <col min="8198" max="8198" width="14.7109375" style="176" customWidth="1"/>
    <col min="8199" max="8199" width="15" style="176" customWidth="1"/>
    <col min="8200" max="8200" width="15.85546875" style="176" customWidth="1"/>
    <col min="8201" max="8201" width="4.42578125" style="176" bestFit="1" customWidth="1"/>
    <col min="8202" max="8202" width="21.7109375" style="176" customWidth="1"/>
    <col min="8203" max="8453" width="9.140625" style="176"/>
    <col min="8454" max="8454" width="14.7109375" style="176" customWidth="1"/>
    <col min="8455" max="8455" width="15" style="176" customWidth="1"/>
    <col min="8456" max="8456" width="15.85546875" style="176" customWidth="1"/>
    <col min="8457" max="8457" width="4.42578125" style="176" bestFit="1" customWidth="1"/>
    <col min="8458" max="8458" width="21.7109375" style="176" customWidth="1"/>
    <col min="8459" max="8709" width="9.140625" style="176"/>
    <col min="8710" max="8710" width="14.7109375" style="176" customWidth="1"/>
    <col min="8711" max="8711" width="15" style="176" customWidth="1"/>
    <col min="8712" max="8712" width="15.85546875" style="176" customWidth="1"/>
    <col min="8713" max="8713" width="4.42578125" style="176" bestFit="1" customWidth="1"/>
    <col min="8714" max="8714" width="21.7109375" style="176" customWidth="1"/>
    <col min="8715" max="8965" width="9.140625" style="176"/>
    <col min="8966" max="8966" width="14.7109375" style="176" customWidth="1"/>
    <col min="8967" max="8967" width="15" style="176" customWidth="1"/>
    <col min="8968" max="8968" width="15.85546875" style="176" customWidth="1"/>
    <col min="8969" max="8969" width="4.42578125" style="176" bestFit="1" customWidth="1"/>
    <col min="8970" max="8970" width="21.7109375" style="176" customWidth="1"/>
    <col min="8971" max="9221" width="9.140625" style="176"/>
    <col min="9222" max="9222" width="14.7109375" style="176" customWidth="1"/>
    <col min="9223" max="9223" width="15" style="176" customWidth="1"/>
    <col min="9224" max="9224" width="15.85546875" style="176" customWidth="1"/>
    <col min="9225" max="9225" width="4.42578125" style="176" bestFit="1" customWidth="1"/>
    <col min="9226" max="9226" width="21.7109375" style="176" customWidth="1"/>
    <col min="9227" max="9477" width="9.140625" style="176"/>
    <col min="9478" max="9478" width="14.7109375" style="176" customWidth="1"/>
    <col min="9479" max="9479" width="15" style="176" customWidth="1"/>
    <col min="9480" max="9480" width="15.85546875" style="176" customWidth="1"/>
    <col min="9481" max="9481" width="4.42578125" style="176" bestFit="1" customWidth="1"/>
    <col min="9482" max="9482" width="21.7109375" style="176" customWidth="1"/>
    <col min="9483" max="9733" width="9.140625" style="176"/>
    <col min="9734" max="9734" width="14.7109375" style="176" customWidth="1"/>
    <col min="9735" max="9735" width="15" style="176" customWidth="1"/>
    <col min="9736" max="9736" width="15.85546875" style="176" customWidth="1"/>
    <col min="9737" max="9737" width="4.42578125" style="176" bestFit="1" customWidth="1"/>
    <col min="9738" max="9738" width="21.7109375" style="176" customWidth="1"/>
    <col min="9739" max="9989" width="9.140625" style="176"/>
    <col min="9990" max="9990" width="14.7109375" style="176" customWidth="1"/>
    <col min="9991" max="9991" width="15" style="176" customWidth="1"/>
    <col min="9992" max="9992" width="15.85546875" style="176" customWidth="1"/>
    <col min="9993" max="9993" width="4.42578125" style="176" bestFit="1" customWidth="1"/>
    <col min="9994" max="9994" width="21.7109375" style="176" customWidth="1"/>
    <col min="9995" max="10245" width="9.140625" style="176"/>
    <col min="10246" max="10246" width="14.7109375" style="176" customWidth="1"/>
    <col min="10247" max="10247" width="15" style="176" customWidth="1"/>
    <col min="10248" max="10248" width="15.85546875" style="176" customWidth="1"/>
    <col min="10249" max="10249" width="4.42578125" style="176" bestFit="1" customWidth="1"/>
    <col min="10250" max="10250" width="21.7109375" style="176" customWidth="1"/>
    <col min="10251" max="10501" width="9.140625" style="176"/>
    <col min="10502" max="10502" width="14.7109375" style="176" customWidth="1"/>
    <col min="10503" max="10503" width="15" style="176" customWidth="1"/>
    <col min="10504" max="10504" width="15.85546875" style="176" customWidth="1"/>
    <col min="10505" max="10505" width="4.42578125" style="176" bestFit="1" customWidth="1"/>
    <col min="10506" max="10506" width="21.7109375" style="176" customWidth="1"/>
    <col min="10507" max="10757" width="9.140625" style="176"/>
    <col min="10758" max="10758" width="14.7109375" style="176" customWidth="1"/>
    <col min="10759" max="10759" width="15" style="176" customWidth="1"/>
    <col min="10760" max="10760" width="15.85546875" style="176" customWidth="1"/>
    <col min="10761" max="10761" width="4.42578125" style="176" bestFit="1" customWidth="1"/>
    <col min="10762" max="10762" width="21.7109375" style="176" customWidth="1"/>
    <col min="10763" max="11013" width="9.140625" style="176"/>
    <col min="11014" max="11014" width="14.7109375" style="176" customWidth="1"/>
    <col min="11015" max="11015" width="15" style="176" customWidth="1"/>
    <col min="11016" max="11016" width="15.85546875" style="176" customWidth="1"/>
    <col min="11017" max="11017" width="4.42578125" style="176" bestFit="1" customWidth="1"/>
    <col min="11018" max="11018" width="21.7109375" style="176" customWidth="1"/>
    <col min="11019" max="11269" width="9.140625" style="176"/>
    <col min="11270" max="11270" width="14.7109375" style="176" customWidth="1"/>
    <col min="11271" max="11271" width="15" style="176" customWidth="1"/>
    <col min="11272" max="11272" width="15.85546875" style="176" customWidth="1"/>
    <col min="11273" max="11273" width="4.42578125" style="176" bestFit="1" customWidth="1"/>
    <col min="11274" max="11274" width="21.7109375" style="176" customWidth="1"/>
    <col min="11275" max="11525" width="9.140625" style="176"/>
    <col min="11526" max="11526" width="14.7109375" style="176" customWidth="1"/>
    <col min="11527" max="11527" width="15" style="176" customWidth="1"/>
    <col min="11528" max="11528" width="15.85546875" style="176" customWidth="1"/>
    <col min="11529" max="11529" width="4.42578125" style="176" bestFit="1" customWidth="1"/>
    <col min="11530" max="11530" width="21.7109375" style="176" customWidth="1"/>
    <col min="11531" max="11781" width="9.140625" style="176"/>
    <col min="11782" max="11782" width="14.7109375" style="176" customWidth="1"/>
    <col min="11783" max="11783" width="15" style="176" customWidth="1"/>
    <col min="11784" max="11784" width="15.85546875" style="176" customWidth="1"/>
    <col min="11785" max="11785" width="4.42578125" style="176" bestFit="1" customWidth="1"/>
    <col min="11786" max="11786" width="21.7109375" style="176" customWidth="1"/>
    <col min="11787" max="12037" width="9.140625" style="176"/>
    <col min="12038" max="12038" width="14.7109375" style="176" customWidth="1"/>
    <col min="12039" max="12039" width="15" style="176" customWidth="1"/>
    <col min="12040" max="12040" width="15.85546875" style="176" customWidth="1"/>
    <col min="12041" max="12041" width="4.42578125" style="176" bestFit="1" customWidth="1"/>
    <col min="12042" max="12042" width="21.7109375" style="176" customWidth="1"/>
    <col min="12043" max="12293" width="9.140625" style="176"/>
    <col min="12294" max="12294" width="14.7109375" style="176" customWidth="1"/>
    <col min="12295" max="12295" width="15" style="176" customWidth="1"/>
    <col min="12296" max="12296" width="15.85546875" style="176" customWidth="1"/>
    <col min="12297" max="12297" width="4.42578125" style="176" bestFit="1" customWidth="1"/>
    <col min="12298" max="12298" width="21.7109375" style="176" customWidth="1"/>
    <col min="12299" max="12549" width="9.140625" style="176"/>
    <col min="12550" max="12550" width="14.7109375" style="176" customWidth="1"/>
    <col min="12551" max="12551" width="15" style="176" customWidth="1"/>
    <col min="12552" max="12552" width="15.85546875" style="176" customWidth="1"/>
    <col min="12553" max="12553" width="4.42578125" style="176" bestFit="1" customWidth="1"/>
    <col min="12554" max="12554" width="21.7109375" style="176" customWidth="1"/>
    <col min="12555" max="12805" width="9.140625" style="176"/>
    <col min="12806" max="12806" width="14.7109375" style="176" customWidth="1"/>
    <col min="12807" max="12807" width="15" style="176" customWidth="1"/>
    <col min="12808" max="12808" width="15.85546875" style="176" customWidth="1"/>
    <col min="12809" max="12809" width="4.42578125" style="176" bestFit="1" customWidth="1"/>
    <col min="12810" max="12810" width="21.7109375" style="176" customWidth="1"/>
    <col min="12811" max="13061" width="9.140625" style="176"/>
    <col min="13062" max="13062" width="14.7109375" style="176" customWidth="1"/>
    <col min="13063" max="13063" width="15" style="176" customWidth="1"/>
    <col min="13064" max="13064" width="15.85546875" style="176" customWidth="1"/>
    <col min="13065" max="13065" width="4.42578125" style="176" bestFit="1" customWidth="1"/>
    <col min="13066" max="13066" width="21.7109375" style="176" customWidth="1"/>
    <col min="13067" max="13317" width="9.140625" style="176"/>
    <col min="13318" max="13318" width="14.7109375" style="176" customWidth="1"/>
    <col min="13319" max="13319" width="15" style="176" customWidth="1"/>
    <col min="13320" max="13320" width="15.85546875" style="176" customWidth="1"/>
    <col min="13321" max="13321" width="4.42578125" style="176" bestFit="1" customWidth="1"/>
    <col min="13322" max="13322" width="21.7109375" style="176" customWidth="1"/>
    <col min="13323" max="13573" width="9.140625" style="176"/>
    <col min="13574" max="13574" width="14.7109375" style="176" customWidth="1"/>
    <col min="13575" max="13575" width="15" style="176" customWidth="1"/>
    <col min="13576" max="13576" width="15.85546875" style="176" customWidth="1"/>
    <col min="13577" max="13577" width="4.42578125" style="176" bestFit="1" customWidth="1"/>
    <col min="13578" max="13578" width="21.7109375" style="176" customWidth="1"/>
    <col min="13579" max="13829" width="9.140625" style="176"/>
    <col min="13830" max="13830" width="14.7109375" style="176" customWidth="1"/>
    <col min="13831" max="13831" width="15" style="176" customWidth="1"/>
    <col min="13832" max="13832" width="15.85546875" style="176" customWidth="1"/>
    <col min="13833" max="13833" width="4.42578125" style="176" bestFit="1" customWidth="1"/>
    <col min="13834" max="13834" width="21.7109375" style="176" customWidth="1"/>
    <col min="13835" max="14085" width="9.140625" style="176"/>
    <col min="14086" max="14086" width="14.7109375" style="176" customWidth="1"/>
    <col min="14087" max="14087" width="15" style="176" customWidth="1"/>
    <col min="14088" max="14088" width="15.85546875" style="176" customWidth="1"/>
    <col min="14089" max="14089" width="4.42578125" style="176" bestFit="1" customWidth="1"/>
    <col min="14090" max="14090" width="21.7109375" style="176" customWidth="1"/>
    <col min="14091" max="14341" width="9.140625" style="176"/>
    <col min="14342" max="14342" width="14.7109375" style="176" customWidth="1"/>
    <col min="14343" max="14343" width="15" style="176" customWidth="1"/>
    <col min="14344" max="14344" width="15.85546875" style="176" customWidth="1"/>
    <col min="14345" max="14345" width="4.42578125" style="176" bestFit="1" customWidth="1"/>
    <col min="14346" max="14346" width="21.7109375" style="176" customWidth="1"/>
    <col min="14347" max="14597" width="9.140625" style="176"/>
    <col min="14598" max="14598" width="14.7109375" style="176" customWidth="1"/>
    <col min="14599" max="14599" width="15" style="176" customWidth="1"/>
    <col min="14600" max="14600" width="15.85546875" style="176" customWidth="1"/>
    <col min="14601" max="14601" width="4.42578125" style="176" bestFit="1" customWidth="1"/>
    <col min="14602" max="14602" width="21.7109375" style="176" customWidth="1"/>
    <col min="14603" max="14853" width="9.140625" style="176"/>
    <col min="14854" max="14854" width="14.7109375" style="176" customWidth="1"/>
    <col min="14855" max="14855" width="15" style="176" customWidth="1"/>
    <col min="14856" max="14856" width="15.85546875" style="176" customWidth="1"/>
    <col min="14857" max="14857" width="4.42578125" style="176" bestFit="1" customWidth="1"/>
    <col min="14858" max="14858" width="21.7109375" style="176" customWidth="1"/>
    <col min="14859" max="15109" width="9.140625" style="176"/>
    <col min="15110" max="15110" width="14.7109375" style="176" customWidth="1"/>
    <col min="15111" max="15111" width="15" style="176" customWidth="1"/>
    <col min="15112" max="15112" width="15.85546875" style="176" customWidth="1"/>
    <col min="15113" max="15113" width="4.42578125" style="176" bestFit="1" customWidth="1"/>
    <col min="15114" max="15114" width="21.7109375" style="176" customWidth="1"/>
    <col min="15115" max="15365" width="9.140625" style="176"/>
    <col min="15366" max="15366" width="14.7109375" style="176" customWidth="1"/>
    <col min="15367" max="15367" width="15" style="176" customWidth="1"/>
    <col min="15368" max="15368" width="15.85546875" style="176" customWidth="1"/>
    <col min="15369" max="15369" width="4.42578125" style="176" bestFit="1" customWidth="1"/>
    <col min="15370" max="15370" width="21.7109375" style="176" customWidth="1"/>
    <col min="15371" max="15621" width="9.140625" style="176"/>
    <col min="15622" max="15622" width="14.7109375" style="176" customWidth="1"/>
    <col min="15623" max="15623" width="15" style="176" customWidth="1"/>
    <col min="15624" max="15624" width="15.85546875" style="176" customWidth="1"/>
    <col min="15625" max="15625" width="4.42578125" style="176" bestFit="1" customWidth="1"/>
    <col min="15626" max="15626" width="21.7109375" style="176" customWidth="1"/>
    <col min="15627" max="15877" width="9.140625" style="176"/>
    <col min="15878" max="15878" width="14.7109375" style="176" customWidth="1"/>
    <col min="15879" max="15879" width="15" style="176" customWidth="1"/>
    <col min="15880" max="15880" width="15.85546875" style="176" customWidth="1"/>
    <col min="15881" max="15881" width="4.42578125" style="176" bestFit="1" customWidth="1"/>
    <col min="15882" max="15882" width="21.7109375" style="176" customWidth="1"/>
    <col min="15883" max="16133" width="9.140625" style="176"/>
    <col min="16134" max="16134" width="14.7109375" style="176" customWidth="1"/>
    <col min="16135" max="16135" width="15" style="176" customWidth="1"/>
    <col min="16136" max="16136" width="15.85546875" style="176" customWidth="1"/>
    <col min="16137" max="16137" width="4.42578125" style="176" bestFit="1" customWidth="1"/>
    <col min="16138" max="16138" width="21.7109375" style="176" customWidth="1"/>
    <col min="16139" max="16384" width="9.140625" style="176"/>
  </cols>
  <sheetData>
    <row r="1" spans="1:49">
      <c r="B1" s="176">
        <f>uxb_works!B18</f>
        <v>0</v>
      </c>
      <c r="C1" s="176" t="str">
        <f>uxb_works!C18</f>
        <v>IS_BG</v>
      </c>
      <c r="D1" s="176" t="str">
        <f>uxb_works!D18</f>
        <v>Question_Number</v>
      </c>
      <c r="E1" s="176" t="str">
        <f>uxb_works!E18</f>
        <v>INDI_CODE</v>
      </c>
      <c r="F1" s="176" t="str">
        <f>uxb_works!F18</f>
        <v>PARENT_CODE</v>
      </c>
      <c r="G1" s="176" t="str">
        <f>uxb_works!G18</f>
        <v>DEPTH</v>
      </c>
      <c r="H1" s="176">
        <f>uxb_works!H18</f>
        <v>0</v>
      </c>
      <c r="I1" s="176" t="str">
        <f>uxb_works!I18</f>
        <v>NDICATOR_SHORT</v>
      </c>
      <c r="J1" s="176" t="str">
        <f>uxb_works!J18</f>
        <v>Question</v>
      </c>
      <c r="K1" s="176" t="str">
        <f>uxb_works!K18</f>
        <v>INDICATOR_UNIT_1</v>
      </c>
      <c r="L1" s="176" t="str">
        <f>uxb_works!L18</f>
        <v>Unit-Short</v>
      </c>
      <c r="M1" s="176" t="str">
        <f>uxb_works!M18</f>
        <v>SOURCE</v>
      </c>
      <c r="N1" s="176" t="str">
        <f>uxb_works!N18</f>
        <v>YEAR</v>
      </c>
      <c r="O1" s="177" t="str">
        <f>uxb_works!O18</f>
        <v>Justifications</v>
      </c>
      <c r="P1" s="176" t="str">
        <f>uxb_works!P18</f>
        <v>HIGH=Good</v>
      </c>
      <c r="Q1" s="176" t="str">
        <f>uxb_works!Q18</f>
        <v>Format</v>
      </c>
      <c r="R1" s="176">
        <f>uxb_works!R18</f>
        <v>0</v>
      </c>
      <c r="S1" s="176">
        <f>uxb_works!S18</f>
        <v>0</v>
      </c>
      <c r="T1" s="176" t="str">
        <f>uxb_works!T18</f>
        <v>HIGH_IS</v>
      </c>
      <c r="U1" s="176" t="str">
        <f>uxb_works!U18</f>
        <v>NORM_ID (1=sumproduct, 3=min max set by data values, 3=min max set by user here)</v>
      </c>
    </row>
    <row r="2" spans="1:49">
      <c r="A2" s="176" t="str">
        <f>uxb_works!A19</f>
        <v>INDI_ID</v>
      </c>
      <c r="B2" s="176">
        <f>uxb_works!B20</f>
        <v>28</v>
      </c>
      <c r="C2" s="176">
        <f>uxb_works!C20</f>
        <v>0</v>
      </c>
      <c r="D2" s="176">
        <f>uxb_works!D20</f>
        <v>20</v>
      </c>
      <c r="E2" s="176" t="str">
        <f>uxb_works!E20</f>
        <v>ORG2.1.5</v>
      </c>
      <c r="F2" s="176" t="str">
        <f>uxb_works!F20</f>
        <v>ORG2.1</v>
      </c>
      <c r="G2" s="176">
        <f>uxb_works!G20</f>
        <v>3</v>
      </c>
      <c r="H2" s="176" t="str">
        <f>uxb_works!H20</f>
        <v>2.1.5</v>
      </c>
      <c r="I2" s="176" t="str">
        <f>uxb_works!I20</f>
        <v>20.¿Cuál es el nivel de representación de las mujeres en las asociaciones?</v>
      </c>
      <c r="J2" s="176" t="str">
        <f>uxb_works!J20</f>
        <v>20.¿Cuál es el nivel de representación de las mujeres en las asociaciones?</v>
      </c>
      <c r="K2" s="176" t="str">
        <f>uxb_works!K20</f>
        <v xml:space="preserve">0= Existe un bajo nivel de representación (ningún criterio)
1= Existe un nivel medio de representación (1-2 criterios)
2= Existe un nivel superior de representación (3 o más criterios)
</v>
      </c>
      <c r="L2" s="176" t="str">
        <f>uxb_works!L20</f>
        <v>0 - 2</v>
      </c>
      <c r="M2" s="176" t="str">
        <f>uxb_works!M20</f>
        <v>[1] El Universal. "Guillermina de la Torre dueña del PRI", publicado el 09 de marzo de 2015 [http://www.eluniversalmas.com.mx/columnas/2015/03/111549.php]
[2] Berthier Castillo, Héctor. Coordinador de la Unidad de Estudios Sobre la Juventud de la Universidad Nacional Autónoma de México. 29 de agosto de 2016.</v>
      </c>
      <c r="N2" s="176">
        <f>uxb_works!N20</f>
        <v>2016</v>
      </c>
      <c r="O2" s="177" t="str">
        <f>uxb_works!O20</f>
        <v>Existe un nivel medio de representación de las mujeres. Guillermina de la Torre es la líder del Unión de Recicladores informales del Distrito Federal Rafael Gutiérrez Moreno [1], sin embargo en los grupos de recicladores no hay metas de involucramiento de mujeres  [2] y, dada la inexistencia de los estatutos, no hay lineamientos para la promoción de la participación de las mujeres. Por último, se desconoce la proporción entre hombres y mujeres en las organizaciones de recicladores.</v>
      </c>
      <c r="P2" s="176" t="str">
        <f>uxb_works!P20</f>
        <v>Good</v>
      </c>
      <c r="Q2" s="176">
        <f>uxb_works!Q20</f>
        <v>0</v>
      </c>
      <c r="R2" s="176" t="str">
        <f>uxb_works!R20</f>
        <v/>
      </c>
      <c r="S2" s="176" t="str">
        <f>uxb_works!S20</f>
        <v/>
      </c>
      <c r="T2" s="176">
        <f>uxb_works!T20</f>
        <v>0</v>
      </c>
      <c r="U2" s="176">
        <v>3</v>
      </c>
    </row>
    <row r="3" spans="1:49">
      <c r="A3" s="176" t="s">
        <v>47</v>
      </c>
      <c r="B3" s="176">
        <f>D2</f>
        <v>20</v>
      </c>
      <c r="U3" s="176">
        <v>1</v>
      </c>
    </row>
    <row r="5" spans="1:49">
      <c r="R5" s="176" t="s">
        <v>198</v>
      </c>
      <c r="S5" s="176" t="s">
        <v>199</v>
      </c>
    </row>
    <row r="6" spans="1:49" ht="15">
      <c r="A6" s="178" t="s">
        <v>83</v>
      </c>
      <c r="B6" s="176">
        <v>1</v>
      </c>
      <c r="O6" s="179" t="s">
        <v>84</v>
      </c>
      <c r="P6" s="178"/>
      <c r="Q6" s="180">
        <v>0</v>
      </c>
      <c r="R6" s="181">
        <f>IF($U$2=1,PERCENTILE(R$19:R$30,Q6),Q6*100)</f>
        <v>0</v>
      </c>
      <c r="S6" s="181"/>
    </row>
    <row r="7" spans="1:49" ht="15">
      <c r="A7" s="176" t="s">
        <v>200</v>
      </c>
      <c r="B7" s="176">
        <v>0</v>
      </c>
      <c r="O7" s="182"/>
      <c r="P7" s="180"/>
      <c r="Q7" s="180">
        <v>0.25</v>
      </c>
      <c r="R7" s="181">
        <f>IF($U$2=1,PERCENTILE(R$19:R$30,Q7),Q7*100)</f>
        <v>25</v>
      </c>
      <c r="S7" s="181"/>
      <c r="T7" s="176">
        <v>1</v>
      </c>
      <c r="Z7" s="176">
        <f>56/6</f>
        <v>9.3333333333333339</v>
      </c>
    </row>
    <row r="8" spans="1:49" ht="15">
      <c r="O8" s="182"/>
      <c r="P8" s="180"/>
      <c r="Q8" s="180">
        <v>0.5</v>
      </c>
      <c r="R8" s="181">
        <f>IF($U$2=1,PERCENTILE(R$19:R$30,Q8),Q8*100)</f>
        <v>50</v>
      </c>
      <c r="S8" s="181"/>
      <c r="T8" s="176">
        <v>2</v>
      </c>
      <c r="AF8" s="176">
        <f>45/5</f>
        <v>9</v>
      </c>
    </row>
    <row r="9" spans="1:49" ht="15">
      <c r="A9" s="176" t="str">
        <f>uxb_works!A6</f>
        <v>CITY_HIGHLIGHT_DD</v>
      </c>
      <c r="B9" s="176">
        <f>uxb_works!B6</f>
        <v>1</v>
      </c>
      <c r="C9" s="176" t="str">
        <f ca="1">IF(uxb_works!C6="&lt;none&gt;",C10,uxb_works!C6)</f>
        <v>&lt;ninguno&gt;</v>
      </c>
      <c r="D9" s="176" t="str">
        <f ca="1">IF(ISNA(INDEX(P19:P30,MATCH(C9,N19:N30,0))),"",INDEX(P19:P30,MATCH(C9,N19:N30,0)))</f>
        <v/>
      </c>
      <c r="O9" s="182"/>
      <c r="P9" s="180"/>
      <c r="Q9" s="180">
        <v>0.75</v>
      </c>
      <c r="R9" s="181">
        <f>IF($U$2=1,PERCENTILE(R$19:R$30,Q9),Q9*100)</f>
        <v>75</v>
      </c>
      <c r="S9" s="181"/>
      <c r="T9" s="176">
        <v>3</v>
      </c>
    </row>
    <row r="10" spans="1:49" ht="15">
      <c r="C10" s="176" t="str">
        <f>lang!C105</f>
        <v>Seleccione del mapa o seleccione de lo destacado por ciudad</v>
      </c>
      <c r="O10" s="182"/>
      <c r="P10" s="180"/>
      <c r="Q10" s="180">
        <v>1</v>
      </c>
      <c r="R10" s="181">
        <f>IF($U$2=1,PERCENTILE(R$19:R$30,Q10),Q10*100)</f>
        <v>100</v>
      </c>
      <c r="S10" s="181"/>
      <c r="T10" s="176">
        <v>4</v>
      </c>
    </row>
    <row r="11" spans="1:49" ht="15">
      <c r="Q11" s="180"/>
      <c r="R11" s="181"/>
      <c r="S11" s="181"/>
      <c r="T11" s="176">
        <v>5</v>
      </c>
      <c r="U11" s="176">
        <f>80/5</f>
        <v>16</v>
      </c>
    </row>
    <row r="12" spans="1:49" ht="15">
      <c r="A12" s="178"/>
      <c r="B12" s="180"/>
    </row>
    <row r="13" spans="1:49">
      <c r="S13" s="176">
        <f ca="1">PERCENTILE(R$19:R$30,Q11)</f>
        <v>0</v>
      </c>
    </row>
    <row r="14" spans="1:49">
      <c r="AI14" s="176" t="s">
        <v>204</v>
      </c>
      <c r="AN14" s="176" t="str">
        <f>"de "&amp;ROUND($R$9+1,1)&amp;" hasta "&amp;$R$10</f>
        <v>de 76 hasta 100</v>
      </c>
      <c r="AQ14" s="176" t="str">
        <f>"de "&amp;ROUND($R$8+1,1)&amp;" hasta "&amp;ROUND($R$9,1)</f>
        <v>de 51 hasta 75</v>
      </c>
      <c r="AT14" s="176" t="str">
        <f>"de "&amp;ROUND($R$7+1,1)&amp;" hasta "&amp;ROUND($R$8,1)</f>
        <v>de 26 hasta 50</v>
      </c>
      <c r="AW14" s="176" t="str">
        <f>"de "&amp;ROUND($R$6,1)&amp;" hasta "&amp;ROUND($R$7,1)</f>
        <v>de 0 hasta 25</v>
      </c>
    </row>
    <row r="15" spans="1:49">
      <c r="AN15" s="176" t="str">
        <f>"Puntaje "&amp;ROUND($R$9+1,1)&amp;" to "&amp;$R$10</f>
        <v>Puntaje 76 to 100</v>
      </c>
      <c r="AQ15" s="176" t="str">
        <f>"Puntaje "&amp;ROUND($R$8+1,1)&amp;" to "&amp;ROUND($R$9,1)</f>
        <v>Puntaje 51 to 75</v>
      </c>
      <c r="AT15" s="176" t="str">
        <f>"Puntaje "&amp;ROUND($R$7+1,1)&amp;" to "&amp;ROUND($R$8,1)</f>
        <v>Puntaje 26 to 50</v>
      </c>
      <c r="AW15" s="176" t="str">
        <f>"Puntaje "&amp;ROUND($R$6,1)&amp;" to "&amp;ROUND($R$7,1)</f>
        <v>Puntaje 0 to 25</v>
      </c>
    </row>
    <row r="17" spans="1:50">
      <c r="A17" s="176" t="s">
        <v>4</v>
      </c>
      <c r="B17" s="176" t="b">
        <f>IF(OR(P2=1,AC2=0),FALSE,TRUE)</f>
        <v>0</v>
      </c>
      <c r="E17" s="176" t="s">
        <v>226</v>
      </c>
      <c r="T17" s="176" t="s">
        <v>32</v>
      </c>
      <c r="V17" s="176" t="s">
        <v>201</v>
      </c>
      <c r="W17" s="176" t="s">
        <v>202</v>
      </c>
      <c r="AI17" s="183">
        <v>4</v>
      </c>
      <c r="AJ17" s="183">
        <v>3</v>
      </c>
      <c r="AK17" s="183">
        <v>2</v>
      </c>
      <c r="AL17" s="183">
        <v>1</v>
      </c>
      <c r="AN17" s="176">
        <v>1</v>
      </c>
      <c r="AO17" s="176">
        <v>3</v>
      </c>
      <c r="AQ17" s="176">
        <v>1</v>
      </c>
      <c r="AR17" s="176">
        <v>3</v>
      </c>
      <c r="AT17" s="176">
        <v>1</v>
      </c>
      <c r="AU17" s="176">
        <v>3</v>
      </c>
      <c r="AW17" s="176">
        <v>1</v>
      </c>
      <c r="AX17" s="176">
        <v>3</v>
      </c>
    </row>
    <row r="18" spans="1:50">
      <c r="D18" s="176" t="s">
        <v>40</v>
      </c>
      <c r="E18" s="176" t="s">
        <v>39</v>
      </c>
      <c r="F18" s="176" t="s">
        <v>41</v>
      </c>
      <c r="G18" s="176" t="s">
        <v>43</v>
      </c>
      <c r="H18" s="176" t="s">
        <v>44</v>
      </c>
      <c r="I18" s="176" t="s">
        <v>45</v>
      </c>
      <c r="J18" s="176" t="s">
        <v>59</v>
      </c>
      <c r="K18" s="176" t="s">
        <v>46</v>
      </c>
      <c r="O18" s="184" t="s">
        <v>42</v>
      </c>
      <c r="P18" s="185" t="s">
        <v>0</v>
      </c>
      <c r="Q18" s="185" t="str">
        <f>IF($B$17,"Data","")</f>
        <v/>
      </c>
      <c r="R18" s="176" t="s">
        <v>203</v>
      </c>
      <c r="T18" s="176" t="s">
        <v>2</v>
      </c>
      <c r="U18" s="176" t="s">
        <v>1</v>
      </c>
      <c r="AE18" s="112"/>
      <c r="AF18" s="112" t="s">
        <v>161</v>
      </c>
      <c r="AG18" s="112" t="s">
        <v>106</v>
      </c>
      <c r="AH18" s="112"/>
      <c r="AI18" s="183">
        <v>0</v>
      </c>
      <c r="AJ18" s="183">
        <v>0</v>
      </c>
      <c r="AK18" s="183">
        <v>0</v>
      </c>
      <c r="AL18" s="183">
        <v>0</v>
      </c>
      <c r="AM18" s="176" t="str">
        <f>$F$18</f>
        <v>ActiveStatus</v>
      </c>
      <c r="AN18" s="176" t="s">
        <v>205</v>
      </c>
      <c r="AO18" s="176" t="s">
        <v>206</v>
      </c>
      <c r="AP18" s="176" t="str">
        <f>$F$18</f>
        <v>ActiveStatus</v>
      </c>
      <c r="AQ18" s="176" t="s">
        <v>207</v>
      </c>
      <c r="AR18" s="176" t="s">
        <v>208</v>
      </c>
      <c r="AS18" s="176" t="str">
        <f>$F$18</f>
        <v>ActiveStatus</v>
      </c>
      <c r="AT18" s="176" t="s">
        <v>209</v>
      </c>
      <c r="AU18" s="176" t="s">
        <v>210</v>
      </c>
      <c r="AV18" s="176" t="str">
        <f>$F$18</f>
        <v>ActiveStatus</v>
      </c>
      <c r="AW18" s="176" t="s">
        <v>211</v>
      </c>
      <c r="AX18" s="176" t="s">
        <v>212</v>
      </c>
    </row>
    <row r="19" spans="1:50">
      <c r="A19" s="176">
        <f>tblTerritories!A3</f>
        <v>1</v>
      </c>
      <c r="B19" s="176" t="e">
        <f>tblTerritories!#REF!</f>
        <v>#REF!</v>
      </c>
      <c r="C19" s="176" t="str">
        <f>tblTerritories!C3</f>
        <v>Asunción</v>
      </c>
      <c r="D19" s="176">
        <f>tblTerritories!D3</f>
        <v>1</v>
      </c>
      <c r="E19" s="176">
        <f>tblTerritories!E3</f>
        <v>0</v>
      </c>
      <c r="F19" s="176">
        <f>tblTerritories!F3</f>
        <v>1</v>
      </c>
      <c r="G19" s="186">
        <f t="shared" ref="G19:G29" ca="1" si="0">IF(F19=0,"",INDEX(aScores,$B$2,$A19))</f>
        <v>50</v>
      </c>
      <c r="H19" s="176">
        <f ca="1">IF(F19=0,"",RANK(G19,G$19:G$30,$B$7)+COUNTIF(G$19:G19,G19)-1)</f>
        <v>5</v>
      </c>
      <c r="I19" s="176">
        <f t="shared" ref="I19:I30" ca="1" si="1">IF(ISERROR(MATCH($A19,H$19:H$30,0)),"",MATCH($A19,H$19:H$30,0))</f>
        <v>2</v>
      </c>
      <c r="J19" s="176">
        <f ca="1">IF(I19="","",1)</f>
        <v>1</v>
      </c>
      <c r="K19" s="187">
        <f t="shared" ref="K19:K30" ca="1" si="2">IF(I19="","",RANK(O19,O$19:O$30,$B$7))</f>
        <v>1</v>
      </c>
      <c r="L19" s="187">
        <f t="shared" ref="L19:L30" ca="1" si="3">IF(I19="",0,INDEX($F$19:$F$30,I19))</f>
        <v>1</v>
      </c>
      <c r="M19" s="185" t="str">
        <f ca="1">IF(I19="","",IF(OR(K19=K18,K19=K20),CONCATENATE("=",K19),K19))</f>
        <v>=1</v>
      </c>
      <c r="N19" s="176" t="str">
        <f t="shared" ref="N19:N30" ca="1" si="4">IF(I19="","",INDEX($C$19:$C$30,I19))</f>
        <v>Bogotá</v>
      </c>
      <c r="O19" s="177">
        <f t="shared" ref="O19:O29" ca="1" si="5">IF(I19="","",INDEX(aRoundedScores,$B$2,I19))</f>
        <v>100</v>
      </c>
      <c r="P19" s="188">
        <f ca="1">IF(L19=0,"",IF($C$2=1,"-",O19))</f>
        <v>100</v>
      </c>
      <c r="Q19" s="189" t="str">
        <f ca="1">IF(ISNA(VLOOKUP(N19,uxb_regions!$C$3:$I$38,7,FALSE)),"",VLOOKUP(N19,uxb_regions!$C$3:$I$38,7,FALSE))</f>
        <v>BOGA</v>
      </c>
      <c r="R19" s="185">
        <f ca="1">IF(L19=0,"",O19)</f>
        <v>100</v>
      </c>
      <c r="S19" s="185">
        <f ca="1">IF(Q19="","",CHOOSE($U$3,IF(R19&lt;=R$7,1,IF(R19&lt;=R$8,2,IF(R19&lt;=R$9,3,IF(R19&lt;=R$10,4))))))</f>
        <v>4</v>
      </c>
      <c r="T19" s="176">
        <f ca="1">IF(ISNUMBER(O19),O19,NA())</f>
        <v>100</v>
      </c>
      <c r="U19" s="176">
        <f>1</f>
        <v>1</v>
      </c>
      <c r="V19" s="176">
        <f t="shared" ref="V19:V30" ca="1" si="6">IF(ISNA(INDEX($F$19:$F$30,MATCH(N19,$C$19:$C$30,0))),0,INDEX($F$19:$F$30,MATCH(N19,$C$19:$C$30,0)))</f>
        <v>1</v>
      </c>
      <c r="W19" s="176">
        <f ca="1">IF(OR(V19=3,V19=2),Q19,0)</f>
        <v>0</v>
      </c>
      <c r="X19" s="176" t="str">
        <f ca="1">IF(ISNA(V19),"",Q19)</f>
        <v>BOGA</v>
      </c>
      <c r="Y19" s="176" t="e">
        <f ca="1">IF(L19=2,T19,NA())</f>
        <v>#N/A</v>
      </c>
      <c r="Z19" s="176" t="e">
        <f ca="1">IF(L19=2,1,NA())</f>
        <v>#N/A</v>
      </c>
      <c r="AB19" s="176">
        <f t="shared" ref="AB19:AB30" ca="1" si="7">LARGE($R$19:$R$30,ROW(R1)-ROW($R$1)+1)</f>
        <v>100</v>
      </c>
      <c r="AE19" s="112" t="str">
        <f ca="1">IF(ISNUMBER(O19),N19,CONCATENATE(N19))</f>
        <v>Bogotá</v>
      </c>
      <c r="AF19" s="112">
        <f ca="1">IF(ISNUMBER(P19),P19,"-")</f>
        <v>100</v>
      </c>
      <c r="AG19" s="112" t="e">
        <f t="shared" ref="AG19:AG29" ca="1" si="8">IF(W19=0,NA(),AF19)</f>
        <v>#N/A</v>
      </c>
      <c r="AH19" s="112" t="str">
        <f ca="1">TEXT(AF19,$Q$2)</f>
        <v>100</v>
      </c>
      <c r="AI19" s="176">
        <f t="shared" ref="AI19:AI30" ca="1" si="9">AI18+MATCH(AI$17,OFFSET($S$19:$S$30,AI18,0),0)</f>
        <v>1</v>
      </c>
      <c r="AJ19" s="176" t="e">
        <f t="shared" ref="AJ19:AJ30" ca="1" si="10">AJ18+MATCH(AJ$17,OFFSET($S$19:$S$30,AJ18,0),0)</f>
        <v>#N/A</v>
      </c>
      <c r="AK19" s="176">
        <f t="shared" ref="AK19:AK30" ca="1" si="11">AK18+MATCH(AK$17,OFFSET($S$19:$S$30,AK18,0),0)</f>
        <v>5</v>
      </c>
      <c r="AL19" s="176">
        <f t="shared" ref="AL19:AL30" ca="1" si="12">AL18+MATCH(AL$17,OFFSET($S$19:$S$30,AL18,0),0)</f>
        <v>9</v>
      </c>
      <c r="AM19" s="176">
        <f t="shared" ref="AM19:AM30" ca="1" si="13">IF(AN19="",0,INDEX($F$19:$F$30,MATCH(AN19,$C$19:$C$30,0)))</f>
        <v>1</v>
      </c>
      <c r="AN19" s="176" t="str">
        <f t="shared" ref="AN19:AN30" ca="1" si="14">IF(ISNA(AI19),"",INDEX($N$19:$P$30,$AI19,AN$17))</f>
        <v>Bogotá</v>
      </c>
      <c r="AO19" s="176">
        <f t="shared" ref="AO19:AO30" ca="1" si="15">IF(ISNA(AI19),"",INDEX($N$19:$P$30,$AI19,AO$17))</f>
        <v>100</v>
      </c>
      <c r="AP19" s="176">
        <f t="shared" ref="AP19:AP30" ca="1" si="16">IF(AQ19="",0,INDEX($F$19:$F$30,MATCH(AQ19,$C$19:$C$30,0)))</f>
        <v>0</v>
      </c>
      <c r="AQ19" s="176" t="str">
        <f t="shared" ref="AQ19:AQ30" ca="1" si="17">IF(ISNA(AJ19),"",INDEX($N$19:$P$30,$AJ19,AQ$17))</f>
        <v/>
      </c>
      <c r="AR19" s="176" t="str">
        <f t="shared" ref="AR19:AR30" ca="1" si="18">IF(ISNA(AJ19),"",INDEX($N$19:$P$30,$AJ19,AR$17))</f>
        <v/>
      </c>
      <c r="AS19" s="176">
        <f t="shared" ref="AS19:AS30" ca="1" si="19">IF(AT19="",0,INDEX($F$19:$F$30,MATCH(AT19,$C$19:$C$30,0)))</f>
        <v>1</v>
      </c>
      <c r="AT19" s="176" t="str">
        <f t="shared" ref="AT19:AT30" ca="1" si="20">IF(ISNA(AK19),"",INDEX($N$19:$P$30,$AK19,AT$17))</f>
        <v>Asunción</v>
      </c>
      <c r="AU19" s="176">
        <f t="shared" ref="AU19:AU30" ca="1" si="21">IF(ISNA(AK19),"",INDEX($N$19:$P$30,$AK19,AU$17))</f>
        <v>50</v>
      </c>
      <c r="AV19" s="176">
        <f t="shared" ref="AV19:AV30" ca="1" si="22">IF(AW19="",0,INDEX($F$19:$F$30,MATCH(AW19,$C$19:$C$30,0)))</f>
        <v>1</v>
      </c>
      <c r="AW19" s="176" t="str">
        <f t="shared" ref="AW19:AW30" ca="1" si="23">IF(ISNA(AL19),"",INDEX($N$19:$P$30,$AL19,AW$17))</f>
        <v>Ciudad de Belice</v>
      </c>
      <c r="AX19" s="176">
        <f t="shared" ref="AX19:AX30" ca="1" si="24">IF(ISNA(AL19),"",INDEX($N$19:$P$30,$AL19,AX$17))</f>
        <v>0</v>
      </c>
    </row>
    <row r="20" spans="1:50">
      <c r="A20" s="176">
        <f>tblTerritories!A4</f>
        <v>2</v>
      </c>
      <c r="B20" s="176" t="e">
        <f>tblTerritories!#REF!</f>
        <v>#REF!</v>
      </c>
      <c r="C20" s="176" t="str">
        <f>tblTerritories!C4</f>
        <v>Bogotá</v>
      </c>
      <c r="D20" s="176">
        <f>tblTerritories!D4</f>
        <v>1</v>
      </c>
      <c r="E20" s="176">
        <f>tblTerritories!E4</f>
        <v>0</v>
      </c>
      <c r="F20" s="176">
        <f>tblTerritories!F4</f>
        <v>1</v>
      </c>
      <c r="G20" s="186">
        <f t="shared" ca="1" si="0"/>
        <v>100</v>
      </c>
      <c r="H20" s="176">
        <f ca="1">IF(F20=0,"",RANK(G20,G$19:G$30,$B$7)+COUNTIF(G$19:G20,G20)-1)</f>
        <v>1</v>
      </c>
      <c r="I20" s="176">
        <f t="shared" ca="1" si="1"/>
        <v>8</v>
      </c>
      <c r="J20" s="176">
        <f t="shared" ref="J20:J29" ca="1" si="25">IF(I20="","",1)</f>
        <v>1</v>
      </c>
      <c r="K20" s="187">
        <f t="shared" ca="1" si="2"/>
        <v>1</v>
      </c>
      <c r="L20" s="187">
        <f t="shared" ca="1" si="3"/>
        <v>1</v>
      </c>
      <c r="M20" s="185" t="str">
        <f t="shared" ref="M20:M29" ca="1" si="26">IF(I20="","",IF(OR(K20=K19,K20=K21),CONCATENATE("=",K20),K20))</f>
        <v>=1</v>
      </c>
      <c r="N20" s="176" t="str">
        <f t="shared" ca="1" si="4"/>
        <v>Quito</v>
      </c>
      <c r="O20" s="177">
        <f t="shared" ca="1" si="5"/>
        <v>100</v>
      </c>
      <c r="P20" s="188">
        <f t="shared" ref="P20:P29" ca="1" si="27">IF(L20=0,"",IF($C$2=1,"-",O20))</f>
        <v>100</v>
      </c>
      <c r="Q20" s="189" t="str">
        <f ca="1">IF(ISNA(VLOOKUP(N20,uxb_regions!$C$3:$I$38,7,FALSE)),"",VLOOKUP(N20,uxb_regions!$C$3:$I$38,7,FALSE))</f>
        <v>QUIT</v>
      </c>
      <c r="R20" s="185">
        <f t="shared" ref="R20:R29" ca="1" si="28">IF(L20=0,"",O20)</f>
        <v>100</v>
      </c>
      <c r="S20" s="185">
        <f t="shared" ref="S20:S29" ca="1" si="29">IF(Q20="","",CHOOSE($U$3,IF(R20&lt;=R$7,1,IF(R20&lt;=R$8,2,IF(R20&lt;=R$9,3,IF(R20&lt;=R$10,4))))))</f>
        <v>4</v>
      </c>
      <c r="T20" s="176">
        <f t="shared" ref="T20:T29" ca="1" si="30">IF(ISNUMBER(O20),O20,NA())</f>
        <v>100</v>
      </c>
      <c r="U20" s="176">
        <f>1</f>
        <v>1</v>
      </c>
      <c r="V20" s="176">
        <f t="shared" ca="1" si="6"/>
        <v>1</v>
      </c>
      <c r="W20" s="176">
        <f t="shared" ref="W20:W29" ca="1" si="31">IF(OR(V20=3,V20=2),Q20,0)</f>
        <v>0</v>
      </c>
      <c r="X20" s="176" t="str">
        <f t="shared" ref="X20:X29" ca="1" si="32">IF(ISNA(V20),"",Q20)</f>
        <v>QUIT</v>
      </c>
      <c r="Y20" s="176" t="e">
        <f ca="1">IF(L20=2,T20,NA())</f>
        <v>#N/A</v>
      </c>
      <c r="Z20" s="176" t="e">
        <f t="shared" ref="Z20:Z29" ca="1" si="33">IF(L20=2,1,NA())</f>
        <v>#N/A</v>
      </c>
      <c r="AB20" s="176">
        <f t="shared" ca="1" si="7"/>
        <v>100</v>
      </c>
      <c r="AE20" s="112" t="str">
        <f t="shared" ref="AE20:AE29" ca="1" si="34">IF(ISNUMBER(O20),N20,CONCATENATE(N20))</f>
        <v>Quito</v>
      </c>
      <c r="AF20" s="112">
        <f t="shared" ref="AF20:AF29" ca="1" si="35">IF(ISNUMBER(P20),P20,"-")</f>
        <v>100</v>
      </c>
      <c r="AG20" s="112" t="e">
        <f t="shared" ca="1" si="8"/>
        <v>#N/A</v>
      </c>
      <c r="AH20" s="112" t="str">
        <f t="shared" ref="AH20:AH29" ca="1" si="36">TEXT(AF20,$Q$2)</f>
        <v>100</v>
      </c>
      <c r="AI20" s="176">
        <f t="shared" ca="1" si="9"/>
        <v>2</v>
      </c>
      <c r="AJ20" s="176" t="e">
        <f t="shared" ca="1" si="10"/>
        <v>#N/A</v>
      </c>
      <c r="AK20" s="176">
        <f t="shared" ca="1" si="11"/>
        <v>6</v>
      </c>
      <c r="AL20" s="176">
        <f t="shared" ca="1" si="12"/>
        <v>10</v>
      </c>
      <c r="AM20" s="176">
        <f t="shared" ca="1" si="13"/>
        <v>1</v>
      </c>
      <c r="AN20" s="176" t="str">
        <f t="shared" ca="1" si="14"/>
        <v>Quito</v>
      </c>
      <c r="AO20" s="176">
        <f t="shared" ca="1" si="15"/>
        <v>100</v>
      </c>
      <c r="AP20" s="176">
        <f t="shared" ca="1" si="16"/>
        <v>0</v>
      </c>
      <c r="AQ20" s="176" t="str">
        <f t="shared" ca="1" si="17"/>
        <v/>
      </c>
      <c r="AR20" s="176" t="str">
        <f t="shared" ca="1" si="18"/>
        <v/>
      </c>
      <c r="AS20" s="176">
        <f t="shared" ca="1" si="19"/>
        <v>1</v>
      </c>
      <c r="AT20" s="176" t="str">
        <f t="shared" ca="1" si="20"/>
        <v>Buenos Aires</v>
      </c>
      <c r="AU20" s="176">
        <f t="shared" ca="1" si="21"/>
        <v>50</v>
      </c>
      <c r="AV20" s="176">
        <f t="shared" ca="1" si="22"/>
        <v>1</v>
      </c>
      <c r="AW20" s="176" t="str">
        <f t="shared" ca="1" si="23"/>
        <v>Lima</v>
      </c>
      <c r="AX20" s="176">
        <f t="shared" ca="1" si="24"/>
        <v>0</v>
      </c>
    </row>
    <row r="21" spans="1:50">
      <c r="A21" s="176">
        <f>tblTerritories!A5</f>
        <v>3</v>
      </c>
      <c r="B21" s="176" t="str">
        <f>tblTerritories!B5</f>
        <v>BSAS</v>
      </c>
      <c r="C21" s="176" t="str">
        <f>tblTerritories!C5</f>
        <v>Buenos Aires</v>
      </c>
      <c r="D21" s="176">
        <f>tblTerritories!D5</f>
        <v>1</v>
      </c>
      <c r="E21" s="176">
        <f>tblTerritories!E5</f>
        <v>0</v>
      </c>
      <c r="F21" s="176">
        <f>tblTerritories!F5</f>
        <v>1</v>
      </c>
      <c r="G21" s="186">
        <f t="shared" ca="1" si="0"/>
        <v>50</v>
      </c>
      <c r="H21" s="176">
        <f ca="1">IF(F21=0,"",RANK(G21,G$19:G$30,$B$7)+COUNTIF(G$19:G21,G21)-1)</f>
        <v>6</v>
      </c>
      <c r="I21" s="176">
        <f t="shared" ca="1" si="1"/>
        <v>10</v>
      </c>
      <c r="J21" s="176">
        <f t="shared" ca="1" si="25"/>
        <v>1</v>
      </c>
      <c r="K21" s="187">
        <f t="shared" ca="1" si="2"/>
        <v>1</v>
      </c>
      <c r="L21" s="187">
        <f t="shared" ca="1" si="3"/>
        <v>1</v>
      </c>
      <c r="M21" s="185" t="str">
        <f t="shared" ca="1" si="26"/>
        <v>=1</v>
      </c>
      <c r="N21" s="176" t="str">
        <f t="shared" ca="1" si="4"/>
        <v>San Pablo</v>
      </c>
      <c r="O21" s="177">
        <f t="shared" ca="1" si="5"/>
        <v>100</v>
      </c>
      <c r="P21" s="188">
        <f t="shared" ca="1" si="27"/>
        <v>100</v>
      </c>
      <c r="Q21" s="189" t="str">
        <f ca="1">IF(ISNA(VLOOKUP(N21,uxb_regions!$C$3:$I$38,7,FALSE)),"",VLOOKUP(N21,uxb_regions!$C$3:$I$38,7,FALSE))</f>
        <v>SAPA</v>
      </c>
      <c r="R21" s="185">
        <f t="shared" ca="1" si="28"/>
        <v>100</v>
      </c>
      <c r="S21" s="185">
        <f t="shared" ca="1" si="29"/>
        <v>4</v>
      </c>
      <c r="T21" s="176">
        <f t="shared" ca="1" si="30"/>
        <v>100</v>
      </c>
      <c r="U21" s="176">
        <f>1</f>
        <v>1</v>
      </c>
      <c r="V21" s="176">
        <f t="shared" ca="1" si="6"/>
        <v>1</v>
      </c>
      <c r="W21" s="176">
        <f t="shared" ca="1" si="31"/>
        <v>0</v>
      </c>
      <c r="X21" s="176" t="str">
        <f t="shared" ca="1" si="32"/>
        <v>SAPA</v>
      </c>
      <c r="Y21" s="176" t="e">
        <f t="shared" ref="Y21:Y29" ca="1" si="37">IF(L21=2,T21,NA())</f>
        <v>#N/A</v>
      </c>
      <c r="Z21" s="176" t="e">
        <f t="shared" ca="1" si="33"/>
        <v>#N/A</v>
      </c>
      <c r="AB21" s="176">
        <f t="shared" ca="1" si="7"/>
        <v>100</v>
      </c>
      <c r="AE21" s="112" t="str">
        <f t="shared" ca="1" si="34"/>
        <v>San Pablo</v>
      </c>
      <c r="AF21" s="112">
        <f t="shared" ca="1" si="35"/>
        <v>100</v>
      </c>
      <c r="AG21" s="112" t="e">
        <f t="shared" ca="1" si="8"/>
        <v>#N/A</v>
      </c>
      <c r="AH21" s="112" t="str">
        <f t="shared" ca="1" si="36"/>
        <v>100</v>
      </c>
      <c r="AI21" s="176">
        <f t="shared" ca="1" si="9"/>
        <v>3</v>
      </c>
      <c r="AJ21" s="176" t="e">
        <f t="shared" ca="1" si="10"/>
        <v>#N/A</v>
      </c>
      <c r="AK21" s="176">
        <f t="shared" ca="1" si="11"/>
        <v>7</v>
      </c>
      <c r="AL21" s="176">
        <f t="shared" ca="1" si="12"/>
        <v>11</v>
      </c>
      <c r="AM21" s="176">
        <f t="shared" ca="1" si="13"/>
        <v>1</v>
      </c>
      <c r="AN21" s="176" t="str">
        <f t="shared" ca="1" si="14"/>
        <v>San Pablo</v>
      </c>
      <c r="AO21" s="176">
        <f t="shared" ca="1" si="15"/>
        <v>100</v>
      </c>
      <c r="AP21" s="176">
        <f t="shared" ca="1" si="16"/>
        <v>0</v>
      </c>
      <c r="AQ21" s="176" t="str">
        <f t="shared" ca="1" si="17"/>
        <v/>
      </c>
      <c r="AR21" s="176" t="str">
        <f t="shared" ca="1" si="18"/>
        <v/>
      </c>
      <c r="AS21" s="176">
        <f t="shared" ca="1" si="19"/>
        <v>1</v>
      </c>
      <c r="AT21" s="176" t="str">
        <f t="shared" ca="1" si="20"/>
        <v>Ciudad de México</v>
      </c>
      <c r="AU21" s="176">
        <f t="shared" ca="1" si="21"/>
        <v>50</v>
      </c>
      <c r="AV21" s="176">
        <f t="shared" ca="1" si="22"/>
        <v>1</v>
      </c>
      <c r="AW21" s="176" t="str">
        <f t="shared" ca="1" si="23"/>
        <v>San José</v>
      </c>
      <c r="AX21" s="176">
        <f t="shared" ca="1" si="24"/>
        <v>0</v>
      </c>
    </row>
    <row r="22" spans="1:50">
      <c r="A22" s="176">
        <f>tblTerritories!A6</f>
        <v>4</v>
      </c>
      <c r="B22" s="176" t="str">
        <f>tblTerritories!B6</f>
        <v>CDBE</v>
      </c>
      <c r="C22" s="176" t="str">
        <f>tblTerritories!C6</f>
        <v>Ciudad de Belice</v>
      </c>
      <c r="D22" s="176">
        <f>tblTerritories!D6</f>
        <v>1</v>
      </c>
      <c r="E22" s="176">
        <f>tblTerritories!E6</f>
        <v>0</v>
      </c>
      <c r="F22" s="176">
        <f>tblTerritories!F6</f>
        <v>1</v>
      </c>
      <c r="G22" s="186">
        <f t="shared" ca="1" si="0"/>
        <v>0</v>
      </c>
      <c r="H22" s="176">
        <f ca="1">IF(F22=0,"",RANK(G22,G$19:G$30,$B$7)+COUNTIF(G$19:G22,G22)-1)</f>
        <v>9</v>
      </c>
      <c r="I22" s="176">
        <f t="shared" ca="1" si="1"/>
        <v>11</v>
      </c>
      <c r="J22" s="176">
        <f t="shared" ca="1" si="25"/>
        <v>1</v>
      </c>
      <c r="K22" s="187">
        <f t="shared" ca="1" si="2"/>
        <v>1</v>
      </c>
      <c r="L22" s="187">
        <f t="shared" ca="1" si="3"/>
        <v>1</v>
      </c>
      <c r="M22" s="185" t="str">
        <f t="shared" ca="1" si="26"/>
        <v>=1</v>
      </c>
      <c r="N22" s="176" t="str">
        <f t="shared" ca="1" si="4"/>
        <v>Santa Cruz</v>
      </c>
      <c r="O22" s="177">
        <f t="shared" ca="1" si="5"/>
        <v>100</v>
      </c>
      <c r="P22" s="188">
        <f t="shared" ca="1" si="27"/>
        <v>100</v>
      </c>
      <c r="Q22" s="189" t="str">
        <f ca="1">IF(ISNA(VLOOKUP(N22,uxb_regions!$C$3:$I$38,7,FALSE)),"",VLOOKUP(N22,uxb_regions!$C$3:$I$38,7,FALSE))</f>
        <v>SACR</v>
      </c>
      <c r="R22" s="185">
        <f t="shared" ca="1" si="28"/>
        <v>100</v>
      </c>
      <c r="S22" s="185">
        <f t="shared" ca="1" si="29"/>
        <v>4</v>
      </c>
      <c r="T22" s="176">
        <f t="shared" ca="1" si="30"/>
        <v>100</v>
      </c>
      <c r="U22" s="176">
        <f>1</f>
        <v>1</v>
      </c>
      <c r="V22" s="176">
        <f t="shared" ca="1" si="6"/>
        <v>1</v>
      </c>
      <c r="W22" s="176">
        <f t="shared" ca="1" si="31"/>
        <v>0</v>
      </c>
      <c r="X22" s="176" t="str">
        <f t="shared" ca="1" si="32"/>
        <v>SACR</v>
      </c>
      <c r="Y22" s="176" t="e">
        <f t="shared" ca="1" si="37"/>
        <v>#N/A</v>
      </c>
      <c r="Z22" s="176" t="e">
        <f t="shared" ca="1" si="33"/>
        <v>#N/A</v>
      </c>
      <c r="AB22" s="176">
        <f t="shared" ca="1" si="7"/>
        <v>100</v>
      </c>
      <c r="AE22" s="112" t="str">
        <f t="shared" ca="1" si="34"/>
        <v>Santa Cruz</v>
      </c>
      <c r="AF22" s="112">
        <f t="shared" ca="1" si="35"/>
        <v>100</v>
      </c>
      <c r="AG22" s="112" t="e">
        <f t="shared" ca="1" si="8"/>
        <v>#N/A</v>
      </c>
      <c r="AH22" s="112" t="str">
        <f t="shared" ca="1" si="36"/>
        <v>100</v>
      </c>
      <c r="AI22" s="176">
        <f t="shared" ca="1" si="9"/>
        <v>4</v>
      </c>
      <c r="AJ22" s="176" t="e">
        <f t="shared" ca="1" si="10"/>
        <v>#N/A</v>
      </c>
      <c r="AK22" s="176">
        <f t="shared" ca="1" si="11"/>
        <v>8</v>
      </c>
      <c r="AL22" s="176">
        <f t="shared" ca="1" si="12"/>
        <v>12</v>
      </c>
      <c r="AM22" s="176">
        <f t="shared" ca="1" si="13"/>
        <v>1</v>
      </c>
      <c r="AN22" s="176" t="str">
        <f t="shared" ca="1" si="14"/>
        <v>Santa Cruz</v>
      </c>
      <c r="AO22" s="176">
        <f t="shared" ca="1" si="15"/>
        <v>100</v>
      </c>
      <c r="AP22" s="176">
        <f t="shared" ca="1" si="16"/>
        <v>0</v>
      </c>
      <c r="AQ22" s="176" t="str">
        <f t="shared" ca="1" si="17"/>
        <v/>
      </c>
      <c r="AR22" s="176" t="str">
        <f t="shared" ca="1" si="18"/>
        <v/>
      </c>
      <c r="AS22" s="176">
        <f t="shared" ca="1" si="19"/>
        <v>1</v>
      </c>
      <c r="AT22" s="176" t="str">
        <f t="shared" ca="1" si="20"/>
        <v>Montevideo</v>
      </c>
      <c r="AU22" s="176">
        <f t="shared" ca="1" si="21"/>
        <v>50</v>
      </c>
      <c r="AV22" s="176">
        <f t="shared" ca="1" si="22"/>
        <v>1</v>
      </c>
      <c r="AW22" s="176" t="str">
        <f t="shared" ca="1" si="23"/>
        <v>Santiago de Chile</v>
      </c>
      <c r="AX22" s="176">
        <f t="shared" ca="1" si="24"/>
        <v>0</v>
      </c>
    </row>
    <row r="23" spans="1:50">
      <c r="A23" s="176">
        <f>tblTerritories!A7</f>
        <v>5</v>
      </c>
      <c r="B23" s="176" t="str">
        <f>tblTerritories!B7</f>
        <v>MEXC</v>
      </c>
      <c r="C23" s="176" t="str">
        <f>tblTerritories!C7</f>
        <v>Ciudad de México</v>
      </c>
      <c r="D23" s="176">
        <f>tblTerritories!D7</f>
        <v>1</v>
      </c>
      <c r="E23" s="176">
        <f>tblTerritories!E7</f>
        <v>0</v>
      </c>
      <c r="F23" s="176">
        <f>tblTerritories!F7</f>
        <v>1</v>
      </c>
      <c r="G23" s="186">
        <f t="shared" ca="1" si="0"/>
        <v>50</v>
      </c>
      <c r="H23" s="176">
        <f ca="1">IF(F23=0,"",RANK(G23,G$19:G$30,$B$7)+COUNTIF(G$19:G23,G23)-1)</f>
        <v>7</v>
      </c>
      <c r="I23" s="176">
        <f t="shared" ca="1" si="1"/>
        <v>1</v>
      </c>
      <c r="J23" s="176">
        <f t="shared" ca="1" si="25"/>
        <v>1</v>
      </c>
      <c r="K23" s="187">
        <f t="shared" ca="1" si="2"/>
        <v>5</v>
      </c>
      <c r="L23" s="187">
        <f t="shared" ca="1" si="3"/>
        <v>1</v>
      </c>
      <c r="M23" s="185" t="str">
        <f t="shared" ca="1" si="26"/>
        <v>=5</v>
      </c>
      <c r="N23" s="176" t="str">
        <f t="shared" ca="1" si="4"/>
        <v>Asunción</v>
      </c>
      <c r="O23" s="177">
        <f t="shared" ca="1" si="5"/>
        <v>50</v>
      </c>
      <c r="P23" s="188">
        <f t="shared" ca="1" si="27"/>
        <v>50</v>
      </c>
      <c r="Q23" s="189" t="str">
        <f ca="1">IF(ISNA(VLOOKUP(N23,uxb_regions!$C$3:$I$38,7,FALSE)),"",VLOOKUP(N23,uxb_regions!$C$3:$I$38,7,FALSE))</f>
        <v>ASUN</v>
      </c>
      <c r="R23" s="185">
        <f t="shared" ca="1" si="28"/>
        <v>50</v>
      </c>
      <c r="S23" s="185">
        <f t="shared" ca="1" si="29"/>
        <v>2</v>
      </c>
      <c r="T23" s="176">
        <f t="shared" ca="1" si="30"/>
        <v>50</v>
      </c>
      <c r="U23" s="176">
        <f>1</f>
        <v>1</v>
      </c>
      <c r="V23" s="176">
        <f t="shared" ca="1" si="6"/>
        <v>1</v>
      </c>
      <c r="W23" s="176">
        <f t="shared" ca="1" si="31"/>
        <v>0</v>
      </c>
      <c r="X23" s="176" t="str">
        <f t="shared" ca="1" si="32"/>
        <v>ASUN</v>
      </c>
      <c r="Y23" s="176" t="e">
        <f t="shared" ca="1" si="37"/>
        <v>#N/A</v>
      </c>
      <c r="Z23" s="176" t="e">
        <f t="shared" ca="1" si="33"/>
        <v>#N/A</v>
      </c>
      <c r="AB23" s="176">
        <f t="shared" ca="1" si="7"/>
        <v>50</v>
      </c>
      <c r="AE23" s="112" t="str">
        <f t="shared" ca="1" si="34"/>
        <v>Asunción</v>
      </c>
      <c r="AF23" s="112">
        <f t="shared" ca="1" si="35"/>
        <v>50</v>
      </c>
      <c r="AG23" s="112" t="e">
        <f t="shared" ca="1" si="8"/>
        <v>#N/A</v>
      </c>
      <c r="AH23" s="112" t="str">
        <f t="shared" ca="1" si="36"/>
        <v>50</v>
      </c>
      <c r="AI23" s="176" t="e">
        <f t="shared" ca="1" si="9"/>
        <v>#N/A</v>
      </c>
      <c r="AJ23" s="176" t="e">
        <f t="shared" ca="1" si="10"/>
        <v>#N/A</v>
      </c>
      <c r="AK23" s="176" t="e">
        <f t="shared" ca="1" si="11"/>
        <v>#N/A</v>
      </c>
      <c r="AL23" s="176" t="e">
        <f t="shared" ca="1" si="12"/>
        <v>#N/A</v>
      </c>
      <c r="AM23" s="176">
        <f t="shared" ca="1" si="13"/>
        <v>0</v>
      </c>
      <c r="AN23" s="176" t="str">
        <f t="shared" ca="1" si="14"/>
        <v/>
      </c>
      <c r="AO23" s="176" t="str">
        <f t="shared" ca="1" si="15"/>
        <v/>
      </c>
      <c r="AP23" s="176">
        <f t="shared" ca="1" si="16"/>
        <v>0</v>
      </c>
      <c r="AQ23" s="176" t="str">
        <f t="shared" ca="1" si="17"/>
        <v/>
      </c>
      <c r="AR23" s="176" t="str">
        <f t="shared" ca="1" si="18"/>
        <v/>
      </c>
      <c r="AS23" s="176">
        <f t="shared" ca="1" si="19"/>
        <v>0</v>
      </c>
      <c r="AT23" s="176" t="str">
        <f t="shared" ca="1" si="20"/>
        <v/>
      </c>
      <c r="AU23" s="176" t="str">
        <f t="shared" ca="1" si="21"/>
        <v/>
      </c>
      <c r="AV23" s="176">
        <f t="shared" ca="1" si="22"/>
        <v>0</v>
      </c>
      <c r="AW23" s="176" t="str">
        <f t="shared" ca="1" si="23"/>
        <v/>
      </c>
      <c r="AX23" s="176" t="str">
        <f t="shared" ca="1" si="24"/>
        <v/>
      </c>
    </row>
    <row r="24" spans="1:50">
      <c r="A24" s="176">
        <f>tblTerritories!A8</f>
        <v>6</v>
      </c>
      <c r="B24" s="176" t="str">
        <f>tblTerritories!B8</f>
        <v>LIMA</v>
      </c>
      <c r="C24" s="176" t="str">
        <f>tblTerritories!C8</f>
        <v>Lima</v>
      </c>
      <c r="D24" s="176">
        <f>tblTerritories!D8</f>
        <v>1</v>
      </c>
      <c r="E24" s="176">
        <f>tblTerritories!E8</f>
        <v>0</v>
      </c>
      <c r="F24" s="176">
        <f>tblTerritories!F8</f>
        <v>1</v>
      </c>
      <c r="G24" s="186">
        <f t="shared" ca="1" si="0"/>
        <v>0</v>
      </c>
      <c r="H24" s="176">
        <f ca="1">IF(F24=0,"",RANK(G24,G$19:G$30,$B$7)+COUNTIF(G$19:G24,G24)-1)</f>
        <v>10</v>
      </c>
      <c r="I24" s="176">
        <f t="shared" ca="1" si="1"/>
        <v>3</v>
      </c>
      <c r="J24" s="176">
        <f t="shared" ca="1" si="25"/>
        <v>1</v>
      </c>
      <c r="K24" s="187">
        <f t="shared" ca="1" si="2"/>
        <v>5</v>
      </c>
      <c r="L24" s="187">
        <f t="shared" ca="1" si="3"/>
        <v>1</v>
      </c>
      <c r="M24" s="185" t="str">
        <f t="shared" ca="1" si="26"/>
        <v>=5</v>
      </c>
      <c r="N24" s="176" t="str">
        <f t="shared" ca="1" si="4"/>
        <v>Buenos Aires</v>
      </c>
      <c r="O24" s="177">
        <f t="shared" ca="1" si="5"/>
        <v>50</v>
      </c>
      <c r="P24" s="188">
        <f t="shared" ca="1" si="27"/>
        <v>50</v>
      </c>
      <c r="Q24" s="189" t="str">
        <f ca="1">IF(ISNA(VLOOKUP(N24,uxb_regions!$C$3:$I$38,7,FALSE)),"",VLOOKUP(N24,uxb_regions!$C$3:$I$38,7,FALSE))</f>
        <v>BSAS</v>
      </c>
      <c r="R24" s="185">
        <f t="shared" ca="1" si="28"/>
        <v>50</v>
      </c>
      <c r="S24" s="185">
        <f t="shared" ca="1" si="29"/>
        <v>2</v>
      </c>
      <c r="T24" s="176">
        <f t="shared" ca="1" si="30"/>
        <v>50</v>
      </c>
      <c r="U24" s="176">
        <f>1</f>
        <v>1</v>
      </c>
      <c r="V24" s="176">
        <f t="shared" ca="1" si="6"/>
        <v>1</v>
      </c>
      <c r="W24" s="176">
        <f t="shared" ca="1" si="31"/>
        <v>0</v>
      </c>
      <c r="X24" s="176" t="str">
        <f t="shared" ca="1" si="32"/>
        <v>BSAS</v>
      </c>
      <c r="Y24" s="176" t="e">
        <f t="shared" ca="1" si="37"/>
        <v>#N/A</v>
      </c>
      <c r="Z24" s="176" t="e">
        <f t="shared" ca="1" si="33"/>
        <v>#N/A</v>
      </c>
      <c r="AB24" s="176">
        <f t="shared" ca="1" si="7"/>
        <v>50</v>
      </c>
      <c r="AE24" s="112" t="str">
        <f t="shared" ca="1" si="34"/>
        <v>Buenos Aires</v>
      </c>
      <c r="AF24" s="112">
        <f t="shared" ca="1" si="35"/>
        <v>50</v>
      </c>
      <c r="AG24" s="112" t="e">
        <f t="shared" ca="1" si="8"/>
        <v>#N/A</v>
      </c>
      <c r="AH24" s="112" t="str">
        <f t="shared" ca="1" si="36"/>
        <v>50</v>
      </c>
      <c r="AI24" s="176" t="e">
        <f t="shared" ca="1" si="9"/>
        <v>#N/A</v>
      </c>
      <c r="AJ24" s="176" t="e">
        <f t="shared" ca="1" si="10"/>
        <v>#N/A</v>
      </c>
      <c r="AK24" s="176" t="e">
        <f t="shared" ca="1" si="11"/>
        <v>#N/A</v>
      </c>
      <c r="AL24" s="176" t="e">
        <f t="shared" ca="1" si="12"/>
        <v>#N/A</v>
      </c>
      <c r="AM24" s="176">
        <f t="shared" ca="1" si="13"/>
        <v>0</v>
      </c>
      <c r="AN24" s="176" t="str">
        <f t="shared" ca="1" si="14"/>
        <v/>
      </c>
      <c r="AO24" s="176" t="str">
        <f t="shared" ca="1" si="15"/>
        <v/>
      </c>
      <c r="AP24" s="176">
        <f t="shared" ca="1" si="16"/>
        <v>0</v>
      </c>
      <c r="AQ24" s="176" t="str">
        <f t="shared" ca="1" si="17"/>
        <v/>
      </c>
      <c r="AR24" s="176" t="str">
        <f t="shared" ca="1" si="18"/>
        <v/>
      </c>
      <c r="AS24" s="176">
        <f t="shared" ca="1" si="19"/>
        <v>0</v>
      </c>
      <c r="AT24" s="176" t="str">
        <f t="shared" ca="1" si="20"/>
        <v/>
      </c>
      <c r="AU24" s="176" t="str">
        <f t="shared" ca="1" si="21"/>
        <v/>
      </c>
      <c r="AV24" s="176">
        <f t="shared" ca="1" si="22"/>
        <v>0</v>
      </c>
      <c r="AW24" s="176" t="str">
        <f t="shared" ca="1" si="23"/>
        <v/>
      </c>
      <c r="AX24" s="176" t="str">
        <f t="shared" ca="1" si="24"/>
        <v/>
      </c>
    </row>
    <row r="25" spans="1:50">
      <c r="A25" s="176">
        <f>tblTerritories!A9</f>
        <v>7</v>
      </c>
      <c r="B25" s="176" t="str">
        <f>tblTerritories!B9</f>
        <v>MONT</v>
      </c>
      <c r="C25" s="176" t="str">
        <f>tblTerritories!C9</f>
        <v>Montevideo</v>
      </c>
      <c r="D25" s="176">
        <f>tblTerritories!D9</f>
        <v>1</v>
      </c>
      <c r="E25" s="176">
        <f>tblTerritories!E9</f>
        <v>0</v>
      </c>
      <c r="F25" s="176">
        <f>tblTerritories!F9</f>
        <v>1</v>
      </c>
      <c r="G25" s="186">
        <f t="shared" ca="1" si="0"/>
        <v>50</v>
      </c>
      <c r="H25" s="176">
        <f ca="1">IF(F25=0,"",RANK(G25,G$19:G$30,$B$7)+COUNTIF(G$19:G25,G25)-1)</f>
        <v>8</v>
      </c>
      <c r="I25" s="176">
        <f t="shared" ca="1" si="1"/>
        <v>5</v>
      </c>
      <c r="J25" s="176">
        <f t="shared" ca="1" si="25"/>
        <v>1</v>
      </c>
      <c r="K25" s="187">
        <f t="shared" ca="1" si="2"/>
        <v>5</v>
      </c>
      <c r="L25" s="187">
        <f t="shared" ca="1" si="3"/>
        <v>1</v>
      </c>
      <c r="M25" s="185" t="str">
        <f t="shared" ca="1" si="26"/>
        <v>=5</v>
      </c>
      <c r="N25" s="176" t="str">
        <f t="shared" ca="1" si="4"/>
        <v>Ciudad de México</v>
      </c>
      <c r="O25" s="177">
        <f t="shared" ca="1" si="5"/>
        <v>50</v>
      </c>
      <c r="P25" s="188">
        <f t="shared" ca="1" si="27"/>
        <v>50</v>
      </c>
      <c r="Q25" s="189" t="str">
        <f ca="1">IF(ISNA(VLOOKUP(N25,uxb_regions!$C$3:$I$38,7,FALSE)),"",VLOOKUP(N25,uxb_regions!$C$3:$I$38,7,FALSE))</f>
        <v>MEXC</v>
      </c>
      <c r="R25" s="185">
        <f t="shared" ca="1" si="28"/>
        <v>50</v>
      </c>
      <c r="S25" s="185">
        <f t="shared" ca="1" si="29"/>
        <v>2</v>
      </c>
      <c r="T25" s="176">
        <f t="shared" ca="1" si="30"/>
        <v>50</v>
      </c>
      <c r="U25" s="176">
        <f>1</f>
        <v>1</v>
      </c>
      <c r="V25" s="176">
        <f t="shared" ca="1" si="6"/>
        <v>1</v>
      </c>
      <c r="W25" s="176">
        <f t="shared" ca="1" si="31"/>
        <v>0</v>
      </c>
      <c r="X25" s="176" t="str">
        <f t="shared" ca="1" si="32"/>
        <v>MEXC</v>
      </c>
      <c r="Y25" s="176" t="e">
        <f t="shared" ca="1" si="37"/>
        <v>#N/A</v>
      </c>
      <c r="Z25" s="176" t="e">
        <f t="shared" ca="1" si="33"/>
        <v>#N/A</v>
      </c>
      <c r="AB25" s="176">
        <f t="shared" ca="1" si="7"/>
        <v>50</v>
      </c>
      <c r="AE25" s="112" t="str">
        <f t="shared" ca="1" si="34"/>
        <v>Ciudad de México</v>
      </c>
      <c r="AF25" s="112">
        <f t="shared" ca="1" si="35"/>
        <v>50</v>
      </c>
      <c r="AG25" s="112" t="e">
        <f t="shared" ca="1" si="8"/>
        <v>#N/A</v>
      </c>
      <c r="AH25" s="112" t="str">
        <f t="shared" ca="1" si="36"/>
        <v>50</v>
      </c>
      <c r="AI25" s="176" t="e">
        <f t="shared" ca="1" si="9"/>
        <v>#N/A</v>
      </c>
      <c r="AJ25" s="176" t="e">
        <f t="shared" ca="1" si="10"/>
        <v>#N/A</v>
      </c>
      <c r="AK25" s="176" t="e">
        <f t="shared" ca="1" si="11"/>
        <v>#N/A</v>
      </c>
      <c r="AL25" s="176" t="e">
        <f t="shared" ca="1" si="12"/>
        <v>#N/A</v>
      </c>
      <c r="AM25" s="176">
        <f t="shared" ca="1" si="13"/>
        <v>0</v>
      </c>
      <c r="AN25" s="176" t="str">
        <f t="shared" ca="1" si="14"/>
        <v/>
      </c>
      <c r="AO25" s="176" t="str">
        <f t="shared" ca="1" si="15"/>
        <v/>
      </c>
      <c r="AP25" s="176">
        <f t="shared" ca="1" si="16"/>
        <v>0</v>
      </c>
      <c r="AQ25" s="176" t="str">
        <f t="shared" ca="1" si="17"/>
        <v/>
      </c>
      <c r="AR25" s="176" t="str">
        <f t="shared" ca="1" si="18"/>
        <v/>
      </c>
      <c r="AS25" s="176">
        <f t="shared" ca="1" si="19"/>
        <v>0</v>
      </c>
      <c r="AT25" s="176" t="str">
        <f t="shared" ca="1" si="20"/>
        <v/>
      </c>
      <c r="AU25" s="176" t="str">
        <f t="shared" ca="1" si="21"/>
        <v/>
      </c>
      <c r="AV25" s="176">
        <f t="shared" ca="1" si="22"/>
        <v>0</v>
      </c>
      <c r="AW25" s="176" t="str">
        <f t="shared" ca="1" si="23"/>
        <v/>
      </c>
      <c r="AX25" s="176" t="str">
        <f t="shared" ca="1" si="24"/>
        <v/>
      </c>
    </row>
    <row r="26" spans="1:50">
      <c r="A26" s="176">
        <f>tblTerritories!A10</f>
        <v>8</v>
      </c>
      <c r="B26" s="176" t="str">
        <f>tblTerritories!B10</f>
        <v>QUIT</v>
      </c>
      <c r="C26" s="176" t="str">
        <f>tblTerritories!C10</f>
        <v>Quito</v>
      </c>
      <c r="D26" s="176">
        <f>tblTerritories!D10</f>
        <v>1</v>
      </c>
      <c r="E26" s="176">
        <f>tblTerritories!E10</f>
        <v>0</v>
      </c>
      <c r="F26" s="176">
        <f>tblTerritories!F10</f>
        <v>1</v>
      </c>
      <c r="G26" s="186">
        <f t="shared" ca="1" si="0"/>
        <v>100</v>
      </c>
      <c r="H26" s="176">
        <f ca="1">IF(F26=0,"",RANK(G26,G$19:G$30,$B$7)+COUNTIF(G$19:G26,G26)-1)</f>
        <v>2</v>
      </c>
      <c r="I26" s="176">
        <f t="shared" ca="1" si="1"/>
        <v>7</v>
      </c>
      <c r="J26" s="176">
        <f t="shared" ca="1" si="25"/>
        <v>1</v>
      </c>
      <c r="K26" s="187">
        <f t="shared" ca="1" si="2"/>
        <v>5</v>
      </c>
      <c r="L26" s="187">
        <f t="shared" ca="1" si="3"/>
        <v>1</v>
      </c>
      <c r="M26" s="185" t="str">
        <f t="shared" ca="1" si="26"/>
        <v>=5</v>
      </c>
      <c r="N26" s="176" t="str">
        <f t="shared" ca="1" si="4"/>
        <v>Montevideo</v>
      </c>
      <c r="O26" s="177">
        <f t="shared" ca="1" si="5"/>
        <v>50</v>
      </c>
      <c r="P26" s="188">
        <f t="shared" ca="1" si="27"/>
        <v>50</v>
      </c>
      <c r="Q26" s="189" t="str">
        <f ca="1">IF(ISNA(VLOOKUP(N26,uxb_regions!$C$3:$I$38,7,FALSE)),"",VLOOKUP(N26,uxb_regions!$C$3:$I$38,7,FALSE))</f>
        <v>MONT</v>
      </c>
      <c r="R26" s="185">
        <f t="shared" ca="1" si="28"/>
        <v>50</v>
      </c>
      <c r="S26" s="185">
        <f t="shared" ca="1" si="29"/>
        <v>2</v>
      </c>
      <c r="T26" s="176">
        <f t="shared" ca="1" si="30"/>
        <v>50</v>
      </c>
      <c r="U26" s="176">
        <f>1</f>
        <v>1</v>
      </c>
      <c r="V26" s="176">
        <f t="shared" ca="1" si="6"/>
        <v>1</v>
      </c>
      <c r="W26" s="176">
        <f t="shared" ca="1" si="31"/>
        <v>0</v>
      </c>
      <c r="X26" s="176" t="str">
        <f t="shared" ca="1" si="32"/>
        <v>MONT</v>
      </c>
      <c r="Y26" s="176" t="e">
        <f t="shared" ca="1" si="37"/>
        <v>#N/A</v>
      </c>
      <c r="Z26" s="176" t="e">
        <f t="shared" ca="1" si="33"/>
        <v>#N/A</v>
      </c>
      <c r="AB26" s="176">
        <f t="shared" ca="1" si="7"/>
        <v>50</v>
      </c>
      <c r="AE26" s="112" t="str">
        <f t="shared" ca="1" si="34"/>
        <v>Montevideo</v>
      </c>
      <c r="AF26" s="112">
        <f t="shared" ca="1" si="35"/>
        <v>50</v>
      </c>
      <c r="AG26" s="112" t="e">
        <f t="shared" ca="1" si="8"/>
        <v>#N/A</v>
      </c>
      <c r="AH26" s="112" t="str">
        <f t="shared" ca="1" si="36"/>
        <v>50</v>
      </c>
      <c r="AI26" s="176" t="e">
        <f t="shared" ca="1" si="9"/>
        <v>#N/A</v>
      </c>
      <c r="AJ26" s="176" t="e">
        <f t="shared" ca="1" si="10"/>
        <v>#N/A</v>
      </c>
      <c r="AK26" s="176" t="e">
        <f t="shared" ca="1" si="11"/>
        <v>#N/A</v>
      </c>
      <c r="AL26" s="176" t="e">
        <f t="shared" ca="1" si="12"/>
        <v>#N/A</v>
      </c>
      <c r="AM26" s="176">
        <f t="shared" ca="1" si="13"/>
        <v>0</v>
      </c>
      <c r="AN26" s="176" t="str">
        <f t="shared" ca="1" si="14"/>
        <v/>
      </c>
      <c r="AO26" s="176" t="str">
        <f t="shared" ca="1" si="15"/>
        <v/>
      </c>
      <c r="AP26" s="176">
        <f t="shared" ca="1" si="16"/>
        <v>0</v>
      </c>
      <c r="AQ26" s="176" t="str">
        <f t="shared" ca="1" si="17"/>
        <v/>
      </c>
      <c r="AR26" s="176" t="str">
        <f t="shared" ca="1" si="18"/>
        <v/>
      </c>
      <c r="AS26" s="176">
        <f t="shared" ca="1" si="19"/>
        <v>0</v>
      </c>
      <c r="AT26" s="176" t="str">
        <f t="shared" ca="1" si="20"/>
        <v/>
      </c>
      <c r="AU26" s="176" t="str">
        <f t="shared" ca="1" si="21"/>
        <v/>
      </c>
      <c r="AV26" s="176">
        <f t="shared" ca="1" si="22"/>
        <v>0</v>
      </c>
      <c r="AW26" s="176" t="str">
        <f t="shared" ca="1" si="23"/>
        <v/>
      </c>
      <c r="AX26" s="176" t="str">
        <f t="shared" ca="1" si="24"/>
        <v/>
      </c>
    </row>
    <row r="27" spans="1:50">
      <c r="A27" s="176">
        <f>tblTerritories!A11</f>
        <v>9</v>
      </c>
      <c r="B27" s="176" t="str">
        <f>tblTerritories!B11</f>
        <v>SANJ</v>
      </c>
      <c r="C27" s="176" t="str">
        <f>tblTerritories!C11</f>
        <v>San José</v>
      </c>
      <c r="D27" s="176">
        <f>tblTerritories!D11</f>
        <v>1</v>
      </c>
      <c r="E27" s="176">
        <f>tblTerritories!E11</f>
        <v>0</v>
      </c>
      <c r="F27" s="176">
        <f>tblTerritories!F11</f>
        <v>1</v>
      </c>
      <c r="G27" s="186">
        <f t="shared" ca="1" si="0"/>
        <v>0</v>
      </c>
      <c r="H27" s="176">
        <f ca="1">IF(F27=0,"",RANK(G27,G$19:G$30,$B$7)+COUNTIF(G$19:G27,G27)-1)</f>
        <v>11</v>
      </c>
      <c r="I27" s="176">
        <f t="shared" ca="1" si="1"/>
        <v>4</v>
      </c>
      <c r="J27" s="176">
        <f t="shared" ca="1" si="25"/>
        <v>1</v>
      </c>
      <c r="K27" s="187">
        <f t="shared" ca="1" si="2"/>
        <v>9</v>
      </c>
      <c r="L27" s="187">
        <f t="shared" ca="1" si="3"/>
        <v>1</v>
      </c>
      <c r="M27" s="185" t="str">
        <f t="shared" ca="1" si="26"/>
        <v>=9</v>
      </c>
      <c r="N27" s="176" t="str">
        <f t="shared" ca="1" si="4"/>
        <v>Ciudad de Belice</v>
      </c>
      <c r="O27" s="177">
        <f t="shared" ca="1" si="5"/>
        <v>0</v>
      </c>
      <c r="P27" s="188">
        <f t="shared" ca="1" si="27"/>
        <v>0</v>
      </c>
      <c r="Q27" s="189" t="str">
        <f ca="1">IF(ISNA(VLOOKUP(N27,uxb_regions!$C$3:$I$38,7,FALSE)),"",VLOOKUP(N27,uxb_regions!$C$3:$I$38,7,FALSE))</f>
        <v>CDBE</v>
      </c>
      <c r="R27" s="185">
        <f t="shared" ca="1" si="28"/>
        <v>0</v>
      </c>
      <c r="S27" s="185">
        <f t="shared" ca="1" si="29"/>
        <v>1</v>
      </c>
      <c r="T27" s="176">
        <f t="shared" ca="1" si="30"/>
        <v>0</v>
      </c>
      <c r="U27" s="176">
        <f>1</f>
        <v>1</v>
      </c>
      <c r="V27" s="176">
        <f t="shared" ca="1" si="6"/>
        <v>1</v>
      </c>
      <c r="W27" s="176">
        <f t="shared" ca="1" si="31"/>
        <v>0</v>
      </c>
      <c r="X27" s="176" t="str">
        <f t="shared" ca="1" si="32"/>
        <v>CDBE</v>
      </c>
      <c r="Y27" s="176" t="e">
        <f t="shared" ca="1" si="37"/>
        <v>#N/A</v>
      </c>
      <c r="Z27" s="176" t="e">
        <f t="shared" ca="1" si="33"/>
        <v>#N/A</v>
      </c>
      <c r="AB27" s="176">
        <f t="shared" ca="1" si="7"/>
        <v>0</v>
      </c>
      <c r="AE27" s="112" t="str">
        <f t="shared" ca="1" si="34"/>
        <v>Ciudad de Belice</v>
      </c>
      <c r="AF27" s="112">
        <f t="shared" ca="1" si="35"/>
        <v>0</v>
      </c>
      <c r="AG27" s="112" t="e">
        <f t="shared" ca="1" si="8"/>
        <v>#N/A</v>
      </c>
      <c r="AH27" s="112" t="str">
        <f t="shared" ca="1" si="36"/>
        <v>0</v>
      </c>
      <c r="AI27" s="176" t="e">
        <f t="shared" ca="1" si="9"/>
        <v>#N/A</v>
      </c>
      <c r="AJ27" s="176" t="e">
        <f t="shared" ca="1" si="10"/>
        <v>#N/A</v>
      </c>
      <c r="AK27" s="176" t="e">
        <f t="shared" ca="1" si="11"/>
        <v>#N/A</v>
      </c>
      <c r="AL27" s="176" t="e">
        <f t="shared" ca="1" si="12"/>
        <v>#N/A</v>
      </c>
      <c r="AM27" s="176">
        <f t="shared" ca="1" si="13"/>
        <v>0</v>
      </c>
      <c r="AN27" s="176" t="str">
        <f t="shared" ca="1" si="14"/>
        <v/>
      </c>
      <c r="AO27" s="176" t="str">
        <f t="shared" ca="1" si="15"/>
        <v/>
      </c>
      <c r="AP27" s="176">
        <f t="shared" ca="1" si="16"/>
        <v>0</v>
      </c>
      <c r="AQ27" s="176" t="str">
        <f t="shared" ca="1" si="17"/>
        <v/>
      </c>
      <c r="AR27" s="176" t="str">
        <f t="shared" ca="1" si="18"/>
        <v/>
      </c>
      <c r="AS27" s="176">
        <f t="shared" ca="1" si="19"/>
        <v>0</v>
      </c>
      <c r="AT27" s="176" t="str">
        <f t="shared" ca="1" si="20"/>
        <v/>
      </c>
      <c r="AU27" s="176" t="str">
        <f t="shared" ca="1" si="21"/>
        <v/>
      </c>
      <c r="AV27" s="176">
        <f t="shared" ca="1" si="22"/>
        <v>0</v>
      </c>
      <c r="AW27" s="176" t="str">
        <f t="shared" ca="1" si="23"/>
        <v/>
      </c>
      <c r="AX27" s="176" t="str">
        <f t="shared" ca="1" si="24"/>
        <v/>
      </c>
    </row>
    <row r="28" spans="1:50">
      <c r="A28" s="176">
        <f>tblTerritories!A12</f>
        <v>10</v>
      </c>
      <c r="B28" s="176" t="str">
        <f>tblTerritories!B12</f>
        <v>SAPA</v>
      </c>
      <c r="C28" s="176" t="str">
        <f>tblTerritories!C12</f>
        <v>San Pablo</v>
      </c>
      <c r="D28" s="176">
        <f>tblTerritories!D12</f>
        <v>1</v>
      </c>
      <c r="E28" s="176">
        <f>tblTerritories!E12</f>
        <v>0</v>
      </c>
      <c r="F28" s="176">
        <f>tblTerritories!F12</f>
        <v>1</v>
      </c>
      <c r="G28" s="186">
        <f t="shared" ca="1" si="0"/>
        <v>100</v>
      </c>
      <c r="H28" s="176">
        <f ca="1">IF(F28=0,"",RANK(G28,G$19:G$30,$B$7)+COUNTIF(G$19:G28,G28)-1)</f>
        <v>3</v>
      </c>
      <c r="I28" s="176">
        <f t="shared" ca="1" si="1"/>
        <v>6</v>
      </c>
      <c r="J28" s="176">
        <f t="shared" ca="1" si="25"/>
        <v>1</v>
      </c>
      <c r="K28" s="187">
        <f t="shared" ca="1" si="2"/>
        <v>9</v>
      </c>
      <c r="L28" s="187">
        <f t="shared" ca="1" si="3"/>
        <v>1</v>
      </c>
      <c r="M28" s="185" t="str">
        <f t="shared" ca="1" si="26"/>
        <v>=9</v>
      </c>
      <c r="N28" s="176" t="str">
        <f t="shared" ca="1" si="4"/>
        <v>Lima</v>
      </c>
      <c r="O28" s="177">
        <f t="shared" ca="1" si="5"/>
        <v>0</v>
      </c>
      <c r="P28" s="188">
        <f t="shared" ca="1" si="27"/>
        <v>0</v>
      </c>
      <c r="Q28" s="189" t="str">
        <f ca="1">IF(ISNA(VLOOKUP(N28,uxb_regions!$C$3:$I$38,7,FALSE)),"",VLOOKUP(N28,uxb_regions!$C$3:$I$38,7,FALSE))</f>
        <v>LIMA</v>
      </c>
      <c r="R28" s="185">
        <f t="shared" ca="1" si="28"/>
        <v>0</v>
      </c>
      <c r="S28" s="185">
        <f t="shared" ca="1" si="29"/>
        <v>1</v>
      </c>
      <c r="T28" s="176">
        <f t="shared" ca="1" si="30"/>
        <v>0</v>
      </c>
      <c r="U28" s="176">
        <f>1</f>
        <v>1</v>
      </c>
      <c r="V28" s="176">
        <f t="shared" ca="1" si="6"/>
        <v>1</v>
      </c>
      <c r="W28" s="176">
        <f t="shared" ca="1" si="31"/>
        <v>0</v>
      </c>
      <c r="X28" s="176" t="str">
        <f t="shared" ca="1" si="32"/>
        <v>LIMA</v>
      </c>
      <c r="Y28" s="176" t="e">
        <f t="shared" ca="1" si="37"/>
        <v>#N/A</v>
      </c>
      <c r="Z28" s="176" t="e">
        <f t="shared" ca="1" si="33"/>
        <v>#N/A</v>
      </c>
      <c r="AB28" s="176">
        <f t="shared" ca="1" si="7"/>
        <v>0</v>
      </c>
      <c r="AE28" s="112" t="str">
        <f t="shared" ca="1" si="34"/>
        <v>Lima</v>
      </c>
      <c r="AF28" s="112">
        <f t="shared" ca="1" si="35"/>
        <v>0</v>
      </c>
      <c r="AG28" s="112" t="e">
        <f t="shared" ca="1" si="8"/>
        <v>#N/A</v>
      </c>
      <c r="AH28" s="112" t="str">
        <f t="shared" ca="1" si="36"/>
        <v>0</v>
      </c>
      <c r="AI28" s="176" t="e">
        <f t="shared" ca="1" si="9"/>
        <v>#N/A</v>
      </c>
      <c r="AJ28" s="176" t="e">
        <f t="shared" ca="1" si="10"/>
        <v>#N/A</v>
      </c>
      <c r="AK28" s="176" t="e">
        <f t="shared" ca="1" si="11"/>
        <v>#N/A</v>
      </c>
      <c r="AL28" s="176" t="e">
        <f t="shared" ca="1" si="12"/>
        <v>#N/A</v>
      </c>
      <c r="AM28" s="176">
        <f t="shared" ca="1" si="13"/>
        <v>0</v>
      </c>
      <c r="AN28" s="176" t="str">
        <f t="shared" ca="1" si="14"/>
        <v/>
      </c>
      <c r="AO28" s="176" t="str">
        <f t="shared" ca="1" si="15"/>
        <v/>
      </c>
      <c r="AP28" s="176">
        <f t="shared" ca="1" si="16"/>
        <v>0</v>
      </c>
      <c r="AQ28" s="176" t="str">
        <f t="shared" ca="1" si="17"/>
        <v/>
      </c>
      <c r="AR28" s="176" t="str">
        <f t="shared" ca="1" si="18"/>
        <v/>
      </c>
      <c r="AS28" s="176">
        <f t="shared" ca="1" si="19"/>
        <v>0</v>
      </c>
      <c r="AT28" s="176" t="str">
        <f t="shared" ca="1" si="20"/>
        <v/>
      </c>
      <c r="AU28" s="176" t="str">
        <f t="shared" ca="1" si="21"/>
        <v/>
      </c>
      <c r="AV28" s="176">
        <f t="shared" ca="1" si="22"/>
        <v>0</v>
      </c>
      <c r="AW28" s="176" t="str">
        <f t="shared" ca="1" si="23"/>
        <v/>
      </c>
      <c r="AX28" s="176" t="str">
        <f t="shared" ca="1" si="24"/>
        <v/>
      </c>
    </row>
    <row r="29" spans="1:50">
      <c r="A29" s="176">
        <f>tblTerritories!A13</f>
        <v>11</v>
      </c>
      <c r="B29" s="176" t="str">
        <f>tblTerritories!B13</f>
        <v>SACR</v>
      </c>
      <c r="C29" s="176" t="str">
        <f>tblTerritories!C13</f>
        <v>Santa Cruz</v>
      </c>
      <c r="D29" s="176">
        <f>tblTerritories!D13</f>
        <v>1</v>
      </c>
      <c r="E29" s="176">
        <f>tblTerritories!E13</f>
        <v>0</v>
      </c>
      <c r="F29" s="176">
        <f>tblTerritories!F13</f>
        <v>1</v>
      </c>
      <c r="G29" s="186">
        <f t="shared" ca="1" si="0"/>
        <v>100</v>
      </c>
      <c r="H29" s="176">
        <f ca="1">IF(F29=0,"",RANK(G29,G$19:G$30,$B$7)+COUNTIF(G$19:G29,G29)-1)</f>
        <v>4</v>
      </c>
      <c r="I29" s="176">
        <f t="shared" ca="1" si="1"/>
        <v>9</v>
      </c>
      <c r="J29" s="176">
        <f t="shared" ca="1" si="25"/>
        <v>1</v>
      </c>
      <c r="K29" s="187">
        <f t="shared" ca="1" si="2"/>
        <v>9</v>
      </c>
      <c r="L29" s="187">
        <f t="shared" ca="1" si="3"/>
        <v>1</v>
      </c>
      <c r="M29" s="185" t="str">
        <f t="shared" ca="1" si="26"/>
        <v>=9</v>
      </c>
      <c r="N29" s="176" t="str">
        <f t="shared" ca="1" si="4"/>
        <v>San José</v>
      </c>
      <c r="O29" s="177">
        <f t="shared" ca="1" si="5"/>
        <v>0</v>
      </c>
      <c r="P29" s="188">
        <f t="shared" ca="1" si="27"/>
        <v>0</v>
      </c>
      <c r="Q29" s="189" t="str">
        <f ca="1">IF(ISNA(VLOOKUP(N29,uxb_regions!$C$3:$I$38,7,FALSE)),"",VLOOKUP(N29,uxb_regions!$C$3:$I$38,7,FALSE))</f>
        <v>SANJ</v>
      </c>
      <c r="R29" s="185">
        <f t="shared" ca="1" si="28"/>
        <v>0</v>
      </c>
      <c r="S29" s="185">
        <f t="shared" ca="1" si="29"/>
        <v>1</v>
      </c>
      <c r="T29" s="176">
        <f t="shared" ca="1" si="30"/>
        <v>0</v>
      </c>
      <c r="U29" s="176">
        <f>1</f>
        <v>1</v>
      </c>
      <c r="V29" s="176">
        <f t="shared" ca="1" si="6"/>
        <v>1</v>
      </c>
      <c r="W29" s="176">
        <f t="shared" ca="1" si="31"/>
        <v>0</v>
      </c>
      <c r="X29" s="176" t="str">
        <f t="shared" ca="1" si="32"/>
        <v>SANJ</v>
      </c>
      <c r="Y29" s="176" t="e">
        <f t="shared" ca="1" si="37"/>
        <v>#N/A</v>
      </c>
      <c r="Z29" s="176" t="e">
        <f t="shared" ca="1" si="33"/>
        <v>#N/A</v>
      </c>
      <c r="AB29" s="176">
        <f t="shared" ca="1" si="7"/>
        <v>0</v>
      </c>
      <c r="AE29" s="112" t="str">
        <f t="shared" ca="1" si="34"/>
        <v>San José</v>
      </c>
      <c r="AF29" s="112">
        <f t="shared" ca="1" si="35"/>
        <v>0</v>
      </c>
      <c r="AG29" s="112" t="e">
        <f t="shared" ca="1" si="8"/>
        <v>#N/A</v>
      </c>
      <c r="AH29" s="112" t="str">
        <f t="shared" ca="1" si="36"/>
        <v>0</v>
      </c>
      <c r="AI29" s="176" t="e">
        <f t="shared" ca="1" si="9"/>
        <v>#N/A</v>
      </c>
      <c r="AJ29" s="176" t="e">
        <f t="shared" ca="1" si="10"/>
        <v>#N/A</v>
      </c>
      <c r="AK29" s="176" t="e">
        <f t="shared" ca="1" si="11"/>
        <v>#N/A</v>
      </c>
      <c r="AL29" s="176" t="e">
        <f t="shared" ca="1" si="12"/>
        <v>#N/A</v>
      </c>
      <c r="AM29" s="176">
        <f t="shared" ca="1" si="13"/>
        <v>0</v>
      </c>
      <c r="AN29" s="176" t="str">
        <f t="shared" ca="1" si="14"/>
        <v/>
      </c>
      <c r="AO29" s="176" t="str">
        <f t="shared" ca="1" si="15"/>
        <v/>
      </c>
      <c r="AP29" s="176">
        <f t="shared" ca="1" si="16"/>
        <v>0</v>
      </c>
      <c r="AQ29" s="176" t="str">
        <f t="shared" ca="1" si="17"/>
        <v/>
      </c>
      <c r="AR29" s="176" t="str">
        <f t="shared" ca="1" si="18"/>
        <v/>
      </c>
      <c r="AS29" s="176">
        <f t="shared" ca="1" si="19"/>
        <v>0</v>
      </c>
      <c r="AT29" s="176" t="str">
        <f t="shared" ca="1" si="20"/>
        <v/>
      </c>
      <c r="AU29" s="176" t="str">
        <f t="shared" ca="1" si="21"/>
        <v/>
      </c>
      <c r="AV29" s="176">
        <f t="shared" ca="1" si="22"/>
        <v>0</v>
      </c>
      <c r="AW29" s="176" t="str">
        <f t="shared" ca="1" si="23"/>
        <v/>
      </c>
      <c r="AX29" s="176" t="str">
        <f t="shared" ca="1" si="24"/>
        <v/>
      </c>
    </row>
    <row r="30" spans="1:50">
      <c r="A30" s="176">
        <f>tblTerritories!A14</f>
        <v>12</v>
      </c>
      <c r="B30" s="176" t="str">
        <f>tblTerritories!B14</f>
        <v>SADC</v>
      </c>
      <c r="C30" s="176" t="str">
        <f>tblTerritories!C14</f>
        <v>Santiago de Chile</v>
      </c>
      <c r="D30" s="176">
        <f>tblTerritories!D14</f>
        <v>1</v>
      </c>
      <c r="E30" s="176">
        <f>tblTerritories!E14</f>
        <v>0</v>
      </c>
      <c r="F30" s="176">
        <f>tblTerritories!F14</f>
        <v>1</v>
      </c>
      <c r="G30" s="186">
        <f t="shared" ref="G30" ca="1" si="38">IF(F30=0,"",INDEX(aScores,$B$2,$A30))</f>
        <v>0</v>
      </c>
      <c r="H30" s="176">
        <f ca="1">IF(F30=0,"",RANK(G30,G$19:G$30,$B$7)+COUNTIF(G$19:G30,G30)-1)</f>
        <v>12</v>
      </c>
      <c r="I30" s="176">
        <f t="shared" ca="1" si="1"/>
        <v>12</v>
      </c>
      <c r="J30" s="176">
        <f t="shared" ref="J30" ca="1" si="39">IF(I30="","",1)</f>
        <v>1</v>
      </c>
      <c r="K30" s="187">
        <f t="shared" ca="1" si="2"/>
        <v>9</v>
      </c>
      <c r="L30" s="187">
        <f t="shared" ca="1" si="3"/>
        <v>1</v>
      </c>
      <c r="M30" s="185" t="str">
        <f t="shared" ref="M30" ca="1" si="40">IF(I30="","",IF(OR(K30=K29,K30=K31),CONCATENATE("=",K30),K30))</f>
        <v>=9</v>
      </c>
      <c r="N30" s="176" t="str">
        <f t="shared" ca="1" si="4"/>
        <v>Santiago de Chile</v>
      </c>
      <c r="O30" s="177">
        <f t="shared" ref="O30" ca="1" si="41">IF(I30="","",INDEX(aRoundedScores,$B$2,I30))</f>
        <v>0</v>
      </c>
      <c r="P30" s="188">
        <f t="shared" ref="P30" ca="1" si="42">IF(L30=0,"",IF($C$2=1,"-",O30))</f>
        <v>0</v>
      </c>
      <c r="Q30" s="189" t="str">
        <f ca="1">IF(ISNA(VLOOKUP(N30,uxb_regions!$C$3:$I$38,7,FALSE)),"",VLOOKUP(N30,uxb_regions!$C$3:$I$38,7,FALSE))</f>
        <v>SADC</v>
      </c>
      <c r="R30" s="185">
        <f t="shared" ref="R30" ca="1" si="43">IF(L30=0,"",O30)</f>
        <v>0</v>
      </c>
      <c r="S30" s="185">
        <f t="shared" ref="S30" ca="1" si="44">IF(Q30="","",CHOOSE($U$3,IF(R30&lt;=R$7,1,IF(R30&lt;=R$8,2,IF(R30&lt;=R$9,3,IF(R30&lt;=R$10,4))))))</f>
        <v>1</v>
      </c>
      <c r="T30" s="176">
        <f t="shared" ref="T30" ca="1" si="45">IF(ISNUMBER(O30),O30,NA())</f>
        <v>0</v>
      </c>
      <c r="U30" s="176">
        <f>1</f>
        <v>1</v>
      </c>
      <c r="V30" s="176">
        <f t="shared" ca="1" si="6"/>
        <v>1</v>
      </c>
      <c r="W30" s="176">
        <f t="shared" ref="W30" ca="1" si="46">IF(OR(V30=3,V30=2),Q30,0)</f>
        <v>0</v>
      </c>
      <c r="X30" s="176" t="str">
        <f t="shared" ref="X30" ca="1" si="47">IF(ISNA(V30),"",Q30)</f>
        <v>SADC</v>
      </c>
      <c r="Y30" s="176" t="e">
        <f t="shared" ref="Y30" ca="1" si="48">IF(L30=2,T30,NA())</f>
        <v>#N/A</v>
      </c>
      <c r="Z30" s="176" t="e">
        <f t="shared" ref="Z30" ca="1" si="49">IF(L30=2,1,NA())</f>
        <v>#N/A</v>
      </c>
      <c r="AB30" s="176">
        <f t="shared" ca="1" si="7"/>
        <v>0</v>
      </c>
      <c r="AE30" s="112" t="str">
        <f t="shared" ref="AE30" ca="1" si="50">IF(ISNUMBER(O30),N30,CONCATENATE(N30))</f>
        <v>Santiago de Chile</v>
      </c>
      <c r="AF30" s="112">
        <f t="shared" ref="AF30" ca="1" si="51">IF(ISNUMBER(P30),P30,"-")</f>
        <v>0</v>
      </c>
      <c r="AG30" s="112" t="e">
        <f t="shared" ref="AG30" ca="1" si="52">IF(W30=0,NA(),AF30)</f>
        <v>#N/A</v>
      </c>
      <c r="AH30" s="112" t="str">
        <f t="shared" ref="AH30" ca="1" si="53">TEXT(AF30,$Q$2)</f>
        <v>0</v>
      </c>
      <c r="AI30" s="176" t="e">
        <f t="shared" ca="1" si="9"/>
        <v>#N/A</v>
      </c>
      <c r="AJ30" s="176" t="e">
        <f t="shared" ca="1" si="10"/>
        <v>#N/A</v>
      </c>
      <c r="AK30" s="176" t="e">
        <f t="shared" ca="1" si="11"/>
        <v>#N/A</v>
      </c>
      <c r="AL30" s="176" t="e">
        <f t="shared" ca="1" si="12"/>
        <v>#N/A</v>
      </c>
      <c r="AM30" s="176">
        <f t="shared" ca="1" si="13"/>
        <v>0</v>
      </c>
      <c r="AN30" s="176" t="str">
        <f t="shared" ca="1" si="14"/>
        <v/>
      </c>
      <c r="AO30" s="176" t="str">
        <f t="shared" ca="1" si="15"/>
        <v/>
      </c>
      <c r="AP30" s="176">
        <f t="shared" ca="1" si="16"/>
        <v>0</v>
      </c>
      <c r="AQ30" s="176" t="str">
        <f t="shared" ca="1" si="17"/>
        <v/>
      </c>
      <c r="AR30" s="176" t="str">
        <f t="shared" ca="1" si="18"/>
        <v/>
      </c>
      <c r="AS30" s="176">
        <f t="shared" ca="1" si="19"/>
        <v>0</v>
      </c>
      <c r="AT30" s="176" t="str">
        <f t="shared" ca="1" si="20"/>
        <v/>
      </c>
      <c r="AU30" s="176" t="str">
        <f t="shared" ca="1" si="21"/>
        <v/>
      </c>
      <c r="AV30" s="176">
        <f t="shared" ca="1" si="22"/>
        <v>0</v>
      </c>
      <c r="AW30" s="176" t="str">
        <f t="shared" ca="1" si="23"/>
        <v/>
      </c>
      <c r="AX30" s="176" t="str">
        <f t="shared" ca="1" si="24"/>
        <v/>
      </c>
    </row>
    <row r="31" spans="1:50">
      <c r="K31" s="187"/>
      <c r="L31" s="187"/>
      <c r="M31" s="185"/>
      <c r="P31" s="188"/>
      <c r="Q31" s="189"/>
      <c r="R31" s="185"/>
      <c r="S31" s="185"/>
    </row>
    <row r="32" spans="1:50">
      <c r="K32" s="187"/>
      <c r="L32" s="187"/>
      <c r="M32" s="185"/>
      <c r="P32" s="188"/>
      <c r="Q32" s="189"/>
      <c r="R32" s="185"/>
      <c r="S32" s="185"/>
    </row>
    <row r="34" spans="10:19">
      <c r="J34" s="176">
        <v>1</v>
      </c>
      <c r="O34" s="177" t="e">
        <f>IF(uxb_works!B7&gt;1,INDEX(G18:G30,uxb_works!B7),NA())</f>
        <v>#N/A</v>
      </c>
    </row>
    <row r="36" spans="10:19">
      <c r="S36" s="190"/>
    </row>
    <row r="41" spans="10:19">
      <c r="P41" s="188"/>
      <c r="Q41" s="188"/>
    </row>
    <row r="42" spans="10:19">
      <c r="P42" s="188"/>
      <c r="Q42" s="188"/>
    </row>
    <row r="43" spans="10:19">
      <c r="P43" s="188"/>
      <c r="Q43" s="188"/>
    </row>
    <row r="44" spans="10:19">
      <c r="P44" s="188"/>
      <c r="Q44" s="188"/>
    </row>
    <row r="45" spans="10:19">
      <c r="P45" s="188"/>
      <c r="Q45" s="188"/>
    </row>
    <row r="46" spans="10:19">
      <c r="P46" s="188"/>
      <c r="Q46" s="188"/>
    </row>
    <row r="47" spans="10:19">
      <c r="P47" s="188"/>
      <c r="Q47" s="188"/>
    </row>
    <row r="48" spans="10:19">
      <c r="P48" s="188"/>
      <c r="Q48" s="188"/>
    </row>
    <row r="49" spans="16:17">
      <c r="P49" s="188"/>
      <c r="Q49" s="188"/>
    </row>
    <row r="50" spans="16:17">
      <c r="P50" s="188"/>
      <c r="Q50" s="188"/>
    </row>
    <row r="51" spans="16:17">
      <c r="P51" s="188"/>
      <c r="Q51" s="188"/>
    </row>
  </sheetData>
  <pageMargins left="0.55118110236220474" right="0.55118110236220474" top="0.59055118110236227" bottom="0.78740157480314965" header="0.51181102362204722" footer="0.51181102362204722"/>
  <pageSetup paperSize="9" scale="29" orientation="landscape" r:id="rId1"/>
  <headerFooter alignWithMargins="0">
    <oddHeader>&amp;RResultados del Modelo de Reciclaje Inclusivo</oddHeader>
  </headerFooter>
</worksheet>
</file>

<file path=xl/worksheets/sheet12.xml><?xml version="1.0" encoding="utf-8"?>
<worksheet xmlns="http://schemas.openxmlformats.org/spreadsheetml/2006/main" xmlns:r="http://schemas.openxmlformats.org/officeDocument/2006/relationships">
  <sheetPr codeName="Sheet51">
    <pageSetUpPr fitToPage="1"/>
  </sheetPr>
  <dimension ref="A1:BB53"/>
  <sheetViews>
    <sheetView showGridLines="0" showRowColHeaders="0" zoomScale="80" zoomScaleNormal="80" workbookViewId="0">
      <pane ySplit="3" topLeftCell="A4" activePane="bottomLeft" state="frozen"/>
      <selection activeCell="W14" sqref="W14"/>
      <selection pane="bottomLeft"/>
    </sheetView>
  </sheetViews>
  <sheetFormatPr defaultColWidth="9.140625" defaultRowHeight="12.75" customHeight="1" zeroHeight="1"/>
  <cols>
    <col min="1" max="1" width="2" style="213" customWidth="1"/>
    <col min="2" max="2" width="10.28515625" style="213" customWidth="1"/>
    <col min="3" max="6" width="9.140625" style="213"/>
    <col min="7" max="7" width="13.85546875" style="213" bestFit="1" customWidth="1"/>
    <col min="8" max="10" width="9.140625" style="213"/>
    <col min="11" max="11" width="9.42578125" style="213" customWidth="1"/>
    <col min="12" max="14" width="9.140625" style="213"/>
    <col min="15" max="15" width="11.28515625" style="213" customWidth="1"/>
    <col min="16" max="16" width="9.140625" style="212"/>
    <col min="17" max="17" width="20.5703125" style="213" customWidth="1"/>
    <col min="18" max="18" width="2" style="214" customWidth="1"/>
    <col min="19" max="19" width="9.140625" style="214"/>
    <col min="20" max="20" width="9.140625" style="213"/>
    <col min="21" max="21" width="14.7109375" style="213" customWidth="1"/>
    <col min="22" max="22" width="2.7109375" style="214" customWidth="1"/>
    <col min="23" max="16384" width="9.140625" style="213"/>
  </cols>
  <sheetData>
    <row r="1" spans="1:54" ht="26.1" customHeight="1">
      <c r="A1" s="563" t="str">
        <f>lang!C3</f>
        <v>Reciclaje Inclusivo: Modelo Interactivo de Excel</v>
      </c>
      <c r="B1" s="212"/>
      <c r="C1" s="212"/>
      <c r="D1" s="212"/>
      <c r="E1" s="212"/>
      <c r="F1" s="212"/>
      <c r="G1" s="212"/>
      <c r="H1" s="212"/>
      <c r="I1" s="212"/>
      <c r="J1" s="212"/>
      <c r="K1" s="212"/>
      <c r="L1" s="212"/>
      <c r="BA1" s="329">
        <v>5</v>
      </c>
      <c r="BB1" s="329">
        <v>0</v>
      </c>
    </row>
    <row r="2" spans="1:54" ht="30" customHeight="1">
      <c r="A2" s="211"/>
      <c r="B2" s="212"/>
      <c r="C2" s="212"/>
      <c r="D2" s="212"/>
      <c r="E2" s="212"/>
      <c r="F2" s="212"/>
      <c r="G2" s="212"/>
      <c r="H2" s="212"/>
      <c r="I2" s="212"/>
      <c r="J2" s="212"/>
      <c r="K2" s="212"/>
      <c r="L2" s="212"/>
      <c r="BA2" s="329"/>
      <c r="BB2" s="329"/>
    </row>
    <row r="3" spans="1:54" s="214" customFormat="1" ht="65.099999999999994" customHeight="1">
      <c r="A3" s="215"/>
      <c r="B3" s="215"/>
      <c r="C3" s="215"/>
      <c r="D3" s="215"/>
      <c r="E3" s="215"/>
      <c r="F3" s="215"/>
      <c r="G3" s="215"/>
      <c r="H3" s="215"/>
      <c r="I3" s="215"/>
      <c r="J3" s="215"/>
      <c r="K3" s="215"/>
      <c r="L3" s="215"/>
      <c r="P3" s="215"/>
    </row>
    <row r="4" spans="1:54" s="214" customFormat="1" ht="4.5" customHeight="1">
      <c r="B4" s="215"/>
      <c r="C4" s="215"/>
      <c r="D4" s="215"/>
      <c r="E4" s="215"/>
      <c r="F4" s="215"/>
      <c r="G4" s="215"/>
      <c r="H4" s="215"/>
      <c r="I4" s="215"/>
      <c r="J4" s="215"/>
      <c r="K4" s="215"/>
      <c r="L4" s="215"/>
      <c r="P4" s="215"/>
    </row>
    <row r="5" spans="1:54" s="214" customFormat="1" ht="12.75" customHeight="1">
      <c r="A5" s="215"/>
      <c r="B5" s="215"/>
      <c r="C5" s="216"/>
      <c r="D5" s="215"/>
      <c r="E5" s="215"/>
      <c r="F5" s="215"/>
      <c r="G5" s="215"/>
      <c r="H5" s="215"/>
      <c r="I5" s="215"/>
      <c r="J5" s="215"/>
      <c r="K5" s="215"/>
      <c r="L5" s="215"/>
      <c r="M5" s="215"/>
      <c r="N5" s="215"/>
      <c r="O5" s="215"/>
      <c r="P5" s="215"/>
      <c r="Q5" s="215"/>
      <c r="R5" s="215"/>
    </row>
    <row r="6" spans="1:54" ht="12.75" customHeight="1">
      <c r="A6" s="212"/>
      <c r="B6" s="212"/>
      <c r="C6" s="217"/>
      <c r="D6" s="212"/>
      <c r="E6" s="212"/>
      <c r="F6" s="212"/>
      <c r="G6" s="212"/>
      <c r="H6" s="212"/>
      <c r="I6" s="212"/>
      <c r="J6" s="212"/>
      <c r="K6" s="212"/>
      <c r="L6" s="212"/>
      <c r="M6" s="212"/>
      <c r="N6" s="212"/>
      <c r="O6" s="212"/>
      <c r="Q6" s="212"/>
      <c r="R6" s="215"/>
    </row>
    <row r="7" spans="1:54" ht="12.75" customHeight="1">
      <c r="A7" s="212"/>
      <c r="B7" s="212"/>
      <c r="C7" s="217"/>
      <c r="D7" s="212"/>
      <c r="E7" s="212"/>
      <c r="F7" s="212"/>
      <c r="G7" s="212"/>
      <c r="H7" s="212"/>
      <c r="I7" s="212"/>
      <c r="J7" s="212"/>
      <c r="K7" s="212"/>
      <c r="L7" s="212"/>
      <c r="M7" s="212"/>
      <c r="N7" s="212"/>
      <c r="O7" s="212"/>
      <c r="Q7" s="212"/>
      <c r="R7" s="215"/>
    </row>
    <row r="8" spans="1:54" ht="75" customHeight="1">
      <c r="A8" s="212"/>
      <c r="B8" s="212"/>
      <c r="C8" s="218"/>
      <c r="D8" s="212"/>
      <c r="E8" s="212"/>
      <c r="F8" s="212"/>
      <c r="G8" s="212"/>
      <c r="H8" s="212"/>
      <c r="I8" s="212"/>
      <c r="J8" s="212"/>
      <c r="K8" s="212"/>
      <c r="L8" s="212"/>
      <c r="M8" s="212"/>
      <c r="N8" s="212"/>
      <c r="O8" s="212"/>
      <c r="Q8" s="212"/>
      <c r="R8" s="215"/>
    </row>
    <row r="9" spans="1:54" ht="15.75" hidden="1">
      <c r="A9" s="212"/>
      <c r="B9" s="212"/>
      <c r="C9" s="219"/>
      <c r="D9" s="212"/>
      <c r="E9" s="212"/>
      <c r="F9" s="212"/>
      <c r="G9" s="212"/>
      <c r="H9" s="212"/>
      <c r="I9" s="212"/>
      <c r="J9" s="212"/>
      <c r="K9" s="220"/>
      <c r="L9" s="212"/>
      <c r="M9" s="212"/>
      <c r="N9" s="212"/>
      <c r="O9" s="212"/>
      <c r="Q9" s="212"/>
      <c r="R9" s="215"/>
    </row>
    <row r="10" spans="1:54" hidden="1">
      <c r="A10" s="212"/>
      <c r="B10" s="212"/>
      <c r="C10" s="212"/>
      <c r="D10" s="212"/>
      <c r="E10" s="212"/>
      <c r="F10" s="212"/>
      <c r="G10" s="212"/>
      <c r="H10" s="212"/>
      <c r="I10" s="212"/>
      <c r="J10" s="212"/>
      <c r="K10" s="212"/>
      <c r="L10" s="212"/>
      <c r="M10" s="212"/>
      <c r="N10" s="212"/>
      <c r="O10" s="212"/>
      <c r="Q10" s="212"/>
      <c r="R10" s="215"/>
    </row>
    <row r="11" spans="1:54">
      <c r="A11" s="212"/>
      <c r="B11" s="212"/>
      <c r="C11" s="212"/>
      <c r="D11" s="212"/>
      <c r="E11" s="212"/>
      <c r="F11" s="212"/>
      <c r="G11" s="212"/>
      <c r="H11" s="212"/>
      <c r="I11" s="212"/>
      <c r="J11" s="212"/>
      <c r="K11" s="221"/>
      <c r="L11" s="212"/>
      <c r="M11" s="212"/>
      <c r="N11" s="212"/>
      <c r="O11" s="212"/>
      <c r="Q11" s="212"/>
      <c r="R11" s="215"/>
    </row>
    <row r="12" spans="1:54">
      <c r="A12" s="212"/>
      <c r="B12" s="212"/>
      <c r="C12" s="212"/>
      <c r="D12" s="212"/>
      <c r="E12" s="212"/>
      <c r="F12" s="212"/>
      <c r="G12" s="212"/>
      <c r="H12" s="212"/>
      <c r="I12" s="212"/>
      <c r="J12" s="212"/>
      <c r="K12" s="221"/>
      <c r="L12" s="212"/>
      <c r="M12" s="212"/>
      <c r="N12" s="212"/>
      <c r="O12" s="212"/>
      <c r="Q12" s="212"/>
      <c r="R12" s="215"/>
    </row>
    <row r="13" spans="1:54" ht="15">
      <c r="A13" s="212"/>
      <c r="B13" s="212"/>
      <c r="C13" s="212"/>
      <c r="D13" s="212"/>
      <c r="E13" s="212"/>
      <c r="F13" s="212"/>
      <c r="G13" s="212"/>
      <c r="H13" s="212"/>
      <c r="I13" s="212"/>
      <c r="J13" s="212"/>
      <c r="K13" s="221"/>
      <c r="L13" s="212"/>
      <c r="M13" s="212"/>
      <c r="N13" s="212"/>
      <c r="O13" s="212"/>
      <c r="Q13" s="212"/>
      <c r="R13" s="215"/>
      <c r="S13" s="222"/>
    </row>
    <row r="14" spans="1:54">
      <c r="A14" s="212"/>
      <c r="B14" s="212"/>
      <c r="C14" s="212"/>
      <c r="D14" s="212"/>
      <c r="E14" s="212"/>
      <c r="F14" s="212"/>
      <c r="G14" s="212"/>
      <c r="H14" s="212"/>
      <c r="I14" s="212"/>
      <c r="J14" s="212"/>
      <c r="K14" s="221"/>
      <c r="L14" s="212"/>
      <c r="M14" s="212"/>
      <c r="N14" s="212"/>
      <c r="O14" s="212"/>
      <c r="Q14" s="212"/>
      <c r="R14" s="215"/>
    </row>
    <row r="15" spans="1:54">
      <c r="A15" s="212"/>
      <c r="B15" s="212"/>
      <c r="C15" s="212"/>
      <c r="D15" s="212"/>
      <c r="E15" s="212"/>
      <c r="F15" s="212"/>
      <c r="G15" s="212"/>
      <c r="H15" s="212"/>
      <c r="I15" s="212"/>
      <c r="J15" s="212"/>
      <c r="K15" s="221"/>
      <c r="L15" s="212"/>
      <c r="M15" s="212"/>
      <c r="N15" s="212"/>
      <c r="O15" s="212"/>
      <c r="Q15" s="212"/>
      <c r="R15" s="215"/>
    </row>
    <row r="16" spans="1:54">
      <c r="A16" s="212"/>
      <c r="B16" s="212"/>
      <c r="C16" s="212"/>
      <c r="D16" s="212"/>
      <c r="E16" s="212"/>
      <c r="F16" s="212"/>
      <c r="G16" s="212"/>
      <c r="H16" s="212"/>
      <c r="I16" s="212"/>
      <c r="J16" s="212"/>
      <c r="K16" s="221"/>
      <c r="L16" s="212"/>
      <c r="M16" s="212"/>
      <c r="N16" s="212"/>
      <c r="O16" s="212"/>
      <c r="Q16" s="212"/>
      <c r="R16" s="215"/>
    </row>
    <row r="17" spans="1:18">
      <c r="A17" s="212"/>
      <c r="B17" s="212"/>
      <c r="C17" s="212"/>
      <c r="D17" s="212"/>
      <c r="E17" s="212"/>
      <c r="F17" s="212"/>
      <c r="G17" s="212"/>
      <c r="H17" s="212"/>
      <c r="I17" s="212"/>
      <c r="J17" s="212"/>
      <c r="K17" s="221"/>
      <c r="L17" s="212"/>
      <c r="M17" s="212"/>
      <c r="N17" s="212"/>
      <c r="O17" s="212"/>
      <c r="Q17" s="212"/>
      <c r="R17" s="215"/>
    </row>
    <row r="18" spans="1:18">
      <c r="A18" s="212"/>
      <c r="B18" s="212"/>
      <c r="C18" s="212"/>
      <c r="D18" s="212"/>
      <c r="E18" s="212"/>
      <c r="F18" s="212"/>
      <c r="G18" s="212"/>
      <c r="H18" s="212"/>
      <c r="I18" s="212"/>
      <c r="J18" s="212"/>
      <c r="K18" s="221"/>
      <c r="L18" s="212"/>
      <c r="M18" s="212"/>
      <c r="N18" s="212"/>
      <c r="O18" s="212"/>
      <c r="Q18" s="212"/>
      <c r="R18" s="215"/>
    </row>
    <row r="19" spans="1:18">
      <c r="A19" s="212"/>
      <c r="B19" s="212"/>
      <c r="C19" s="212"/>
      <c r="D19" s="212"/>
      <c r="E19" s="212"/>
      <c r="F19" s="212"/>
      <c r="G19" s="212"/>
      <c r="H19" s="212"/>
      <c r="I19" s="212"/>
      <c r="J19" s="212"/>
      <c r="K19" s="221"/>
      <c r="L19" s="212"/>
      <c r="M19" s="212"/>
      <c r="N19" s="212"/>
      <c r="O19" s="212"/>
      <c r="Q19" s="212"/>
      <c r="R19" s="215"/>
    </row>
    <row r="20" spans="1:18">
      <c r="A20" s="212"/>
      <c r="B20" s="212"/>
      <c r="C20" s="212"/>
      <c r="D20" s="212"/>
      <c r="E20" s="212"/>
      <c r="F20" s="212"/>
      <c r="G20" s="212"/>
      <c r="H20" s="212"/>
      <c r="I20" s="212"/>
      <c r="J20" s="212"/>
      <c r="K20" s="221"/>
      <c r="L20" s="212"/>
      <c r="M20" s="212"/>
      <c r="N20" s="212"/>
      <c r="O20" s="212"/>
      <c r="Q20" s="212"/>
      <c r="R20" s="215"/>
    </row>
    <row r="21" spans="1:18" ht="15">
      <c r="A21" s="212"/>
      <c r="B21" s="212"/>
      <c r="D21" s="212"/>
      <c r="E21" s="223"/>
      <c r="F21" s="223"/>
      <c r="G21" s="212"/>
      <c r="H21" s="212"/>
      <c r="I21" s="212"/>
      <c r="J21" s="212"/>
      <c r="K21" s="212"/>
      <c r="M21" s="212"/>
      <c r="N21" s="212"/>
      <c r="O21" s="212"/>
      <c r="Q21" s="212"/>
      <c r="R21" s="215"/>
    </row>
    <row r="22" spans="1:18" ht="15">
      <c r="A22" s="212"/>
      <c r="B22" s="212"/>
      <c r="C22" s="224"/>
      <c r="D22" s="212"/>
      <c r="E22" s="223"/>
      <c r="F22" s="223"/>
      <c r="G22" s="212"/>
      <c r="H22" s="212"/>
      <c r="I22" s="225"/>
      <c r="J22" s="212"/>
      <c r="K22" s="212"/>
      <c r="M22" s="212"/>
      <c r="N22" s="226"/>
      <c r="O22" s="212"/>
      <c r="Q22" s="212"/>
      <c r="R22" s="215"/>
    </row>
    <row r="23" spans="1:18" ht="15">
      <c r="A23" s="212"/>
      <c r="B23" s="212"/>
      <c r="C23" s="223"/>
      <c r="D23" s="212"/>
      <c r="E23" s="223"/>
      <c r="F23" s="223"/>
      <c r="G23" s="212"/>
      <c r="H23" s="212"/>
      <c r="I23" s="212"/>
      <c r="J23" s="212"/>
      <c r="K23" s="212"/>
      <c r="M23" s="212"/>
      <c r="N23" s="227"/>
      <c r="O23" s="212"/>
      <c r="Q23" s="212"/>
      <c r="R23" s="215"/>
    </row>
    <row r="24" spans="1:18" ht="16.5" customHeight="1">
      <c r="A24" s="212"/>
      <c r="B24" s="212"/>
      <c r="C24" s="212"/>
      <c r="D24" s="212"/>
      <c r="E24" s="223"/>
      <c r="F24" s="223"/>
      <c r="G24" s="212"/>
      <c r="H24" s="212"/>
      <c r="I24" s="212"/>
      <c r="J24" s="212"/>
      <c r="K24" s="212"/>
      <c r="M24" s="212"/>
      <c r="N24" s="227"/>
      <c r="O24" s="212"/>
      <c r="Q24" s="212"/>
      <c r="R24" s="215"/>
    </row>
    <row r="25" spans="1:18" ht="16.5" customHeight="1">
      <c r="A25" s="212"/>
      <c r="B25" s="212"/>
      <c r="D25" s="223"/>
      <c r="E25" s="223"/>
      <c r="F25" s="223"/>
      <c r="G25" s="212"/>
      <c r="H25" s="212"/>
      <c r="I25" s="212"/>
      <c r="J25" s="212"/>
      <c r="K25" s="212"/>
      <c r="M25" s="212"/>
      <c r="O25" s="212"/>
      <c r="Q25" s="212"/>
      <c r="R25" s="215"/>
    </row>
    <row r="26" spans="1:18" ht="16.5" customHeight="1">
      <c r="A26" s="212"/>
      <c r="B26" s="212"/>
      <c r="C26" s="223"/>
      <c r="D26" s="223"/>
      <c r="E26" s="223"/>
      <c r="F26" s="223"/>
      <c r="G26" s="212"/>
      <c r="H26" s="212"/>
      <c r="I26" s="228"/>
      <c r="J26" s="212"/>
      <c r="K26" s="212"/>
      <c r="M26" s="212"/>
      <c r="O26" s="212"/>
      <c r="Q26" s="212"/>
      <c r="R26" s="215"/>
    </row>
    <row r="27" spans="1:18">
      <c r="A27" s="212"/>
      <c r="B27" s="212"/>
      <c r="C27" s="212"/>
      <c r="D27" s="212"/>
      <c r="E27" s="212"/>
      <c r="F27" s="212"/>
      <c r="G27" s="212"/>
      <c r="H27" s="212"/>
      <c r="I27" s="212"/>
      <c r="J27" s="212"/>
      <c r="K27" s="212"/>
      <c r="L27" s="212"/>
      <c r="M27" s="212"/>
      <c r="N27" s="212"/>
      <c r="O27" s="212"/>
      <c r="Q27" s="212"/>
      <c r="R27" s="215"/>
    </row>
    <row r="28" spans="1:18">
      <c r="A28" s="212"/>
      <c r="B28" s="212"/>
      <c r="C28" s="212"/>
      <c r="D28" s="212"/>
      <c r="E28" s="212"/>
      <c r="F28" s="212"/>
      <c r="G28" s="212"/>
      <c r="H28" s="212"/>
      <c r="I28" s="212"/>
      <c r="J28" s="212"/>
      <c r="K28" s="212"/>
      <c r="L28" s="212"/>
      <c r="M28" s="212"/>
      <c r="N28" s="212"/>
      <c r="O28" s="212"/>
      <c r="Q28" s="212"/>
      <c r="R28" s="215"/>
    </row>
    <row r="29" spans="1:18">
      <c r="A29" s="212"/>
      <c r="B29" s="212"/>
      <c r="C29" s="212"/>
      <c r="D29" s="212"/>
      <c r="E29" s="212"/>
      <c r="F29" s="212"/>
      <c r="G29" s="212"/>
      <c r="H29" s="212"/>
      <c r="I29" s="212"/>
      <c r="J29" s="212"/>
      <c r="K29" s="212"/>
      <c r="L29" s="212"/>
      <c r="M29" s="212"/>
      <c r="N29" s="212"/>
      <c r="O29" s="212"/>
      <c r="Q29" s="212"/>
      <c r="R29" s="215"/>
    </row>
    <row r="30" spans="1:18">
      <c r="A30" s="212"/>
      <c r="B30" s="212"/>
      <c r="C30" s="212"/>
      <c r="D30" s="212"/>
      <c r="E30" s="212"/>
      <c r="F30" s="212"/>
      <c r="G30" s="212"/>
      <c r="H30" s="212"/>
      <c r="I30" s="212"/>
      <c r="J30" s="212"/>
      <c r="K30" s="212"/>
      <c r="L30" s="212"/>
      <c r="M30" s="212"/>
      <c r="N30" s="212"/>
      <c r="O30" s="212"/>
      <c r="Q30" s="212"/>
      <c r="R30" s="215"/>
    </row>
    <row r="31" spans="1:18">
      <c r="A31" s="212"/>
      <c r="B31" s="212"/>
      <c r="C31" s="212"/>
      <c r="D31" s="212"/>
      <c r="E31" s="212"/>
      <c r="F31" s="212"/>
      <c r="G31" s="212"/>
      <c r="H31" s="212"/>
      <c r="I31" s="212"/>
      <c r="J31" s="212"/>
      <c r="K31" s="212"/>
      <c r="L31" s="212"/>
      <c r="M31" s="212"/>
      <c r="N31" s="212"/>
      <c r="O31" s="212"/>
      <c r="Q31" s="212"/>
      <c r="R31" s="215"/>
    </row>
    <row r="32" spans="1:18">
      <c r="A32" s="212"/>
      <c r="B32" s="212"/>
      <c r="C32" s="212"/>
      <c r="D32" s="212"/>
      <c r="E32" s="212"/>
      <c r="F32" s="212"/>
      <c r="G32" s="212"/>
      <c r="H32" s="212"/>
      <c r="I32" s="212"/>
      <c r="J32" s="212"/>
      <c r="K32" s="212"/>
      <c r="L32" s="212"/>
      <c r="M32" s="212"/>
      <c r="N32" s="212"/>
      <c r="O32" s="212"/>
      <c r="Q32" s="212"/>
      <c r="R32" s="215"/>
    </row>
    <row r="33" spans="1:18">
      <c r="A33" s="212"/>
      <c r="B33" s="212"/>
      <c r="C33" s="212"/>
      <c r="D33" s="212"/>
      <c r="E33" s="212"/>
      <c r="F33" s="212"/>
      <c r="G33" s="212"/>
      <c r="H33" s="212"/>
      <c r="I33" s="212"/>
      <c r="J33" s="212"/>
      <c r="K33" s="212"/>
      <c r="L33" s="212"/>
      <c r="M33" s="212"/>
      <c r="N33" s="212"/>
      <c r="O33" s="212"/>
      <c r="Q33" s="212"/>
      <c r="R33" s="215"/>
    </row>
    <row r="34" spans="1:18" ht="15.75">
      <c r="A34" s="212"/>
      <c r="B34" s="767"/>
      <c r="C34" s="767"/>
      <c r="D34" s="212"/>
      <c r="E34" s="212"/>
      <c r="F34" s="212"/>
      <c r="G34" s="212"/>
      <c r="H34" s="212"/>
      <c r="I34" s="212"/>
      <c r="J34" s="212"/>
      <c r="K34" s="212"/>
      <c r="L34" s="212"/>
      <c r="M34" s="212"/>
      <c r="N34" s="212"/>
      <c r="O34" s="212"/>
      <c r="Q34" s="212"/>
      <c r="R34" s="215"/>
    </row>
    <row r="35" spans="1:18">
      <c r="A35" s="212"/>
      <c r="B35" s="212"/>
      <c r="C35" s="212"/>
      <c r="D35" s="212"/>
      <c r="E35" s="212"/>
      <c r="F35" s="212"/>
      <c r="G35" s="212"/>
      <c r="H35" s="212"/>
      <c r="I35" s="212"/>
      <c r="J35" s="212"/>
      <c r="K35" s="212"/>
      <c r="L35" s="212"/>
      <c r="M35" s="212"/>
      <c r="N35" s="212"/>
      <c r="O35" s="212"/>
      <c r="Q35" s="212"/>
      <c r="R35" s="215"/>
    </row>
    <row r="36" spans="1:18">
      <c r="A36" s="212"/>
      <c r="B36" s="212"/>
      <c r="C36" s="212"/>
      <c r="D36" s="212"/>
      <c r="E36" s="212"/>
      <c r="F36" s="212"/>
      <c r="G36" s="212"/>
      <c r="H36" s="212"/>
      <c r="I36" s="212"/>
      <c r="J36" s="212"/>
      <c r="K36" s="212"/>
      <c r="L36" s="212"/>
      <c r="M36" s="212"/>
      <c r="N36" s="212"/>
      <c r="O36" s="212"/>
      <c r="Q36" s="212"/>
      <c r="R36" s="215"/>
    </row>
    <row r="37" spans="1:18" ht="15">
      <c r="A37" s="212"/>
      <c r="B37" s="223"/>
      <c r="C37" s="223"/>
      <c r="D37" s="223"/>
      <c r="E37" s="223"/>
      <c r="F37" s="223"/>
      <c r="G37" s="223"/>
      <c r="H37" s="223"/>
      <c r="I37" s="223"/>
      <c r="J37" s="212"/>
      <c r="K37" s="212"/>
      <c r="L37" s="212"/>
      <c r="M37" s="212"/>
      <c r="N37" s="212"/>
      <c r="O37" s="212"/>
      <c r="Q37" s="212"/>
      <c r="R37" s="215"/>
    </row>
    <row r="38" spans="1:18" ht="15">
      <c r="B38" s="229"/>
      <c r="C38" s="229"/>
      <c r="D38" s="229"/>
      <c r="E38" s="229"/>
      <c r="F38" s="229"/>
      <c r="G38" s="229"/>
      <c r="H38" s="229"/>
      <c r="I38" s="229"/>
    </row>
    <row r="39" spans="1:18" ht="15">
      <c r="B39" s="229"/>
      <c r="C39" s="229"/>
      <c r="D39" s="229"/>
      <c r="E39" s="229"/>
      <c r="F39" s="229"/>
      <c r="G39" s="229"/>
      <c r="H39" s="229"/>
      <c r="I39" s="229"/>
    </row>
    <row r="40" spans="1:18" ht="15">
      <c r="B40" s="229"/>
      <c r="C40" s="229"/>
      <c r="D40" s="229"/>
      <c r="E40" s="229"/>
      <c r="F40" s="229"/>
      <c r="G40" s="229"/>
      <c r="H40" s="229"/>
      <c r="I40" s="229"/>
    </row>
    <row r="41" spans="1:18" ht="15">
      <c r="B41" s="229"/>
      <c r="C41" s="229"/>
      <c r="D41" s="229"/>
      <c r="E41" s="229"/>
      <c r="F41" s="229"/>
      <c r="G41" s="229"/>
      <c r="H41" s="229"/>
      <c r="I41" s="229"/>
    </row>
    <row r="42" spans="1:18" ht="15">
      <c r="B42" s="229"/>
      <c r="C42" s="229"/>
      <c r="D42" s="229"/>
      <c r="E42" s="229"/>
      <c r="F42" s="229"/>
      <c r="G42" s="229"/>
      <c r="H42" s="229"/>
      <c r="I42" s="229"/>
    </row>
    <row r="43" spans="1:18" ht="15">
      <c r="B43" s="229"/>
      <c r="C43" s="229"/>
      <c r="D43" s="229"/>
      <c r="E43" s="229"/>
      <c r="F43" s="229"/>
      <c r="G43" s="229"/>
      <c r="H43" s="229"/>
      <c r="I43" s="229"/>
    </row>
    <row r="44" spans="1:18" ht="15">
      <c r="B44" s="229"/>
      <c r="C44" s="229"/>
      <c r="D44" s="229"/>
      <c r="E44" s="229"/>
      <c r="F44" s="229"/>
      <c r="G44" s="229"/>
      <c r="H44" s="229"/>
      <c r="I44" s="229"/>
    </row>
    <row r="45" spans="1:18" ht="15">
      <c r="B45" s="229"/>
      <c r="C45" s="229"/>
      <c r="D45" s="229"/>
      <c r="E45" s="229"/>
      <c r="F45" s="229"/>
      <c r="G45" s="229"/>
      <c r="H45" s="229"/>
      <c r="I45" s="229"/>
    </row>
    <row r="46" spans="1:18" ht="15">
      <c r="B46" s="229"/>
      <c r="C46" s="229"/>
      <c r="D46" s="229"/>
      <c r="E46" s="229"/>
      <c r="F46" s="229"/>
      <c r="G46" s="229"/>
      <c r="H46" s="229"/>
      <c r="I46" s="229"/>
    </row>
    <row r="47" spans="1:18" ht="12.75" customHeight="1"/>
    <row r="48" spans="1:18" ht="12.75" customHeight="1"/>
    <row r="49" ht="12.75" customHeight="1"/>
    <row r="50" ht="12.75" customHeight="1"/>
    <row r="51" ht="12.75" customHeight="1"/>
    <row r="52" ht="12.75" customHeight="1"/>
    <row r="53" ht="12.75" customHeight="1"/>
  </sheetData>
  <mergeCells count="1">
    <mergeCell ref="B34:C34"/>
  </mergeCells>
  <pageMargins left="0.55118110236220474" right="0.55118110236220474" top="0.59055118110236227" bottom="0.78740157480314965" header="0.51181102362204722" footer="0.51181102362204722"/>
  <pageSetup paperSize="9" scale="26" orientation="landscape" verticalDpi="300" r:id="rId1"/>
  <headerFooter alignWithMargins="0">
    <oddHeader>&amp;RResultados del Modelo de Reciclaje Inclusivo</oddHeader>
  </headerFooter>
  <drawing r:id="rId2"/>
</worksheet>
</file>

<file path=xl/worksheets/sheet13.xml><?xml version="1.0" encoding="utf-8"?>
<worksheet xmlns="http://schemas.openxmlformats.org/spreadsheetml/2006/main" xmlns:r="http://schemas.openxmlformats.org/officeDocument/2006/relationships">
  <sheetPr codeName="Sheet36">
    <pageSetUpPr autoPageBreaks="0" fitToPage="1"/>
  </sheetPr>
  <dimension ref="A1:BB72"/>
  <sheetViews>
    <sheetView showGridLines="0" showRowColHeaders="0" zoomScale="80" zoomScaleNormal="80" workbookViewId="0">
      <pane ySplit="10" topLeftCell="A11" activePane="bottomLeft" state="frozen"/>
      <selection activeCell="Z8" sqref="Z8"/>
      <selection pane="bottomLeft"/>
    </sheetView>
  </sheetViews>
  <sheetFormatPr defaultRowHeight="15" zeroHeight="1"/>
  <cols>
    <col min="1" max="1" width="9.42578125" style="78" customWidth="1"/>
    <col min="2" max="2" width="3.7109375" style="245" hidden="1" customWidth="1"/>
    <col min="3" max="4" width="5.140625" style="245" hidden="1" customWidth="1"/>
    <col min="5" max="5" width="1.42578125" style="245" customWidth="1"/>
    <col min="6" max="6" width="4.7109375" style="245" customWidth="1"/>
    <col min="7" max="7" width="33.28515625" style="245" customWidth="1"/>
    <col min="8" max="8" width="9.5703125" style="245" customWidth="1"/>
    <col min="9" max="9" width="19.5703125" style="245" customWidth="1"/>
    <col min="10" max="11" width="3.28515625" style="245" hidden="1" customWidth="1"/>
    <col min="12" max="12" width="1.42578125" style="245" customWidth="1"/>
    <col min="13" max="13" width="4.28515625" style="245" customWidth="1"/>
    <col min="14" max="14" width="33.28515625" style="245" customWidth="1"/>
    <col min="15" max="15" width="9.5703125" style="245" customWidth="1"/>
    <col min="16" max="16" width="19.5703125" style="245" customWidth="1"/>
    <col min="17" max="17" width="2.85546875" style="245" hidden="1" customWidth="1"/>
    <col min="18" max="18" width="3.7109375" style="245" hidden="1" customWidth="1"/>
    <col min="19" max="19" width="1.42578125" style="245" customWidth="1"/>
    <col min="20" max="20" width="4.28515625" style="245" customWidth="1"/>
    <col min="21" max="21" width="33.28515625" style="245" customWidth="1"/>
    <col min="22" max="22" width="9.5703125" style="245" customWidth="1"/>
    <col min="23" max="23" width="2.7109375" style="245" customWidth="1"/>
    <col min="24" max="24" width="1.85546875" style="245" customWidth="1"/>
    <col min="25" max="25" width="2.28515625" style="245" customWidth="1"/>
    <col min="26" max="26" width="1.42578125" style="245" customWidth="1"/>
    <col min="27" max="27" width="4.28515625" style="245" customWidth="1"/>
    <col min="28" max="28" width="21.140625" style="245" customWidth="1"/>
    <col min="29" max="29" width="5.42578125" style="245" bestFit="1" customWidth="1"/>
    <col min="30" max="30" width="2.7109375" style="245" customWidth="1"/>
    <col min="31" max="32" width="5.5703125" style="245" hidden="1" customWidth="1"/>
    <col min="33" max="33" width="1.42578125" style="245" customWidth="1"/>
    <col min="34" max="34" width="4.28515625" style="245" customWidth="1"/>
    <col min="35" max="35" width="21.140625" style="245" customWidth="1"/>
    <col min="36" max="36" width="5.42578125" style="245" customWidth="1"/>
    <col min="37" max="37" width="2.7109375" style="245" customWidth="1"/>
    <col min="38" max="39" width="5.5703125" style="245" hidden="1" customWidth="1"/>
    <col min="40" max="40" width="1.42578125" style="245" customWidth="1"/>
    <col min="41" max="41" width="4.28515625" style="245" customWidth="1"/>
    <col min="42" max="42" width="21.140625" style="245" customWidth="1"/>
    <col min="43" max="43" width="5.42578125" style="245" bestFit="1" customWidth="1"/>
    <col min="44" max="16384" width="9.140625" style="245"/>
  </cols>
  <sheetData>
    <row r="1" spans="1:54"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AE1" s="213">
        <v>2</v>
      </c>
      <c r="BA1" s="329">
        <v>2</v>
      </c>
      <c r="BB1" s="329">
        <v>0</v>
      </c>
    </row>
    <row r="2" spans="1:54" s="213" customFormat="1" ht="30" customHeight="1">
      <c r="A2" s="211"/>
      <c r="B2" s="212"/>
      <c r="C2" s="212"/>
      <c r="D2" s="212"/>
      <c r="E2" s="212"/>
      <c r="F2" s="212"/>
      <c r="G2" s="212"/>
      <c r="H2" s="212"/>
      <c r="I2" s="212"/>
      <c r="J2" s="212"/>
      <c r="K2" s="212"/>
      <c r="L2" s="212"/>
      <c r="P2" s="212"/>
      <c r="R2" s="214"/>
      <c r="S2" s="214"/>
      <c r="V2" s="214"/>
      <c r="BA2" s="329"/>
      <c r="BB2" s="329"/>
    </row>
    <row r="3" spans="1:54" s="214" customFormat="1" ht="65.099999999999994" customHeight="1">
      <c r="A3" s="215"/>
      <c r="B3" s="215"/>
      <c r="C3" s="215"/>
      <c r="D3" s="215"/>
      <c r="E3" s="215"/>
      <c r="F3" s="215"/>
      <c r="G3" s="215"/>
      <c r="H3" s="215"/>
      <c r="I3" s="215"/>
      <c r="J3" s="215"/>
      <c r="K3" s="215"/>
      <c r="L3" s="215"/>
      <c r="P3" s="215"/>
    </row>
    <row r="4" spans="1:54" ht="15.6" customHeight="1">
      <c r="C4" s="532"/>
      <c r="D4" s="532"/>
      <c r="E4" s="533" t="str">
        <f>lang!C94</f>
        <v>Puntaje normalizado 0-100, donde 100 = mejor</v>
      </c>
      <c r="F4" s="532"/>
      <c r="G4" s="532"/>
      <c r="H4" s="532"/>
      <c r="I4" s="532"/>
      <c r="M4" s="78"/>
      <c r="N4" s="78"/>
      <c r="O4" s="78"/>
      <c r="P4" s="78"/>
      <c r="Q4" s="78"/>
      <c r="R4" s="78"/>
      <c r="S4" s="78"/>
      <c r="T4" s="78"/>
      <c r="U4" s="78"/>
      <c r="V4" s="78"/>
      <c r="W4" s="78"/>
      <c r="X4" s="78"/>
      <c r="Y4" s="78"/>
      <c r="Z4" s="78"/>
      <c r="AA4" s="78"/>
      <c r="AB4" s="78"/>
      <c r="AC4" s="78"/>
      <c r="AE4" s="78"/>
      <c r="AF4" s="78"/>
      <c r="AG4" s="78"/>
      <c r="AH4" s="78"/>
      <c r="AI4" s="78"/>
      <c r="AJ4" s="78"/>
      <c r="AL4" s="78"/>
      <c r="AM4" s="78"/>
      <c r="AN4" s="78"/>
      <c r="AO4" s="78"/>
      <c r="AP4" s="78"/>
      <c r="AQ4" s="78"/>
    </row>
    <row r="5" spans="1:54" ht="16.5" customHeight="1">
      <c r="C5" s="532"/>
      <c r="D5" s="532"/>
      <c r="E5" s="533" t="str">
        <f>lang!C95</f>
        <v>Ranking de 12 ciudades, 100=mejor; '=' significa un empate entre dos o más ciudades</v>
      </c>
      <c r="F5" s="532"/>
      <c r="G5" s="532"/>
      <c r="H5" s="532"/>
      <c r="I5" s="532"/>
      <c r="M5" s="78"/>
      <c r="N5" s="78"/>
      <c r="O5" s="78"/>
      <c r="P5" s="78"/>
      <c r="Q5" s="78"/>
      <c r="R5" s="78"/>
      <c r="S5" s="78"/>
      <c r="T5" s="78"/>
      <c r="U5" s="78"/>
      <c r="V5" s="78"/>
      <c r="W5" s="78"/>
      <c r="X5" s="78"/>
    </row>
    <row r="6" spans="1:54" s="246" customFormat="1" ht="6.75" customHeight="1">
      <c r="A6" s="93"/>
      <c r="C6" s="247"/>
      <c r="D6" s="247"/>
      <c r="E6" s="247"/>
      <c r="F6" s="247"/>
      <c r="G6" s="247"/>
      <c r="H6" s="247"/>
      <c r="I6" s="247"/>
      <c r="M6" s="93"/>
      <c r="N6" s="93"/>
      <c r="O6" s="93"/>
      <c r="P6" s="93"/>
      <c r="Q6" s="93"/>
      <c r="R6" s="93"/>
      <c r="S6" s="93"/>
      <c r="T6" s="93"/>
      <c r="U6" s="93"/>
      <c r="V6" s="93"/>
      <c r="W6" s="93"/>
      <c r="X6" s="93"/>
    </row>
    <row r="7" spans="1:54" hidden="1">
      <c r="C7" s="248"/>
      <c r="D7" s="248"/>
      <c r="E7" s="248"/>
      <c r="F7" s="248"/>
      <c r="G7" s="248"/>
      <c r="H7" s="248"/>
      <c r="I7" s="248"/>
      <c r="M7" s="78"/>
      <c r="N7" s="78"/>
      <c r="O7" s="78"/>
      <c r="P7" s="78"/>
      <c r="Q7" s="78"/>
      <c r="R7" s="78"/>
      <c r="S7" s="78"/>
      <c r="T7" s="78"/>
      <c r="U7" s="78"/>
      <c r="V7" s="78"/>
      <c r="W7" s="78"/>
      <c r="X7" s="78"/>
    </row>
    <row r="8" spans="1:54" ht="3" customHeight="1">
      <c r="P8" s="78"/>
    </row>
    <row r="9" spans="1:54" s="251" customFormat="1" ht="48" customHeight="1">
      <c r="A9" s="249"/>
      <c r="B9" s="250"/>
      <c r="C9" s="250"/>
      <c r="D9" s="250"/>
      <c r="E9" s="769" t="str">
        <f>iSummary!Y6</f>
        <v>1) NORMATIVA</v>
      </c>
      <c r="F9" s="769"/>
      <c r="G9" s="769"/>
      <c r="H9" s="769"/>
      <c r="I9" s="277"/>
      <c r="J9" s="277"/>
      <c r="K9" s="277"/>
      <c r="L9" s="769" t="str">
        <f>iSummary!AJ6</f>
        <v>2) ORGANIZATIVA</v>
      </c>
      <c r="M9" s="769"/>
      <c r="N9" s="769"/>
      <c r="O9" s="769"/>
      <c r="P9" s="278"/>
      <c r="Q9" s="277"/>
      <c r="R9" s="277"/>
      <c r="S9" s="769" t="str">
        <f>iSummary!AU6</f>
        <v>3) MERCADO</v>
      </c>
      <c r="T9" s="769"/>
      <c r="U9" s="769"/>
      <c r="V9" s="769"/>
      <c r="W9" s="250"/>
      <c r="X9" s="250"/>
    </row>
    <row r="10" spans="1:54" s="284" customFormat="1" ht="19.5" customHeight="1">
      <c r="A10" s="279"/>
      <c r="B10" s="280"/>
      <c r="C10" s="280"/>
      <c r="D10" s="280"/>
      <c r="E10" s="281"/>
      <c r="F10" s="281"/>
      <c r="G10" s="282" t="str">
        <f>lang!$C$107</f>
        <v>Promedio</v>
      </c>
      <c r="H10" s="283">
        <f ca="1">iSummary!AA1</f>
        <v>45.44166666666667</v>
      </c>
      <c r="I10" s="280"/>
      <c r="J10" s="280"/>
      <c r="K10" s="280"/>
      <c r="L10" s="281"/>
      <c r="M10" s="281"/>
      <c r="N10" s="282" t="str">
        <f>lang!$C$107</f>
        <v>Promedio</v>
      </c>
      <c r="O10" s="283">
        <f ca="1">iSummary!AL1</f>
        <v>42.174999999999997</v>
      </c>
      <c r="P10" s="279"/>
      <c r="Q10" s="280"/>
      <c r="R10" s="280"/>
      <c r="S10" s="281"/>
      <c r="T10" s="281"/>
      <c r="U10" s="282" t="str">
        <f>lang!$C$107</f>
        <v>Promedio</v>
      </c>
      <c r="V10" s="283">
        <f ca="1">iSummary!AW1</f>
        <v>49.908333333333331</v>
      </c>
      <c r="W10" s="280"/>
      <c r="X10" s="280"/>
    </row>
    <row r="11" spans="1:54" ht="15" customHeight="1">
      <c r="B11" s="252"/>
      <c r="C11" s="256">
        <f ca="1">iSummary!X8</f>
        <v>1</v>
      </c>
      <c r="D11" s="252">
        <f t="shared" ref="D11:D21" ca="1" si="0">IF(C11=0,0,IF(H11&lt;=$B$36,1,IF(H11&lt;=$B$37,2,(IF(H11&lt;=$B$38,3,4)))))</f>
        <v>3</v>
      </c>
      <c r="E11" s="253"/>
      <c r="F11" s="254">
        <f ca="1">iSummary!Y8</f>
        <v>1</v>
      </c>
      <c r="G11" s="255" t="str">
        <f ca="1">iSummary!Z8</f>
        <v>San Pablo</v>
      </c>
      <c r="H11" s="579">
        <f ca="1">iSummary!AA8</f>
        <v>70.3</v>
      </c>
      <c r="I11" s="78"/>
      <c r="J11" s="78">
        <f ca="1">iSummary!AI8</f>
        <v>1</v>
      </c>
      <c r="K11" s="252">
        <f t="shared" ref="K11:K21" ca="1" si="1">IF(J11=0,0,IF(O11&lt;=$B$36,1,IF(O11&lt;=$B$37,2,(IF(O11&lt;=$B$38,3,4)))))</f>
        <v>4</v>
      </c>
      <c r="L11" s="253"/>
      <c r="M11" s="254">
        <f ca="1">iSummary!AJ8</f>
        <v>1</v>
      </c>
      <c r="N11" s="255" t="str">
        <f ca="1">iSummary!AK8</f>
        <v>Buenos Aires</v>
      </c>
      <c r="O11" s="579">
        <f ca="1">iSummary!AL8</f>
        <v>79.400000000000006</v>
      </c>
      <c r="P11" s="78"/>
      <c r="Q11" s="78">
        <f ca="1">iSummary!AT8</f>
        <v>1</v>
      </c>
      <c r="R11" s="252">
        <f t="shared" ref="R11:R21" ca="1" si="2">IF(Q11=0,0,IF(V11&lt;=$B$36,1,IF(V11&lt;=$B$37,2,(IF(V11&lt;=$B$38,3,4)))))</f>
        <v>4</v>
      </c>
      <c r="S11" s="253"/>
      <c r="T11" s="254">
        <f ca="1">iSummary!AU8</f>
        <v>1</v>
      </c>
      <c r="U11" s="255" t="str">
        <f ca="1">iSummary!AV8</f>
        <v>Buenos Aires</v>
      </c>
      <c r="V11" s="579">
        <f ca="1">iSummary!AW8</f>
        <v>92</v>
      </c>
      <c r="W11" s="78"/>
      <c r="X11" s="78"/>
      <c r="Y11" s="78"/>
      <c r="Z11" s="78"/>
      <c r="AA11" s="78"/>
      <c r="AB11" s="78"/>
      <c r="AC11" s="78"/>
      <c r="AD11" s="78"/>
    </row>
    <row r="12" spans="1:54" ht="15" customHeight="1">
      <c r="B12" s="252"/>
      <c r="C12" s="256">
        <f ca="1">iSummary!X9</f>
        <v>1</v>
      </c>
      <c r="D12" s="252">
        <f t="shared" ca="1" si="0"/>
        <v>3</v>
      </c>
      <c r="E12" s="253"/>
      <c r="F12" s="254">
        <f ca="1">iSummary!Y9</f>
        <v>2</v>
      </c>
      <c r="G12" s="255" t="str">
        <f ca="1">iSummary!Z9</f>
        <v>Buenos Aires</v>
      </c>
      <c r="H12" s="579">
        <f ca="1">iSummary!AA9</f>
        <v>65.099999999999994</v>
      </c>
      <c r="I12" s="78"/>
      <c r="J12" s="78">
        <f ca="1">iSummary!AI9</f>
        <v>1</v>
      </c>
      <c r="K12" s="252">
        <f t="shared" ca="1" si="1"/>
        <v>3</v>
      </c>
      <c r="L12" s="253"/>
      <c r="M12" s="254">
        <f ca="1">iSummary!AJ9</f>
        <v>2</v>
      </c>
      <c r="N12" s="255" t="str">
        <f ca="1">iSummary!AK9</f>
        <v>Bogotá</v>
      </c>
      <c r="O12" s="579">
        <f ca="1">iSummary!AL9</f>
        <v>70</v>
      </c>
      <c r="P12" s="78"/>
      <c r="Q12" s="78">
        <f ca="1">iSummary!AT9</f>
        <v>1</v>
      </c>
      <c r="R12" s="252">
        <f t="shared" ca="1" si="2"/>
        <v>3</v>
      </c>
      <c r="S12" s="253"/>
      <c r="T12" s="254">
        <f ca="1">iSummary!AU9</f>
        <v>2</v>
      </c>
      <c r="U12" s="255" t="str">
        <f ca="1">iSummary!AV9</f>
        <v>San Pablo</v>
      </c>
      <c r="V12" s="579">
        <f ca="1">iSummary!AW9</f>
        <v>72.099999999999994</v>
      </c>
      <c r="W12" s="78"/>
      <c r="X12" s="78"/>
      <c r="Y12" s="78"/>
      <c r="Z12" s="78"/>
      <c r="AA12" s="78"/>
      <c r="AB12" s="78"/>
      <c r="AC12" s="78"/>
      <c r="AD12" s="78"/>
    </row>
    <row r="13" spans="1:54" ht="15" customHeight="1">
      <c r="B13" s="252"/>
      <c r="C13" s="256">
        <f ca="1">iSummary!X10</f>
        <v>1</v>
      </c>
      <c r="D13" s="252">
        <f t="shared" ca="1" si="0"/>
        <v>3</v>
      </c>
      <c r="E13" s="253"/>
      <c r="F13" s="254" t="str">
        <f ca="1">iSummary!Y10</f>
        <v>=3</v>
      </c>
      <c r="G13" s="255" t="str">
        <f ca="1">iSummary!Z10</f>
        <v>Bogotá</v>
      </c>
      <c r="H13" s="579">
        <f ca="1">iSummary!AA10</f>
        <v>62.5</v>
      </c>
      <c r="I13" s="78"/>
      <c r="J13" s="78">
        <f ca="1">iSummary!AI10</f>
        <v>1</v>
      </c>
      <c r="K13" s="252">
        <f t="shared" ca="1" si="1"/>
        <v>3</v>
      </c>
      <c r="L13" s="253"/>
      <c r="M13" s="254">
        <f ca="1">iSummary!AJ10</f>
        <v>3</v>
      </c>
      <c r="N13" s="255" t="str">
        <f ca="1">iSummary!AK10</f>
        <v>San Pablo</v>
      </c>
      <c r="O13" s="579">
        <f ca="1">iSummary!AL10</f>
        <v>68.900000000000006</v>
      </c>
      <c r="P13" s="78"/>
      <c r="Q13" s="78">
        <f ca="1">iSummary!AT10</f>
        <v>1</v>
      </c>
      <c r="R13" s="252">
        <f t="shared" ca="1" si="2"/>
        <v>3</v>
      </c>
      <c r="S13" s="253"/>
      <c r="T13" s="254">
        <f ca="1">iSummary!AU10</f>
        <v>3</v>
      </c>
      <c r="U13" s="255" t="str">
        <f ca="1">iSummary!AV10</f>
        <v>Bogotá</v>
      </c>
      <c r="V13" s="579">
        <f ca="1">iSummary!AW10</f>
        <v>62.9</v>
      </c>
      <c r="W13" s="78"/>
      <c r="X13" s="78"/>
      <c r="Y13" s="78"/>
      <c r="Z13" s="78"/>
      <c r="AA13" s="78"/>
      <c r="AB13" s="78"/>
      <c r="AC13" s="78"/>
      <c r="AD13" s="78"/>
    </row>
    <row r="14" spans="1:54" ht="15" customHeight="1">
      <c r="B14" s="252"/>
      <c r="C14" s="256">
        <f ca="1">iSummary!X11</f>
        <v>1</v>
      </c>
      <c r="D14" s="252">
        <f t="shared" ca="1" si="0"/>
        <v>3</v>
      </c>
      <c r="E14" s="253"/>
      <c r="F14" s="254" t="str">
        <f ca="1">iSummary!Y11</f>
        <v>=3</v>
      </c>
      <c r="G14" s="255" t="str">
        <f ca="1">iSummary!Z11</f>
        <v>Lima</v>
      </c>
      <c r="H14" s="579">
        <f ca="1">iSummary!AA11</f>
        <v>62.5</v>
      </c>
      <c r="I14" s="78"/>
      <c r="J14" s="78">
        <f ca="1">iSummary!AI11</f>
        <v>1</v>
      </c>
      <c r="K14" s="252">
        <f t="shared" ca="1" si="1"/>
        <v>3</v>
      </c>
      <c r="L14" s="253"/>
      <c r="M14" s="254">
        <f ca="1">iSummary!AJ11</f>
        <v>4</v>
      </c>
      <c r="N14" s="255" t="str">
        <f ca="1">iSummary!AK11</f>
        <v>Ciudad de México</v>
      </c>
      <c r="O14" s="579">
        <f ca="1">iSummary!AL11</f>
        <v>51.7</v>
      </c>
      <c r="P14" s="78"/>
      <c r="Q14" s="78">
        <f ca="1">iSummary!AT11</f>
        <v>1</v>
      </c>
      <c r="R14" s="252">
        <f t="shared" ca="1" si="2"/>
        <v>3</v>
      </c>
      <c r="S14" s="253"/>
      <c r="T14" s="254">
        <f ca="1">iSummary!AU11</f>
        <v>4</v>
      </c>
      <c r="U14" s="255" t="str">
        <f ca="1">iSummary!AV11</f>
        <v>Santiago de Chile</v>
      </c>
      <c r="V14" s="579">
        <f ca="1">iSummary!AW11</f>
        <v>55.4</v>
      </c>
      <c r="W14" s="78"/>
      <c r="X14" s="78"/>
      <c r="Y14" s="78"/>
      <c r="Z14" s="78"/>
      <c r="AA14" s="78"/>
      <c r="AB14" s="78"/>
      <c r="AC14" s="78"/>
      <c r="AD14" s="78"/>
    </row>
    <row r="15" spans="1:54" ht="15" customHeight="1">
      <c r="B15" s="252"/>
      <c r="C15" s="256">
        <f ca="1">iSummary!X12</f>
        <v>1</v>
      </c>
      <c r="D15" s="252">
        <f t="shared" ca="1" si="0"/>
        <v>3</v>
      </c>
      <c r="E15" s="253"/>
      <c r="F15" s="254">
        <f ca="1">iSummary!Y12</f>
        <v>5</v>
      </c>
      <c r="G15" s="255" t="str">
        <f ca="1">iSummary!Z12</f>
        <v>Santa Cruz</v>
      </c>
      <c r="H15" s="579">
        <f ca="1">iSummary!AA12</f>
        <v>52.1</v>
      </c>
      <c r="I15" s="78"/>
      <c r="J15" s="78">
        <f ca="1">iSummary!AI12</f>
        <v>1</v>
      </c>
      <c r="K15" s="252">
        <f t="shared" ca="1" si="1"/>
        <v>2</v>
      </c>
      <c r="L15" s="253"/>
      <c r="M15" s="254" t="str">
        <f ca="1">iSummary!AJ12</f>
        <v>=5</v>
      </c>
      <c r="N15" s="255" t="str">
        <f ca="1">iSummary!AK12</f>
        <v>Lima</v>
      </c>
      <c r="O15" s="579">
        <f ca="1">iSummary!AL12</f>
        <v>46.7</v>
      </c>
      <c r="P15" s="78"/>
      <c r="Q15" s="78">
        <f ca="1">iSummary!AT12</f>
        <v>1</v>
      </c>
      <c r="R15" s="252">
        <f t="shared" ca="1" si="2"/>
        <v>3</v>
      </c>
      <c r="S15" s="253"/>
      <c r="T15" s="254">
        <f ca="1">iSummary!AU12</f>
        <v>5</v>
      </c>
      <c r="U15" s="255" t="str">
        <f ca="1">iSummary!AV12</f>
        <v>Lima</v>
      </c>
      <c r="V15" s="579">
        <f ca="1">iSummary!AW12</f>
        <v>52.1</v>
      </c>
      <c r="W15" s="78"/>
      <c r="X15" s="78"/>
      <c r="Y15" s="78"/>
      <c r="Z15" s="78"/>
      <c r="AA15" s="78"/>
      <c r="AB15" s="78"/>
      <c r="AC15" s="78"/>
      <c r="AD15" s="78"/>
    </row>
    <row r="16" spans="1:54" ht="15" customHeight="1">
      <c r="B16" s="252"/>
      <c r="C16" s="256">
        <f ca="1">iSummary!X13</f>
        <v>1</v>
      </c>
      <c r="D16" s="252">
        <f t="shared" ca="1" si="0"/>
        <v>2</v>
      </c>
      <c r="E16" s="253"/>
      <c r="F16" s="254">
        <f ca="1">iSummary!Y13</f>
        <v>6</v>
      </c>
      <c r="G16" s="255" t="str">
        <f ca="1">iSummary!Z13</f>
        <v>Montevideo</v>
      </c>
      <c r="H16" s="579">
        <f ca="1">iSummary!AA13</f>
        <v>43.2</v>
      </c>
      <c r="I16" s="78"/>
      <c r="J16" s="78">
        <f ca="1">iSummary!AI13</f>
        <v>1</v>
      </c>
      <c r="K16" s="252">
        <f t="shared" ca="1" si="1"/>
        <v>2</v>
      </c>
      <c r="L16" s="253"/>
      <c r="M16" s="254" t="str">
        <f ca="1">iSummary!AJ13</f>
        <v>=5</v>
      </c>
      <c r="N16" s="255" t="str">
        <f ca="1">iSummary!AK13</f>
        <v>Quito</v>
      </c>
      <c r="O16" s="579">
        <f ca="1">iSummary!AL13</f>
        <v>46.7</v>
      </c>
      <c r="P16" s="78"/>
      <c r="Q16" s="78">
        <f ca="1">iSummary!AT13</f>
        <v>1</v>
      </c>
      <c r="R16" s="252">
        <f t="shared" ca="1" si="2"/>
        <v>3</v>
      </c>
      <c r="S16" s="253"/>
      <c r="T16" s="254">
        <f ca="1">iSummary!AU13</f>
        <v>6</v>
      </c>
      <c r="U16" s="255" t="str">
        <f ca="1">iSummary!AV13</f>
        <v>Ciudad de México</v>
      </c>
      <c r="V16" s="579">
        <f ca="1">iSummary!AW13</f>
        <v>50.5</v>
      </c>
      <c r="W16" s="78"/>
      <c r="X16" s="78"/>
      <c r="Y16" s="78"/>
      <c r="Z16" s="78"/>
      <c r="AA16" s="78"/>
      <c r="AB16" s="78"/>
      <c r="AC16" s="78"/>
      <c r="AD16" s="78"/>
    </row>
    <row r="17" spans="2:30" ht="15" customHeight="1">
      <c r="B17" s="252"/>
      <c r="C17" s="256">
        <f ca="1">iSummary!X14</f>
        <v>1</v>
      </c>
      <c r="D17" s="252">
        <f t="shared" ca="1" si="0"/>
        <v>2</v>
      </c>
      <c r="E17" s="253"/>
      <c r="F17" s="254">
        <f ca="1">iSummary!Y14</f>
        <v>7</v>
      </c>
      <c r="G17" s="255" t="str">
        <f ca="1">iSummary!Z14</f>
        <v>Quito</v>
      </c>
      <c r="H17" s="579">
        <f ca="1">iSummary!AA14</f>
        <v>42.2</v>
      </c>
      <c r="I17" s="78"/>
      <c r="J17" s="78">
        <f ca="1">iSummary!AI14</f>
        <v>1</v>
      </c>
      <c r="K17" s="252">
        <f t="shared" ca="1" si="1"/>
        <v>2</v>
      </c>
      <c r="L17" s="253"/>
      <c r="M17" s="254" t="str">
        <f ca="1">iSummary!AJ14</f>
        <v>=5</v>
      </c>
      <c r="N17" s="255" t="str">
        <f ca="1">iSummary!AK14</f>
        <v>Santa Cruz</v>
      </c>
      <c r="O17" s="579">
        <f ca="1">iSummary!AL14</f>
        <v>46.7</v>
      </c>
      <c r="P17" s="78"/>
      <c r="Q17" s="78">
        <f ca="1">iSummary!AT14</f>
        <v>1</v>
      </c>
      <c r="R17" s="252">
        <f t="shared" ca="1" si="2"/>
        <v>2</v>
      </c>
      <c r="S17" s="253"/>
      <c r="T17" s="254">
        <f ca="1">iSummary!AU14</f>
        <v>7</v>
      </c>
      <c r="U17" s="255" t="str">
        <f ca="1">iSummary!AV14</f>
        <v>Santa Cruz</v>
      </c>
      <c r="V17" s="579">
        <f ca="1">iSummary!AW14</f>
        <v>47.8</v>
      </c>
      <c r="W17" s="78"/>
      <c r="X17" s="78"/>
      <c r="Y17" s="78"/>
      <c r="Z17" s="78"/>
      <c r="AA17" s="78"/>
      <c r="AB17" s="78"/>
      <c r="AC17" s="78"/>
      <c r="AD17" s="78"/>
    </row>
    <row r="18" spans="2:30" ht="15" customHeight="1">
      <c r="B18" s="252"/>
      <c r="C18" s="256">
        <f ca="1">iSummary!X15</f>
        <v>1</v>
      </c>
      <c r="D18" s="252">
        <f t="shared" ca="1" si="0"/>
        <v>2</v>
      </c>
      <c r="E18" s="253"/>
      <c r="F18" s="254">
        <f ca="1">iSummary!Y15</f>
        <v>8</v>
      </c>
      <c r="G18" s="255" t="str">
        <f ca="1">iSummary!Z15</f>
        <v>Santiago de Chile</v>
      </c>
      <c r="H18" s="579">
        <f ca="1">iSummary!AA15</f>
        <v>39.1</v>
      </c>
      <c r="I18" s="78"/>
      <c r="J18" s="78">
        <f ca="1">iSummary!AI15</f>
        <v>1</v>
      </c>
      <c r="K18" s="252">
        <f t="shared" ca="1" si="1"/>
        <v>2</v>
      </c>
      <c r="L18" s="253"/>
      <c r="M18" s="254">
        <f ca="1">iSummary!AJ15</f>
        <v>8</v>
      </c>
      <c r="N18" s="255" t="str">
        <f ca="1">iSummary!AK15</f>
        <v>Santiago de Chile</v>
      </c>
      <c r="O18" s="579">
        <f ca="1">iSummary!AL15</f>
        <v>34.4</v>
      </c>
      <c r="P18" s="78"/>
      <c r="Q18" s="78">
        <f ca="1">iSummary!AT15</f>
        <v>1</v>
      </c>
      <c r="R18" s="252">
        <f t="shared" ca="1" si="2"/>
        <v>2</v>
      </c>
      <c r="S18" s="253"/>
      <c r="T18" s="254">
        <f ca="1">iSummary!AU15</f>
        <v>8</v>
      </c>
      <c r="U18" s="255" t="str">
        <f ca="1">iSummary!AV15</f>
        <v>Montevideo</v>
      </c>
      <c r="V18" s="579">
        <f ca="1">iSummary!AW15</f>
        <v>41.2</v>
      </c>
      <c r="W18" s="78"/>
      <c r="X18" s="78"/>
      <c r="Y18" s="78"/>
      <c r="Z18" s="78"/>
      <c r="AA18" s="78"/>
      <c r="AB18" s="78"/>
      <c r="AC18" s="78"/>
      <c r="AD18" s="78"/>
    </row>
    <row r="19" spans="2:30" ht="15" customHeight="1">
      <c r="B19" s="252"/>
      <c r="C19" s="256">
        <f ca="1">iSummary!X16</f>
        <v>1</v>
      </c>
      <c r="D19" s="252">
        <f t="shared" ca="1" si="0"/>
        <v>2</v>
      </c>
      <c r="E19" s="253"/>
      <c r="F19" s="254">
        <f ca="1">iSummary!Y16</f>
        <v>9</v>
      </c>
      <c r="G19" s="255" t="str">
        <f ca="1">iSummary!Z16</f>
        <v>Ciudad de México</v>
      </c>
      <c r="H19" s="579">
        <f ca="1">iSummary!AA16</f>
        <v>33.9</v>
      </c>
      <c r="I19" s="78"/>
      <c r="J19" s="78">
        <f ca="1">iSummary!AI16</f>
        <v>1</v>
      </c>
      <c r="K19" s="252">
        <f t="shared" ca="1" si="1"/>
        <v>2</v>
      </c>
      <c r="L19" s="253"/>
      <c r="M19" s="254">
        <f ca="1">iSummary!AJ16</f>
        <v>9</v>
      </c>
      <c r="N19" s="255" t="str">
        <f ca="1">iSummary!AK16</f>
        <v>Montevideo</v>
      </c>
      <c r="O19" s="579">
        <f ca="1">iSummary!AL16</f>
        <v>33.299999999999997</v>
      </c>
      <c r="P19" s="78"/>
      <c r="Q19" s="78">
        <f ca="1">iSummary!AT16</f>
        <v>1</v>
      </c>
      <c r="R19" s="252">
        <f t="shared" ca="1" si="2"/>
        <v>2</v>
      </c>
      <c r="S19" s="253"/>
      <c r="T19" s="254">
        <f ca="1">iSummary!AU16</f>
        <v>9</v>
      </c>
      <c r="U19" s="255" t="str">
        <f ca="1">iSummary!AV16</f>
        <v>Ciudad de Belice</v>
      </c>
      <c r="V19" s="579">
        <f ca="1">iSummary!AW16</f>
        <v>36.6</v>
      </c>
      <c r="W19" s="78"/>
      <c r="X19" s="78"/>
      <c r="Y19" s="78"/>
      <c r="Z19" s="78"/>
      <c r="AA19" s="78"/>
      <c r="AB19" s="78"/>
      <c r="AC19" s="78"/>
      <c r="AD19" s="78"/>
    </row>
    <row r="20" spans="2:30" ht="15" customHeight="1">
      <c r="B20" s="252"/>
      <c r="C20" s="256">
        <f ca="1">iSummary!X17</f>
        <v>1</v>
      </c>
      <c r="D20" s="252">
        <f t="shared" ca="1" si="0"/>
        <v>2</v>
      </c>
      <c r="E20" s="253"/>
      <c r="F20" s="254">
        <f ca="1">iSummary!Y17</f>
        <v>10</v>
      </c>
      <c r="G20" s="255" t="str">
        <f ca="1">iSummary!Z17</f>
        <v>Asunción</v>
      </c>
      <c r="H20" s="579">
        <f ca="1">iSummary!AA17</f>
        <v>32.799999999999997</v>
      </c>
      <c r="I20" s="78"/>
      <c r="J20" s="78">
        <f ca="1">iSummary!AI17</f>
        <v>1</v>
      </c>
      <c r="K20" s="252">
        <f t="shared" ca="1" si="1"/>
        <v>2</v>
      </c>
      <c r="L20" s="253"/>
      <c r="M20" s="254">
        <f ca="1">iSummary!AJ17</f>
        <v>10</v>
      </c>
      <c r="N20" s="255" t="str">
        <f ca="1">iSummary!AK17</f>
        <v>Asunción</v>
      </c>
      <c r="O20" s="579">
        <f ca="1">iSummary!AL17</f>
        <v>28.3</v>
      </c>
      <c r="P20" s="78"/>
      <c r="Q20" s="78">
        <f ca="1">iSummary!AT17</f>
        <v>1</v>
      </c>
      <c r="R20" s="252">
        <f t="shared" ca="1" si="2"/>
        <v>2</v>
      </c>
      <c r="S20" s="253"/>
      <c r="T20" s="254">
        <f ca="1">iSummary!AU17</f>
        <v>10</v>
      </c>
      <c r="U20" s="255" t="str">
        <f ca="1">iSummary!AV17</f>
        <v>Quito</v>
      </c>
      <c r="V20" s="579">
        <f ca="1">iSummary!AW17</f>
        <v>34.9</v>
      </c>
      <c r="W20" s="78"/>
      <c r="X20" s="78"/>
      <c r="Y20" s="78"/>
      <c r="Z20" s="78"/>
      <c r="AA20" s="78"/>
      <c r="AB20" s="78"/>
      <c r="AC20" s="78"/>
      <c r="AD20" s="78"/>
    </row>
    <row r="21" spans="2:30" ht="15" customHeight="1">
      <c r="B21" s="252"/>
      <c r="C21" s="256">
        <f ca="1">iSummary!X18</f>
        <v>1</v>
      </c>
      <c r="D21" s="252">
        <f t="shared" ca="1" si="0"/>
        <v>2</v>
      </c>
      <c r="E21" s="253"/>
      <c r="F21" s="254">
        <f ca="1">iSummary!Y18</f>
        <v>11</v>
      </c>
      <c r="G21" s="255" t="str">
        <f ca="1">iSummary!Z18</f>
        <v>San José</v>
      </c>
      <c r="H21" s="579">
        <f ca="1">iSummary!AA18</f>
        <v>26</v>
      </c>
      <c r="I21" s="78"/>
      <c r="J21" s="78">
        <f ca="1">iSummary!AI18</f>
        <v>1</v>
      </c>
      <c r="K21" s="252">
        <f t="shared" ca="1" si="1"/>
        <v>1</v>
      </c>
      <c r="L21" s="253"/>
      <c r="M21" s="254" t="str">
        <f ca="1">iSummary!AJ18</f>
        <v>=11</v>
      </c>
      <c r="N21" s="255" t="str">
        <f ca="1">iSummary!AK18</f>
        <v>Ciudad de Belice</v>
      </c>
      <c r="O21" s="579">
        <f ca="1">iSummary!AL18</f>
        <v>0</v>
      </c>
      <c r="P21" s="78"/>
      <c r="Q21" s="78">
        <f ca="1">iSummary!AT18</f>
        <v>1</v>
      </c>
      <c r="R21" s="252">
        <f t="shared" ca="1" si="2"/>
        <v>2</v>
      </c>
      <c r="S21" s="253"/>
      <c r="T21" s="254">
        <f ca="1">iSummary!AU18</f>
        <v>11</v>
      </c>
      <c r="U21" s="255" t="str">
        <f ca="1">iSummary!AV18</f>
        <v>Asunción</v>
      </c>
      <c r="V21" s="579">
        <f ca="1">iSummary!AW18</f>
        <v>27.4</v>
      </c>
      <c r="W21" s="78"/>
      <c r="X21" s="78"/>
      <c r="Y21" s="78"/>
      <c r="Z21" s="78"/>
      <c r="AA21" s="78"/>
      <c r="AB21" s="78"/>
      <c r="AC21" s="78"/>
      <c r="AD21" s="78"/>
    </row>
    <row r="22" spans="2:30" ht="15" customHeight="1">
      <c r="B22" s="252"/>
      <c r="C22" s="256">
        <f ca="1">iSummary!X19</f>
        <v>1</v>
      </c>
      <c r="D22" s="252">
        <f t="shared" ref="D22:D32" ca="1" si="3">IF(C22=0,0,IF(H22&lt;=$B$36,1,IF(H22&lt;=$B$37,2,(IF(H22&lt;=$B$38,3,4)))))</f>
        <v>1</v>
      </c>
      <c r="E22" s="253"/>
      <c r="F22" s="254">
        <f ca="1">iSummary!Y19</f>
        <v>12</v>
      </c>
      <c r="G22" s="255" t="str">
        <f ca="1">iSummary!Z19</f>
        <v>Ciudad de Belice</v>
      </c>
      <c r="H22" s="579">
        <f ca="1">iSummary!AA19</f>
        <v>15.6</v>
      </c>
      <c r="I22" s="78"/>
      <c r="J22" s="78">
        <f ca="1">iSummary!AI19</f>
        <v>1</v>
      </c>
      <c r="K22" s="252">
        <f t="shared" ref="K22:K32" ca="1" si="4">IF(J22=0,0,IF(O22&lt;=$B$36,1,IF(O22&lt;=$B$37,2,(IF(O22&lt;=$B$38,3,4)))))</f>
        <v>1</v>
      </c>
      <c r="L22" s="253"/>
      <c r="M22" s="254" t="str">
        <f ca="1">iSummary!AJ19</f>
        <v>=11</v>
      </c>
      <c r="N22" s="255" t="str">
        <f ca="1">iSummary!AK19</f>
        <v>San José</v>
      </c>
      <c r="O22" s="579">
        <f ca="1">iSummary!AL19</f>
        <v>0</v>
      </c>
      <c r="P22" s="78"/>
      <c r="Q22" s="78">
        <f ca="1">iSummary!AT19</f>
        <v>1</v>
      </c>
      <c r="R22" s="252">
        <f t="shared" ref="R22:R32" ca="1" si="5">IF(Q22=0,0,IF(V22&lt;=$B$36,1,IF(V22&lt;=$B$37,2,(IF(V22&lt;=$B$38,3,4)))))</f>
        <v>2</v>
      </c>
      <c r="S22" s="253"/>
      <c r="T22" s="254">
        <f ca="1">iSummary!AU19</f>
        <v>12</v>
      </c>
      <c r="U22" s="255" t="str">
        <f ca="1">iSummary!AV19</f>
        <v>San José</v>
      </c>
      <c r="V22" s="579">
        <f ca="1">iSummary!AW19</f>
        <v>26</v>
      </c>
      <c r="W22" s="78"/>
      <c r="X22" s="78"/>
      <c r="Y22" s="78"/>
      <c r="Z22" s="78"/>
      <c r="AA22" s="78"/>
      <c r="AB22" s="78"/>
      <c r="AC22" s="78"/>
      <c r="AD22" s="78"/>
    </row>
    <row r="23" spans="2:30" ht="15" customHeight="1">
      <c r="B23" s="252"/>
      <c r="C23" s="256">
        <f ca="1">iSummary!X20</f>
        <v>0</v>
      </c>
      <c r="D23" s="252">
        <f t="shared" ca="1" si="3"/>
        <v>0</v>
      </c>
      <c r="E23" s="253"/>
      <c r="F23" s="254" t="str">
        <f ca="1">iSummary!Y20</f>
        <v/>
      </c>
      <c r="G23" s="255" t="str">
        <f ca="1">iSummary!Z20</f>
        <v/>
      </c>
      <c r="H23" s="579" t="str">
        <f ca="1">iSummary!AA20</f>
        <v/>
      </c>
      <c r="I23" s="78"/>
      <c r="J23" s="78">
        <f ca="1">iSummary!AI20</f>
        <v>0</v>
      </c>
      <c r="K23" s="252">
        <f t="shared" ca="1" si="4"/>
        <v>0</v>
      </c>
      <c r="L23" s="253"/>
      <c r="M23" s="254" t="str">
        <f ca="1">iSummary!AJ20</f>
        <v/>
      </c>
      <c r="N23" s="255" t="str">
        <f ca="1">iSummary!AK20</f>
        <v/>
      </c>
      <c r="O23" s="579" t="str">
        <f ca="1">iSummary!AL20</f>
        <v/>
      </c>
      <c r="P23" s="78"/>
      <c r="Q23" s="78">
        <f ca="1">iSummary!AT20</f>
        <v>0</v>
      </c>
      <c r="R23" s="252">
        <f t="shared" ca="1" si="5"/>
        <v>0</v>
      </c>
      <c r="S23" s="253"/>
      <c r="T23" s="254" t="str">
        <f ca="1">iSummary!AU20</f>
        <v/>
      </c>
      <c r="U23" s="255" t="str">
        <f ca="1">iSummary!AV20</f>
        <v/>
      </c>
      <c r="V23" s="579" t="str">
        <f ca="1">iSummary!AW20</f>
        <v/>
      </c>
      <c r="W23" s="78"/>
      <c r="X23" s="78"/>
      <c r="Y23" s="78"/>
      <c r="Z23" s="78"/>
      <c r="AA23" s="78"/>
      <c r="AB23" s="78"/>
      <c r="AC23" s="78"/>
      <c r="AD23" s="78"/>
    </row>
    <row r="24" spans="2:30" ht="15" customHeight="1">
      <c r="B24" s="252"/>
      <c r="C24" s="256">
        <f ca="1">iSummary!X21</f>
        <v>0</v>
      </c>
      <c r="D24" s="252">
        <f t="shared" ca="1" si="3"/>
        <v>0</v>
      </c>
      <c r="E24" s="253"/>
      <c r="F24" s="254" t="str">
        <f ca="1">iSummary!Y21</f>
        <v/>
      </c>
      <c r="G24" s="255" t="str">
        <f ca="1">iSummary!Z21</f>
        <v/>
      </c>
      <c r="H24" s="579" t="str">
        <f ca="1">iSummary!AA21</f>
        <v/>
      </c>
      <c r="I24" s="78"/>
      <c r="J24" s="78">
        <f ca="1">iSummary!AI21</f>
        <v>0</v>
      </c>
      <c r="K24" s="252">
        <f t="shared" ca="1" si="4"/>
        <v>0</v>
      </c>
      <c r="L24" s="253"/>
      <c r="M24" s="254" t="str">
        <f ca="1">iSummary!AJ21</f>
        <v/>
      </c>
      <c r="N24" s="255" t="str">
        <f ca="1">iSummary!AK21</f>
        <v/>
      </c>
      <c r="O24" s="579" t="str">
        <f ca="1">iSummary!AL21</f>
        <v/>
      </c>
      <c r="P24" s="78"/>
      <c r="Q24" s="78">
        <f ca="1">iSummary!AT21</f>
        <v>0</v>
      </c>
      <c r="R24" s="252">
        <f t="shared" ca="1" si="5"/>
        <v>0</v>
      </c>
      <c r="S24" s="253"/>
      <c r="T24" s="254" t="str">
        <f ca="1">iSummary!AU21</f>
        <v/>
      </c>
      <c r="U24" s="255" t="str">
        <f ca="1">iSummary!AV21</f>
        <v/>
      </c>
      <c r="V24" s="579" t="str">
        <f ca="1">iSummary!AW21</f>
        <v/>
      </c>
      <c r="W24" s="78"/>
      <c r="X24" s="78"/>
      <c r="Y24" s="78"/>
      <c r="Z24" s="78"/>
      <c r="AA24" s="78"/>
      <c r="AB24" s="78"/>
      <c r="AC24" s="78"/>
      <c r="AD24" s="78"/>
    </row>
    <row r="25" spans="2:30" ht="15" customHeight="1">
      <c r="B25" s="252"/>
      <c r="C25" s="256">
        <f ca="1">iSummary!X22</f>
        <v>0</v>
      </c>
      <c r="D25" s="252">
        <f t="shared" ca="1" si="3"/>
        <v>0</v>
      </c>
      <c r="E25" s="253"/>
      <c r="F25" s="254" t="str">
        <f ca="1">iSummary!Y22</f>
        <v/>
      </c>
      <c r="G25" s="255" t="str">
        <f ca="1">iSummary!Z22</f>
        <v/>
      </c>
      <c r="H25" s="579" t="str">
        <f ca="1">iSummary!AA22</f>
        <v/>
      </c>
      <c r="I25" s="78"/>
      <c r="J25" s="78">
        <f ca="1">iSummary!AI22</f>
        <v>0</v>
      </c>
      <c r="K25" s="252">
        <f t="shared" ca="1" si="4"/>
        <v>0</v>
      </c>
      <c r="L25" s="253"/>
      <c r="M25" s="254" t="str">
        <f ca="1">iSummary!AJ22</f>
        <v/>
      </c>
      <c r="N25" s="255" t="str">
        <f ca="1">iSummary!AK22</f>
        <v/>
      </c>
      <c r="O25" s="579" t="str">
        <f ca="1">iSummary!AL22</f>
        <v/>
      </c>
      <c r="P25" s="78"/>
      <c r="Q25" s="78">
        <f ca="1">iSummary!AT22</f>
        <v>0</v>
      </c>
      <c r="R25" s="252">
        <f t="shared" ca="1" si="5"/>
        <v>0</v>
      </c>
      <c r="S25" s="253"/>
      <c r="T25" s="254" t="str">
        <f ca="1">iSummary!AU22</f>
        <v/>
      </c>
      <c r="U25" s="255" t="str">
        <f ca="1">iSummary!AV22</f>
        <v/>
      </c>
      <c r="V25" s="579" t="str">
        <f ca="1">iSummary!AW22</f>
        <v/>
      </c>
      <c r="W25" s="78"/>
      <c r="X25" s="78"/>
      <c r="Y25" s="78"/>
      <c r="Z25" s="78"/>
      <c r="AA25" s="78"/>
      <c r="AB25" s="78"/>
      <c r="AC25" s="78"/>
      <c r="AD25" s="78"/>
    </row>
    <row r="26" spans="2:30" ht="15" customHeight="1">
      <c r="B26" s="252"/>
      <c r="C26" s="256">
        <f ca="1">iSummary!X23</f>
        <v>0</v>
      </c>
      <c r="D26" s="252">
        <f t="shared" ca="1" si="3"/>
        <v>0</v>
      </c>
      <c r="E26" s="253"/>
      <c r="F26" s="254" t="str">
        <f ca="1">iSummary!Y23</f>
        <v/>
      </c>
      <c r="G26" s="255" t="str">
        <f ca="1">iSummary!Z23</f>
        <v/>
      </c>
      <c r="H26" s="579" t="str">
        <f ca="1">iSummary!AA23</f>
        <v/>
      </c>
      <c r="I26" s="78"/>
      <c r="J26" s="78">
        <f ca="1">iSummary!AI23</f>
        <v>0</v>
      </c>
      <c r="K26" s="252">
        <f t="shared" ca="1" si="4"/>
        <v>0</v>
      </c>
      <c r="L26" s="253"/>
      <c r="M26" s="254" t="str">
        <f ca="1">iSummary!AJ23</f>
        <v/>
      </c>
      <c r="N26" s="255" t="str">
        <f ca="1">iSummary!AK23</f>
        <v/>
      </c>
      <c r="O26" s="579" t="str">
        <f ca="1">iSummary!AL23</f>
        <v/>
      </c>
      <c r="P26" s="78"/>
      <c r="Q26" s="78">
        <f ca="1">iSummary!AT23</f>
        <v>0</v>
      </c>
      <c r="R26" s="252">
        <f t="shared" ca="1" si="5"/>
        <v>0</v>
      </c>
      <c r="S26" s="253"/>
      <c r="T26" s="254" t="str">
        <f ca="1">iSummary!AU23</f>
        <v/>
      </c>
      <c r="U26" s="255" t="str">
        <f ca="1">iSummary!AV23</f>
        <v/>
      </c>
      <c r="V26" s="579" t="str">
        <f ca="1">iSummary!AW23</f>
        <v/>
      </c>
      <c r="W26" s="78"/>
      <c r="X26" s="78"/>
      <c r="Y26" s="78"/>
      <c r="Z26" s="78"/>
      <c r="AA26" s="78"/>
      <c r="AB26" s="78"/>
      <c r="AC26" s="78"/>
      <c r="AD26" s="78"/>
    </row>
    <row r="27" spans="2:30" ht="15" customHeight="1">
      <c r="B27" s="252"/>
      <c r="C27" s="256">
        <f ca="1">iSummary!X24</f>
        <v>0</v>
      </c>
      <c r="D27" s="252">
        <f t="shared" ca="1" si="3"/>
        <v>0</v>
      </c>
      <c r="E27" s="253"/>
      <c r="F27" s="254" t="str">
        <f ca="1">iSummary!Y24</f>
        <v/>
      </c>
      <c r="G27" s="255" t="str">
        <f ca="1">iSummary!Z24</f>
        <v/>
      </c>
      <c r="H27" s="579" t="str">
        <f ca="1">iSummary!AA24</f>
        <v/>
      </c>
      <c r="I27" s="78"/>
      <c r="J27" s="78">
        <f ca="1">iSummary!AI24</f>
        <v>0</v>
      </c>
      <c r="K27" s="252">
        <f t="shared" ca="1" si="4"/>
        <v>0</v>
      </c>
      <c r="L27" s="253"/>
      <c r="M27" s="254" t="str">
        <f ca="1">iSummary!AJ24</f>
        <v/>
      </c>
      <c r="N27" s="255" t="str">
        <f ca="1">iSummary!AK24</f>
        <v/>
      </c>
      <c r="O27" s="579" t="str">
        <f ca="1">iSummary!AL24</f>
        <v/>
      </c>
      <c r="P27" s="78"/>
      <c r="Q27" s="78">
        <f ca="1">iSummary!AT24</f>
        <v>0</v>
      </c>
      <c r="R27" s="252">
        <f t="shared" ca="1" si="5"/>
        <v>0</v>
      </c>
      <c r="S27" s="253"/>
      <c r="T27" s="254" t="str">
        <f ca="1">iSummary!AU24</f>
        <v/>
      </c>
      <c r="U27" s="255" t="str">
        <f ca="1">iSummary!AV24</f>
        <v/>
      </c>
      <c r="V27" s="579" t="str">
        <f ca="1">iSummary!AW24</f>
        <v/>
      </c>
      <c r="W27" s="78"/>
      <c r="X27" s="78"/>
      <c r="Y27" s="78"/>
      <c r="Z27" s="78"/>
      <c r="AA27" s="78"/>
      <c r="AB27" s="78"/>
      <c r="AC27" s="78"/>
      <c r="AD27" s="78"/>
    </row>
    <row r="28" spans="2:30" ht="15" customHeight="1">
      <c r="B28" s="252"/>
      <c r="C28" s="256">
        <f ca="1">iSummary!X25</f>
        <v>0</v>
      </c>
      <c r="D28" s="252">
        <f t="shared" ca="1" si="3"/>
        <v>0</v>
      </c>
      <c r="E28" s="253"/>
      <c r="F28" s="254" t="str">
        <f ca="1">iSummary!Y25</f>
        <v/>
      </c>
      <c r="G28" s="255" t="str">
        <f ca="1">iSummary!Z25</f>
        <v/>
      </c>
      <c r="H28" s="579" t="str">
        <f ca="1">iSummary!AA25</f>
        <v/>
      </c>
      <c r="I28" s="78"/>
      <c r="J28" s="78">
        <f ca="1">iSummary!AI25</f>
        <v>0</v>
      </c>
      <c r="K28" s="252">
        <f t="shared" ca="1" si="4"/>
        <v>0</v>
      </c>
      <c r="L28" s="253"/>
      <c r="M28" s="254" t="str">
        <f ca="1">iSummary!AJ25</f>
        <v/>
      </c>
      <c r="N28" s="255" t="str">
        <f ca="1">iSummary!AK25</f>
        <v/>
      </c>
      <c r="O28" s="579" t="str">
        <f ca="1">iSummary!AL25</f>
        <v/>
      </c>
      <c r="P28" s="78"/>
      <c r="Q28" s="78">
        <f ca="1">iSummary!AT25</f>
        <v>0</v>
      </c>
      <c r="R28" s="252">
        <f t="shared" ca="1" si="5"/>
        <v>0</v>
      </c>
      <c r="S28" s="253"/>
      <c r="T28" s="254" t="str">
        <f ca="1">iSummary!AU25</f>
        <v/>
      </c>
      <c r="U28" s="255" t="str">
        <f ca="1">iSummary!AV25</f>
        <v/>
      </c>
      <c r="V28" s="579" t="str">
        <f ca="1">iSummary!AW25</f>
        <v/>
      </c>
      <c r="W28" s="78"/>
      <c r="X28" s="78"/>
      <c r="Y28" s="78"/>
      <c r="Z28" s="78"/>
      <c r="AA28" s="78"/>
      <c r="AB28" s="78"/>
      <c r="AC28" s="78"/>
      <c r="AD28" s="78"/>
    </row>
    <row r="29" spans="2:30" ht="15" customHeight="1">
      <c r="B29" s="252"/>
      <c r="C29" s="256">
        <f ca="1">iSummary!X26</f>
        <v>0</v>
      </c>
      <c r="D29" s="252">
        <f t="shared" ca="1" si="3"/>
        <v>0</v>
      </c>
      <c r="E29" s="253"/>
      <c r="F29" s="254" t="str">
        <f ca="1">iSummary!Y26</f>
        <v/>
      </c>
      <c r="G29" s="255" t="str">
        <f ca="1">iSummary!Z26</f>
        <v/>
      </c>
      <c r="H29" s="579" t="str">
        <f ca="1">iSummary!AA26</f>
        <v/>
      </c>
      <c r="I29" s="78"/>
      <c r="J29" s="78">
        <f ca="1">iSummary!AI26</f>
        <v>0</v>
      </c>
      <c r="K29" s="252">
        <f t="shared" ca="1" si="4"/>
        <v>0</v>
      </c>
      <c r="L29" s="253"/>
      <c r="M29" s="254" t="str">
        <f ca="1">iSummary!AJ26</f>
        <v/>
      </c>
      <c r="N29" s="255" t="str">
        <f ca="1">iSummary!AK26</f>
        <v/>
      </c>
      <c r="O29" s="579" t="str">
        <f ca="1">iSummary!AL26</f>
        <v/>
      </c>
      <c r="P29" s="78"/>
      <c r="Q29" s="78">
        <f ca="1">iSummary!AT26</f>
        <v>0</v>
      </c>
      <c r="R29" s="252">
        <f t="shared" ca="1" si="5"/>
        <v>0</v>
      </c>
      <c r="S29" s="253"/>
      <c r="T29" s="254" t="str">
        <f ca="1">iSummary!AU26</f>
        <v/>
      </c>
      <c r="U29" s="255" t="str">
        <f ca="1">iSummary!AV26</f>
        <v/>
      </c>
      <c r="V29" s="579" t="str">
        <f ca="1">iSummary!AW26</f>
        <v/>
      </c>
      <c r="W29" s="78"/>
      <c r="X29" s="78"/>
      <c r="Y29" s="78"/>
      <c r="Z29" s="78"/>
      <c r="AA29" s="78"/>
      <c r="AB29" s="78"/>
      <c r="AC29" s="78"/>
      <c r="AD29" s="78"/>
    </row>
    <row r="30" spans="2:30" ht="15" customHeight="1">
      <c r="B30" s="252"/>
      <c r="C30" s="256">
        <f ca="1">iSummary!X27</f>
        <v>0</v>
      </c>
      <c r="D30" s="252">
        <f t="shared" ca="1" si="3"/>
        <v>0</v>
      </c>
      <c r="E30" s="253"/>
      <c r="F30" s="254" t="str">
        <f ca="1">iSummary!Y27</f>
        <v/>
      </c>
      <c r="G30" s="255" t="str">
        <f ca="1">iSummary!Z27</f>
        <v/>
      </c>
      <c r="H30" s="579" t="str">
        <f ca="1">iSummary!AA27</f>
        <v/>
      </c>
      <c r="I30" s="78"/>
      <c r="J30" s="78">
        <f ca="1">iSummary!AI27</f>
        <v>0</v>
      </c>
      <c r="K30" s="252">
        <f t="shared" ca="1" si="4"/>
        <v>0</v>
      </c>
      <c r="L30" s="253"/>
      <c r="M30" s="254" t="str">
        <f ca="1">iSummary!AJ27</f>
        <v/>
      </c>
      <c r="N30" s="255" t="str">
        <f ca="1">iSummary!AK27</f>
        <v/>
      </c>
      <c r="O30" s="579" t="str">
        <f ca="1">iSummary!AL27</f>
        <v/>
      </c>
      <c r="P30" s="78"/>
      <c r="Q30" s="78">
        <f ca="1">iSummary!AT27</f>
        <v>0</v>
      </c>
      <c r="R30" s="252">
        <f t="shared" ca="1" si="5"/>
        <v>0</v>
      </c>
      <c r="S30" s="253"/>
      <c r="T30" s="254" t="str">
        <f ca="1">iSummary!AU27</f>
        <v/>
      </c>
      <c r="U30" s="255" t="str">
        <f ca="1">iSummary!AV27</f>
        <v/>
      </c>
      <c r="V30" s="579" t="str">
        <f ca="1">iSummary!AW27</f>
        <v/>
      </c>
      <c r="W30" s="78"/>
      <c r="X30" s="78"/>
      <c r="Y30" s="78"/>
      <c r="Z30" s="78"/>
      <c r="AA30" s="78"/>
      <c r="AB30" s="78"/>
      <c r="AC30" s="78"/>
      <c r="AD30" s="78"/>
    </row>
    <row r="31" spans="2:30" ht="15" customHeight="1">
      <c r="B31" s="252"/>
      <c r="C31" s="256">
        <f ca="1">iSummary!X28</f>
        <v>0</v>
      </c>
      <c r="D31" s="252">
        <f t="shared" ca="1" si="3"/>
        <v>0</v>
      </c>
      <c r="E31" s="253"/>
      <c r="F31" s="254" t="str">
        <f ca="1">iSummary!Y28</f>
        <v/>
      </c>
      <c r="G31" s="255" t="str">
        <f ca="1">iSummary!Z28</f>
        <v/>
      </c>
      <c r="H31" s="579" t="str">
        <f ca="1">iSummary!AA28</f>
        <v/>
      </c>
      <c r="I31" s="78"/>
      <c r="J31" s="78">
        <f ca="1">iSummary!AI28</f>
        <v>0</v>
      </c>
      <c r="K31" s="252">
        <f t="shared" ca="1" si="4"/>
        <v>0</v>
      </c>
      <c r="L31" s="253"/>
      <c r="M31" s="254" t="str">
        <f ca="1">iSummary!AJ28</f>
        <v/>
      </c>
      <c r="N31" s="255" t="str">
        <f ca="1">iSummary!AK28</f>
        <v/>
      </c>
      <c r="O31" s="579" t="str">
        <f ca="1">iSummary!AL28</f>
        <v/>
      </c>
      <c r="P31" s="78"/>
      <c r="Q31" s="78">
        <f ca="1">iSummary!AT28</f>
        <v>0</v>
      </c>
      <c r="R31" s="252">
        <f t="shared" ca="1" si="5"/>
        <v>0</v>
      </c>
      <c r="S31" s="253"/>
      <c r="T31" s="254" t="str">
        <f ca="1">iSummary!AU28</f>
        <v/>
      </c>
      <c r="U31" s="255" t="str">
        <f ca="1">iSummary!AV28</f>
        <v/>
      </c>
      <c r="V31" s="579" t="str">
        <f ca="1">iSummary!AW28</f>
        <v/>
      </c>
      <c r="W31" s="78"/>
      <c r="X31" s="78"/>
      <c r="Y31" s="78"/>
      <c r="Z31" s="78"/>
      <c r="AA31" s="78"/>
      <c r="AB31" s="78"/>
      <c r="AC31" s="78"/>
      <c r="AD31" s="78"/>
    </row>
    <row r="32" spans="2:30" ht="15" customHeight="1">
      <c r="B32" s="252"/>
      <c r="C32" s="256">
        <f ca="1">iSummary!X29</f>
        <v>0</v>
      </c>
      <c r="D32" s="252">
        <f t="shared" ca="1" si="3"/>
        <v>0</v>
      </c>
      <c r="E32" s="253"/>
      <c r="F32" s="254" t="str">
        <f ca="1">iSummary!Y29</f>
        <v/>
      </c>
      <c r="G32" s="255" t="str">
        <f ca="1">iSummary!Z29</f>
        <v/>
      </c>
      <c r="H32" s="579" t="str">
        <f ca="1">iSummary!AA29</f>
        <v/>
      </c>
      <c r="I32" s="78"/>
      <c r="J32" s="78">
        <f ca="1">iSummary!AI29</f>
        <v>0</v>
      </c>
      <c r="K32" s="252">
        <f t="shared" ca="1" si="4"/>
        <v>0</v>
      </c>
      <c r="L32" s="253"/>
      <c r="M32" s="254" t="str">
        <f ca="1">iSummary!AJ29</f>
        <v/>
      </c>
      <c r="N32" s="255" t="str">
        <f ca="1">iSummary!AK29</f>
        <v/>
      </c>
      <c r="O32" s="579" t="str">
        <f ca="1">iSummary!AL29</f>
        <v/>
      </c>
      <c r="P32" s="78"/>
      <c r="Q32" s="78">
        <f ca="1">iSummary!AT29</f>
        <v>0</v>
      </c>
      <c r="R32" s="252">
        <f t="shared" ca="1" si="5"/>
        <v>0</v>
      </c>
      <c r="S32" s="253"/>
      <c r="T32" s="254" t="str">
        <f ca="1">iSummary!AU29</f>
        <v/>
      </c>
      <c r="U32" s="255" t="str">
        <f ca="1">iSummary!AV29</f>
        <v/>
      </c>
      <c r="V32" s="579" t="str">
        <f ca="1">iSummary!AW29</f>
        <v/>
      </c>
      <c r="W32" s="78"/>
      <c r="X32" s="78"/>
      <c r="Y32" s="78"/>
      <c r="Z32" s="78"/>
      <c r="AA32" s="78"/>
      <c r="AB32" s="78"/>
      <c r="AC32" s="78"/>
      <c r="AD32" s="78"/>
    </row>
    <row r="33" spans="1:30" s="258" customFormat="1">
      <c r="A33" s="257"/>
      <c r="D33" s="78"/>
      <c r="E33" s="78"/>
      <c r="F33" s="78"/>
      <c r="G33" s="78"/>
      <c r="H33" s="78"/>
      <c r="I33" s="78"/>
      <c r="J33" s="78"/>
      <c r="K33" s="78"/>
      <c r="L33" s="78"/>
      <c r="M33" s="78"/>
      <c r="N33" s="78"/>
      <c r="O33" s="78"/>
      <c r="P33" s="78"/>
      <c r="Q33" s="78"/>
      <c r="R33" s="78"/>
      <c r="S33" s="78"/>
      <c r="T33" s="78"/>
      <c r="U33" s="78"/>
      <c r="V33" s="78"/>
      <c r="W33" s="78"/>
      <c r="X33" s="78"/>
      <c r="Y33" s="78"/>
      <c r="Z33" s="78"/>
      <c r="AA33" s="78"/>
      <c r="AB33" s="78"/>
      <c r="AC33" s="78"/>
      <c r="AD33" s="78"/>
    </row>
    <row r="34" spans="1:30" s="258" customFormat="1">
      <c r="A34" s="257"/>
      <c r="D34" s="78"/>
      <c r="E34" s="78"/>
      <c r="F34" s="78"/>
      <c r="G34" s="78"/>
      <c r="H34" s="78"/>
      <c r="I34" s="78"/>
      <c r="J34" s="78"/>
      <c r="K34" s="78"/>
      <c r="L34" s="78"/>
      <c r="M34" s="78"/>
      <c r="N34" s="78"/>
      <c r="O34" s="78"/>
      <c r="P34" s="78"/>
      <c r="Q34" s="78"/>
      <c r="R34" s="78"/>
      <c r="S34" s="78"/>
      <c r="T34" s="78"/>
      <c r="U34" s="78"/>
      <c r="V34" s="78"/>
      <c r="W34" s="78"/>
      <c r="X34" s="78"/>
      <c r="Y34" s="78"/>
      <c r="Z34" s="78"/>
      <c r="AA34" s="78"/>
      <c r="AB34" s="78"/>
      <c r="AC34" s="78"/>
      <c r="AD34" s="78"/>
    </row>
    <row r="35" spans="1:30" s="258" customFormat="1" hidden="1">
      <c r="A35" s="257"/>
      <c r="B35" s="258">
        <v>0</v>
      </c>
      <c r="D35" s="78"/>
      <c r="E35" s="78"/>
      <c r="F35" s="78"/>
      <c r="G35" s="78"/>
      <c r="H35" s="78"/>
      <c r="I35" s="78"/>
      <c r="J35" s="78"/>
      <c r="K35" s="78"/>
      <c r="L35" s="78"/>
      <c r="M35" s="78"/>
      <c r="N35" s="78"/>
      <c r="O35" s="78"/>
      <c r="P35" s="78"/>
      <c r="Q35" s="78"/>
      <c r="R35" s="78"/>
      <c r="S35" s="78"/>
      <c r="T35" s="78"/>
      <c r="U35" s="78"/>
      <c r="V35" s="78"/>
      <c r="W35" s="78"/>
      <c r="X35" s="78"/>
      <c r="Y35" s="78"/>
      <c r="Z35" s="78"/>
      <c r="AA35" s="78"/>
      <c r="AB35" s="78"/>
      <c r="AC35" s="78"/>
      <c r="AD35" s="78"/>
    </row>
    <row r="36" spans="1:30" s="258" customFormat="1" hidden="1">
      <c r="A36" s="257"/>
      <c r="B36" s="258">
        <v>25</v>
      </c>
      <c r="E36" s="78"/>
      <c r="F36" s="78"/>
      <c r="G36" s="78"/>
      <c r="H36" s="78"/>
      <c r="I36" s="78"/>
      <c r="J36" s="78"/>
      <c r="K36" s="78"/>
      <c r="L36" s="78"/>
      <c r="M36" s="78"/>
      <c r="N36" s="78"/>
      <c r="O36" s="78"/>
      <c r="P36" s="78"/>
      <c r="Q36" s="78"/>
      <c r="R36" s="78"/>
      <c r="S36" s="78"/>
      <c r="T36" s="78"/>
      <c r="U36" s="78"/>
      <c r="V36" s="78"/>
      <c r="W36" s="78"/>
      <c r="X36" s="78"/>
      <c r="Y36" s="78"/>
      <c r="Z36" s="78"/>
      <c r="AA36" s="78"/>
      <c r="AB36" s="78"/>
      <c r="AC36" s="78"/>
      <c r="AD36" s="78"/>
    </row>
    <row r="37" spans="1:30" s="258" customFormat="1" hidden="1">
      <c r="A37" s="257"/>
      <c r="B37" s="258">
        <v>50</v>
      </c>
      <c r="E37" s="78"/>
      <c r="F37" s="78"/>
      <c r="G37" s="78"/>
      <c r="H37" s="78"/>
      <c r="I37" s="78"/>
      <c r="J37" s="78"/>
      <c r="K37" s="78"/>
      <c r="L37" s="78"/>
      <c r="M37" s="78"/>
      <c r="N37" s="78"/>
      <c r="O37" s="78"/>
      <c r="P37" s="78"/>
      <c r="Q37" s="78"/>
      <c r="R37" s="78"/>
      <c r="S37" s="78"/>
      <c r="T37" s="78"/>
      <c r="U37" s="78"/>
      <c r="V37" s="78"/>
      <c r="W37" s="78"/>
      <c r="X37" s="78"/>
      <c r="Y37" s="78"/>
      <c r="Z37" s="78"/>
      <c r="AA37" s="78"/>
      <c r="AB37" s="78"/>
      <c r="AC37" s="78"/>
      <c r="AD37" s="78"/>
    </row>
    <row r="38" spans="1:30" s="258" customFormat="1" hidden="1">
      <c r="A38" s="257"/>
      <c r="B38" s="258">
        <v>75</v>
      </c>
      <c r="E38" s="78"/>
      <c r="F38" s="78"/>
      <c r="G38" s="78"/>
      <c r="H38" s="78"/>
      <c r="I38" s="78"/>
      <c r="J38" s="78"/>
      <c r="K38" s="78"/>
      <c r="L38" s="78"/>
      <c r="M38" s="78"/>
      <c r="N38" s="78"/>
      <c r="O38" s="578"/>
      <c r="P38" s="78"/>
      <c r="Q38" s="78"/>
      <c r="R38" s="78"/>
      <c r="S38" s="78"/>
      <c r="T38" s="78"/>
      <c r="U38" s="78"/>
      <c r="V38" s="78"/>
      <c r="W38" s="78"/>
      <c r="X38" s="78"/>
      <c r="Y38" s="78"/>
      <c r="Z38" s="78"/>
      <c r="AA38" s="78"/>
      <c r="AB38" s="78"/>
      <c r="AC38" s="78"/>
      <c r="AD38" s="78"/>
    </row>
    <row r="39" spans="1:30" s="258" customFormat="1" hidden="1">
      <c r="A39" s="257"/>
      <c r="B39" s="258">
        <v>100</v>
      </c>
      <c r="E39" s="78"/>
      <c r="F39" s="78"/>
      <c r="G39" s="78"/>
      <c r="H39" s="78"/>
      <c r="I39" s="78"/>
      <c r="J39" s="78"/>
      <c r="K39" s="78"/>
      <c r="L39" s="78"/>
      <c r="M39" s="78"/>
      <c r="N39" s="78"/>
      <c r="O39" s="78"/>
      <c r="P39" s="78"/>
      <c r="Q39" s="78"/>
      <c r="R39" s="78"/>
      <c r="S39" s="78"/>
      <c r="T39" s="78"/>
      <c r="U39" s="78"/>
      <c r="V39" s="78"/>
      <c r="W39" s="78"/>
      <c r="X39" s="78"/>
      <c r="Y39" s="78"/>
      <c r="Z39" s="78"/>
      <c r="AA39" s="78"/>
      <c r="AB39" s="78"/>
      <c r="AC39" s="78"/>
      <c r="AD39" s="78"/>
    </row>
    <row r="40" spans="1:30" s="258" customFormat="1" hidden="1">
      <c r="A40" s="257"/>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78"/>
    </row>
    <row r="41" spans="1:30" s="258" customFormat="1" hidden="1">
      <c r="A41" s="257"/>
      <c r="E41" s="78"/>
      <c r="F41" s="78"/>
      <c r="G41" s="78"/>
      <c r="H41" s="78"/>
      <c r="I41" s="78"/>
      <c r="J41" s="78"/>
      <c r="K41" s="78"/>
      <c r="L41" s="78"/>
      <c r="M41" s="78"/>
      <c r="N41" s="78"/>
      <c r="O41" s="78"/>
      <c r="P41" s="78"/>
      <c r="Q41" s="78"/>
      <c r="R41" s="78"/>
      <c r="S41" s="78"/>
      <c r="T41" s="78"/>
      <c r="U41" s="78"/>
      <c r="V41" s="78"/>
      <c r="W41" s="78"/>
      <c r="X41" s="78"/>
      <c r="Y41" s="78"/>
      <c r="Z41" s="78"/>
      <c r="AA41" s="78"/>
      <c r="AB41" s="78"/>
      <c r="AC41" s="78"/>
      <c r="AD41" s="78"/>
    </row>
    <row r="42" spans="1:30" s="258" customFormat="1" hidden="1">
      <c r="A42" s="257"/>
    </row>
    <row r="43" spans="1:30" s="258" customFormat="1" hidden="1">
      <c r="A43" s="257"/>
    </row>
    <row r="44" spans="1:30" s="258" customFormat="1" hidden="1">
      <c r="A44" s="257"/>
    </row>
    <row r="45" spans="1:30" s="258" customFormat="1" hidden="1">
      <c r="A45" s="257"/>
    </row>
    <row r="46" spans="1:30" s="258" customFormat="1" hidden="1">
      <c r="A46" s="257"/>
    </row>
    <row r="47" spans="1:30" s="258" customFormat="1" hidden="1">
      <c r="A47" s="257"/>
    </row>
    <row r="48" spans="1:30" s="258" customFormat="1" hidden="1">
      <c r="A48" s="257"/>
    </row>
    <row r="49" spans="1:1" s="258" customFormat="1" hidden="1">
      <c r="A49" s="257"/>
    </row>
    <row r="50" spans="1:1" s="258" customFormat="1" hidden="1">
      <c r="A50" s="257"/>
    </row>
    <row r="51" spans="1:1" s="258" customFormat="1" hidden="1">
      <c r="A51" s="257"/>
    </row>
    <row r="52" spans="1:1" s="258" customFormat="1" hidden="1">
      <c r="A52" s="257"/>
    </row>
    <row r="53" spans="1:1" s="258" customFormat="1" hidden="1">
      <c r="A53" s="257"/>
    </row>
    <row r="54" spans="1:1" s="258" customFormat="1" hidden="1">
      <c r="A54" s="257"/>
    </row>
    <row r="55" spans="1:1" s="258" customFormat="1" hidden="1">
      <c r="A55" s="257"/>
    </row>
    <row r="56" spans="1:1" s="258" customFormat="1" hidden="1">
      <c r="A56" s="257"/>
    </row>
    <row r="57" spans="1:1" s="258" customFormat="1" hidden="1">
      <c r="A57" s="257"/>
    </row>
    <row r="58" spans="1:1" s="258" customFormat="1" hidden="1">
      <c r="A58" s="257"/>
    </row>
    <row r="59" spans="1:1" s="258" customFormat="1" hidden="1">
      <c r="A59" s="257"/>
    </row>
    <row r="60" spans="1:1" s="258" customFormat="1" hidden="1">
      <c r="A60" s="257"/>
    </row>
    <row r="61" spans="1:1" s="258" customFormat="1" hidden="1">
      <c r="A61" s="257"/>
    </row>
    <row r="62" spans="1:1" s="258" customFormat="1" hidden="1">
      <c r="A62" s="257"/>
    </row>
    <row r="63" spans="1:1" s="258" customFormat="1" hidden="1">
      <c r="A63" s="257"/>
    </row>
    <row r="64" spans="1:1" s="258" customFormat="1" hidden="1">
      <c r="A64" s="257"/>
    </row>
    <row r="65" spans="1:1" s="258" customFormat="1" hidden="1">
      <c r="A65" s="257"/>
    </row>
    <row r="66" spans="1:1" s="258" customFormat="1" hidden="1">
      <c r="A66" s="257"/>
    </row>
    <row r="67" spans="1:1" s="258" customFormat="1" hidden="1">
      <c r="A67" s="257"/>
    </row>
    <row r="68" spans="1:1" s="258" customFormat="1" hidden="1">
      <c r="A68" s="257"/>
    </row>
    <row r="69" spans="1:1" s="258" customFormat="1" hidden="1">
      <c r="A69" s="257"/>
    </row>
    <row r="70" spans="1:1" s="258" customFormat="1" hidden="1">
      <c r="A70" s="257"/>
    </row>
    <row r="71" spans="1:1" s="258" customFormat="1" hidden="1">
      <c r="A71" s="257"/>
    </row>
    <row r="72" spans="1:1" s="258" customFormat="1" hidden="1">
      <c r="A72" s="257"/>
    </row>
  </sheetData>
  <mergeCells count="3">
    <mergeCell ref="S9:V9"/>
    <mergeCell ref="E9:H9"/>
    <mergeCell ref="L9:O9"/>
  </mergeCells>
  <conditionalFormatting sqref="F11:F32 M11:M32 T11:T32">
    <cfRule type="expression" dxfId="93" priority="446">
      <formula>C11=2</formula>
    </cfRule>
    <cfRule type="expression" dxfId="92" priority="447">
      <formula>C11=3</formula>
    </cfRule>
    <cfRule type="expression" dxfId="91" priority="453">
      <formula>C11=0</formula>
    </cfRule>
  </conditionalFormatting>
  <conditionalFormatting sqref="G11:G32 N11:N32 U11:U32">
    <cfRule type="expression" dxfId="90" priority="140">
      <formula>C11=3</formula>
    </cfRule>
    <cfRule type="expression" dxfId="89" priority="141">
      <formula>C11=2</formula>
    </cfRule>
    <cfRule type="expression" dxfId="88" priority="142">
      <formula>C11=0</formula>
    </cfRule>
  </conditionalFormatting>
  <conditionalFormatting sqref="H11:H32 O11:O32 V11:V32">
    <cfRule type="expression" dxfId="87" priority="137">
      <formula>C11=3</formula>
    </cfRule>
    <cfRule type="expression" dxfId="86" priority="138">
      <formula>C11=2</formula>
    </cfRule>
    <cfRule type="expression" dxfId="85" priority="139">
      <formula>C11=0</formula>
    </cfRule>
  </conditionalFormatting>
  <conditionalFormatting sqref="E11:E32 L11:L32 S11:S32">
    <cfRule type="expression" dxfId="84" priority="79">
      <formula>D11=4</formula>
    </cfRule>
    <cfRule type="expression" dxfId="83" priority="80">
      <formula>D11=3</formula>
    </cfRule>
    <cfRule type="expression" dxfId="82" priority="81">
      <formula>D11=2</formula>
    </cfRule>
    <cfRule type="expression" dxfId="81" priority="82">
      <formula>D11=1</formula>
    </cfRule>
  </conditionalFormatting>
  <pageMargins left="0.55118110236220474" right="0.55118110236220474" top="0.59055118110236227" bottom="0.78740157480314965" header="0.51181102362204722" footer="0.51181102362204722"/>
  <pageSetup paperSize="9" orientation="landscape" horizontalDpi="1200" verticalDpi="1200" r:id="rId1"/>
  <headerFooter alignWithMargins="0">
    <oddHeader>&amp;RResultados del Modelo de Reciclaje Inclusivo</oddHeader>
  </headerFooter>
  <drawing r:id="rId2"/>
  <legacyDrawing r:id="rId3"/>
</worksheet>
</file>

<file path=xl/worksheets/sheet14.xml><?xml version="1.0" encoding="utf-8"?>
<worksheet xmlns="http://schemas.openxmlformats.org/spreadsheetml/2006/main" xmlns:r="http://schemas.openxmlformats.org/officeDocument/2006/relationships">
  <sheetPr codeName="Sheet14">
    <pageSetUpPr fitToPage="1"/>
  </sheetPr>
  <dimension ref="A1:BI135"/>
  <sheetViews>
    <sheetView showGridLines="0" showRowColHeaders="0" zoomScale="80" zoomScaleNormal="80" workbookViewId="0">
      <pane ySplit="3" topLeftCell="A4" activePane="bottomLeft" state="frozen"/>
      <selection pane="bottomLeft"/>
    </sheetView>
  </sheetViews>
  <sheetFormatPr defaultRowHeight="15" zeroHeight="1"/>
  <cols>
    <col min="1" max="1" width="2.7109375" style="78" customWidth="1"/>
    <col min="2" max="3" width="2.140625" style="78" hidden="1" customWidth="1"/>
    <col min="4" max="4" width="3.28515625" style="78" hidden="1" customWidth="1"/>
    <col min="5" max="5" width="61.5703125" style="324" customWidth="1"/>
    <col min="6" max="6" width="3.140625" style="327" hidden="1" customWidth="1"/>
    <col min="7" max="7" width="1.42578125" style="80" customWidth="1"/>
    <col min="8" max="8" width="8.28515625" style="327" customWidth="1"/>
    <col min="9" max="9" width="2.5703125" style="96" hidden="1" customWidth="1"/>
    <col min="10" max="10" width="8.28515625" style="328" customWidth="1"/>
    <col min="11" max="11" width="1" style="78" customWidth="1"/>
    <col min="12" max="12" width="8.28515625" style="327" customWidth="1"/>
    <col min="13" max="13" width="3.7109375" style="96" hidden="1" customWidth="1"/>
    <col min="14" max="14" width="7.7109375" style="328" customWidth="1"/>
    <col min="15" max="15" width="1" style="78" hidden="1" customWidth="1"/>
    <col min="16" max="16" width="8.28515625" style="327" hidden="1" customWidth="1"/>
    <col min="17" max="17" width="8.28515625" style="328" hidden="1" customWidth="1"/>
    <col min="18" max="18" width="1" style="78" hidden="1" customWidth="1"/>
    <col min="19" max="19" width="8.28515625" style="327" hidden="1" customWidth="1"/>
    <col min="20" max="20" width="8.28515625" style="328" hidden="1" customWidth="1"/>
    <col min="21" max="21" width="1" style="82" customWidth="1"/>
    <col min="22" max="23" width="9.140625" style="82"/>
    <col min="24" max="24" width="60.7109375" style="741" customWidth="1"/>
    <col min="25" max="25" width="10.85546875" style="80" customWidth="1"/>
    <col min="26" max="29" width="10.85546875" style="397" hidden="1" customWidth="1"/>
    <col min="30" max="30" width="10.85546875" style="80" customWidth="1"/>
    <col min="31" max="31" width="14.28515625" style="80" customWidth="1"/>
    <col min="32" max="32" width="1.5703125" style="80" customWidth="1"/>
    <col min="33" max="43" width="11.42578125" style="80" customWidth="1"/>
    <col min="44" max="61" width="9.140625" style="80"/>
    <col min="62" max="16384" width="9.140625" style="78"/>
  </cols>
  <sheetData>
    <row r="1" spans="1:61"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X1" s="744"/>
      <c r="BA1" s="329">
        <v>2</v>
      </c>
      <c r="BB1" s="329">
        <v>1</v>
      </c>
    </row>
    <row r="2" spans="1:61" s="213" customFormat="1" ht="30" customHeight="1">
      <c r="A2" s="211"/>
      <c r="B2" s="212"/>
      <c r="C2" s="212"/>
      <c r="D2" s="212"/>
      <c r="E2" s="212"/>
      <c r="F2" s="212"/>
      <c r="G2" s="212"/>
      <c r="H2" s="212"/>
      <c r="I2" s="212"/>
      <c r="J2" s="212"/>
      <c r="K2" s="212"/>
      <c r="L2" s="212"/>
      <c r="P2" s="212"/>
      <c r="R2" s="214"/>
      <c r="S2" s="214"/>
      <c r="V2" s="214"/>
      <c r="X2" s="744"/>
      <c r="BA2" s="329"/>
      <c r="BB2" s="329"/>
    </row>
    <row r="3" spans="1:61" s="214" customFormat="1" ht="65.099999999999994" customHeight="1">
      <c r="A3" s="215"/>
      <c r="B3" s="215"/>
      <c r="C3" s="215"/>
      <c r="D3" s="215"/>
      <c r="E3" s="215"/>
      <c r="F3" s="215"/>
      <c r="G3" s="215"/>
      <c r="H3" s="215"/>
      <c r="I3" s="215"/>
      <c r="J3" s="215"/>
      <c r="K3" s="215"/>
      <c r="L3" s="215"/>
      <c r="P3" s="215"/>
      <c r="X3" s="745"/>
    </row>
    <row r="4" spans="1:61" s="82" customFormat="1" ht="39" customHeight="1">
      <c r="E4" s="195"/>
      <c r="F4" s="303"/>
      <c r="H4" s="303"/>
      <c r="I4" s="196"/>
      <c r="J4" s="196"/>
      <c r="L4" s="196"/>
      <c r="M4" s="196"/>
      <c r="N4" s="304"/>
      <c r="O4" s="303">
        <f>IF(OR(iCCompare!B1=3,iCCompare!B1=4),1,0)</f>
        <v>0</v>
      </c>
      <c r="P4" s="303">
        <f>IF(uxb_works!$B$26=1,0,1)</f>
        <v>0</v>
      </c>
      <c r="Q4" s="303">
        <f>IF(uxb_works!$B$26=1,0,1)</f>
        <v>0</v>
      </c>
      <c r="R4" s="303">
        <f>IF(uxb_works!$B$26=1,0,1)</f>
        <v>0</v>
      </c>
      <c r="S4" s="303">
        <f>IF(uxb_works!$B$27=1,0,1)</f>
        <v>0</v>
      </c>
      <c r="T4" s="303">
        <f>IF(uxb_works!$B$27=1,0,1)</f>
        <v>0</v>
      </c>
      <c r="X4" s="741"/>
      <c r="Y4" s="80"/>
      <c r="Z4" s="397"/>
      <c r="AA4" s="397"/>
      <c r="AB4" s="397"/>
      <c r="AC4" s="397"/>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row>
    <row r="5" spans="1:61">
      <c r="E5" s="305" t="str">
        <f>lang!C79</f>
        <v>Seleccione rango del indicador</v>
      </c>
      <c r="F5" s="306"/>
      <c r="H5" s="306"/>
      <c r="I5" s="307"/>
      <c r="J5" s="86"/>
      <c r="L5" s="86"/>
      <c r="M5" s="86"/>
      <c r="N5" s="308"/>
      <c r="P5" s="306"/>
      <c r="Q5" s="86"/>
      <c r="S5" s="86"/>
      <c r="T5" s="308"/>
    </row>
    <row r="6" spans="1:61" ht="7.5" customHeight="1">
      <c r="E6" s="309"/>
      <c r="F6" s="306"/>
      <c r="H6" s="306"/>
      <c r="I6" s="307"/>
      <c r="J6" s="86"/>
      <c r="L6" s="86"/>
      <c r="M6" s="86"/>
      <c r="N6" s="308"/>
      <c r="P6" s="306"/>
      <c r="Q6" s="86"/>
      <c r="S6" s="86"/>
      <c r="T6" s="308"/>
    </row>
    <row r="7" spans="1:61" s="142" customFormat="1" ht="39.75" customHeight="1">
      <c r="E7" s="143"/>
      <c r="G7" s="80"/>
      <c r="H7" s="770" t="str">
        <f>iCCompare!G2</f>
        <v>Asunción</v>
      </c>
      <c r="I7" s="771"/>
      <c r="J7" s="772"/>
      <c r="K7" s="78"/>
      <c r="L7" s="773" t="str">
        <f>iCCompare!G3</f>
        <v>Santiago de Chile</v>
      </c>
      <c r="M7" s="774"/>
      <c r="N7" s="775"/>
      <c r="O7" s="78"/>
      <c r="P7" s="776" t="str">
        <f>iCCompare!G4</f>
        <v>Bogotá</v>
      </c>
      <c r="Q7" s="777"/>
      <c r="R7" s="78"/>
      <c r="S7" s="778" t="str">
        <f>iCCompare!G5</f>
        <v>Buenos Aires</v>
      </c>
      <c r="T7" s="779"/>
      <c r="U7" s="144"/>
      <c r="V7" s="144"/>
      <c r="W7" s="144"/>
      <c r="X7" s="746"/>
      <c r="Y7" s="198"/>
      <c r="Z7" s="398"/>
      <c r="AA7" s="398"/>
      <c r="AB7" s="398"/>
      <c r="AC7" s="398"/>
      <c r="AD7" s="198"/>
      <c r="AE7" s="198"/>
      <c r="AF7" s="198"/>
      <c r="AG7" s="198"/>
      <c r="AH7" s="198"/>
      <c r="AI7" s="198"/>
      <c r="AJ7" s="198"/>
      <c r="AK7" s="198"/>
      <c r="AL7" s="198"/>
      <c r="AM7" s="198"/>
      <c r="AN7" s="198"/>
      <c r="AO7" s="198"/>
      <c r="AP7" s="198"/>
      <c r="AQ7" s="198"/>
      <c r="AR7" s="198"/>
      <c r="AS7" s="198"/>
      <c r="AT7" s="198"/>
      <c r="AU7" s="198"/>
      <c r="AV7" s="198"/>
      <c r="AW7" s="198"/>
      <c r="AX7" s="198"/>
      <c r="AY7" s="198"/>
      <c r="AZ7" s="198"/>
      <c r="BA7" s="198"/>
      <c r="BB7" s="198"/>
      <c r="BC7" s="198"/>
      <c r="BD7" s="198"/>
      <c r="BE7" s="198"/>
      <c r="BF7" s="198"/>
      <c r="BG7" s="198"/>
      <c r="BH7" s="198"/>
      <c r="BI7" s="198"/>
    </row>
    <row r="8" spans="1:61" ht="15.75">
      <c r="E8" s="310"/>
      <c r="F8" s="311"/>
      <c r="H8" s="584" t="s">
        <v>2437</v>
      </c>
      <c r="I8" s="585" t="s">
        <v>64</v>
      </c>
      <c r="J8" s="586" t="s">
        <v>2442</v>
      </c>
      <c r="K8" s="314"/>
      <c r="L8" s="312" t="s">
        <v>2437</v>
      </c>
      <c r="M8" s="313" t="s">
        <v>64</v>
      </c>
      <c r="N8" s="586" t="s">
        <v>2442</v>
      </c>
      <c r="O8" s="314"/>
      <c r="P8" s="312" t="s">
        <v>2437</v>
      </c>
      <c r="Q8" s="586" t="s">
        <v>2442</v>
      </c>
      <c r="R8" s="314"/>
      <c r="S8" s="312" t="s">
        <v>2437</v>
      </c>
      <c r="T8" s="586" t="s">
        <v>2442</v>
      </c>
    </row>
    <row r="9" spans="1:61" customFormat="1" ht="6.75" customHeight="1">
      <c r="X9" s="747">
        <f>E9</f>
        <v>0</v>
      </c>
    </row>
    <row r="10" spans="1:61" s="712" customFormat="1">
      <c r="B10" s="712">
        <f>iCCompare!AI10</f>
        <v>1</v>
      </c>
      <c r="C10" s="712" t="str">
        <f>IF(D10="","0","1")</f>
        <v>1</v>
      </c>
      <c r="D10" s="712">
        <f>iCCompare!T10</f>
        <v>1</v>
      </c>
      <c r="E10" s="316" t="str">
        <f>IF(ISERROR(REPT(" ",(B10-1)*2)&amp;iCCompare!Y10),"",REPT(" ",(B10-1)*2)&amp;iCCompare!Y10)</f>
        <v>1) NORMATIVA</v>
      </c>
      <c r="F10" s="317">
        <f t="shared" ref="F10:F59" ca="1" si="0">IF($J10&gt;$N10,1,IF($J10&lt;$N10,2,0))</f>
        <v>2</v>
      </c>
      <c r="G10" s="199">
        <v>0</v>
      </c>
      <c r="H10" s="318">
        <f ca="1">iCCompare!Z10</f>
        <v>32.8125</v>
      </c>
      <c r="I10" s="319" t="str">
        <f>TEXT(iCCompare!AA10,iCCompare!AV10)</f>
        <v/>
      </c>
      <c r="J10" s="320" t="str">
        <f ca="1">iCCompare!AJ10</f>
        <v>10</v>
      </c>
      <c r="K10" s="315"/>
      <c r="L10" s="318">
        <f ca="1">iCCompare!AB10</f>
        <v>39.0625</v>
      </c>
      <c r="M10" s="319" t="str">
        <f>TEXT(iCCompare!AC10,iCCompare!AV10)</f>
        <v/>
      </c>
      <c r="N10" s="320" t="str">
        <f ca="1">iCCompare!AK10</f>
        <v>8</v>
      </c>
      <c r="P10" s="716" t="e">
        <f>iCCompare!AD10</f>
        <v>#VALUE!</v>
      </c>
      <c r="Q10" s="718" t="str">
        <f>iCCompare!AL10</f>
        <v/>
      </c>
      <c r="S10" s="716" t="e">
        <f>iCCompare!AF10</f>
        <v>#VALUE!</v>
      </c>
      <c r="T10" s="718" t="str">
        <f>iCCompare!AM10</f>
        <v/>
      </c>
      <c r="U10" s="719"/>
      <c r="V10" s="719"/>
      <c r="W10" s="719"/>
      <c r="X10" s="746" t="str">
        <f>E10</f>
        <v>1) NORMATIVA</v>
      </c>
      <c r="Y10" s="715"/>
      <c r="Z10" s="720">
        <f ca="1">iCCompare!BE10</f>
        <v>2</v>
      </c>
      <c r="AA10" s="720">
        <f ca="1">iCCompare!BF10</f>
        <v>1</v>
      </c>
      <c r="AB10" s="720">
        <f ca="1">iCCompare!BG10</f>
        <v>0</v>
      </c>
      <c r="AC10" s="720">
        <f ca="1">iCCompare!BH10</f>
        <v>0</v>
      </c>
      <c r="AD10" s="715"/>
      <c r="AE10" s="715"/>
      <c r="AF10" s="715"/>
      <c r="AG10" s="715"/>
      <c r="AH10" s="715"/>
      <c r="AI10" s="715"/>
      <c r="AJ10" s="715"/>
      <c r="AK10" s="715"/>
      <c r="AL10" s="715"/>
      <c r="AM10" s="715"/>
      <c r="AN10" s="715"/>
      <c r="AO10" s="715"/>
      <c r="AP10" s="715"/>
      <c r="AQ10" s="715"/>
      <c r="AR10" s="715"/>
      <c r="AS10" s="715"/>
      <c r="AT10" s="715"/>
      <c r="AU10" s="715"/>
      <c r="AV10" s="715"/>
      <c r="AW10" s="715"/>
      <c r="AX10" s="715"/>
      <c r="AY10" s="715"/>
      <c r="AZ10" s="715"/>
      <c r="BA10" s="715"/>
      <c r="BB10" s="715"/>
      <c r="BC10" s="715"/>
      <c r="BD10" s="715"/>
      <c r="BE10" s="715"/>
      <c r="BF10" s="715"/>
      <c r="BG10" s="715"/>
      <c r="BH10" s="715"/>
      <c r="BI10" s="715"/>
    </row>
    <row r="11" spans="1:61" s="315" customFormat="1">
      <c r="B11" s="712">
        <f>iCCompare!AI11</f>
        <v>2</v>
      </c>
      <c r="C11" s="315" t="str">
        <f t="shared" ref="C11:C59" si="1">IF(D11="","0","1")</f>
        <v>1</v>
      </c>
      <c r="D11" s="315">
        <f>iCCompare!T11</f>
        <v>2</v>
      </c>
      <c r="E11" s="316" t="str">
        <f>IF(ISERROR(REPT(" ",(B11-1)*2)&amp;iCCompare!Y11),"",REPT(" ",(B11-1)*2)&amp;iCCompare!Y11)</f>
        <v xml:space="preserve">  1.1) Normativa sobre gestión de residuos</v>
      </c>
      <c r="F11" s="317">
        <f t="shared" ca="1" si="0"/>
        <v>2</v>
      </c>
      <c r="G11" s="199">
        <v>0</v>
      </c>
      <c r="H11" s="318">
        <f ca="1">iCCompare!Z11</f>
        <v>25</v>
      </c>
      <c r="I11" s="319" t="str">
        <f>TEXT(iCCompare!AA11,iCCompare!AV11)</f>
        <v/>
      </c>
      <c r="J11" s="320" t="str">
        <f ca="1">iCCompare!AJ11</f>
        <v>=7</v>
      </c>
      <c r="L11" s="318">
        <f ca="1">iCCompare!AB11</f>
        <v>50</v>
      </c>
      <c r="M11" s="319" t="str">
        <f>TEXT(iCCompare!AC11,iCCompare!AV11)</f>
        <v/>
      </c>
      <c r="N11" s="320" t="str">
        <f ca="1">iCCompare!AK11</f>
        <v>6</v>
      </c>
      <c r="P11" s="318" t="e">
        <f>iCCompare!AD11</f>
        <v>#VALUE!</v>
      </c>
      <c r="Q11" s="320" t="str">
        <f>iCCompare!AL11</f>
        <v/>
      </c>
      <c r="S11" s="318" t="e">
        <f>iCCompare!AF11</f>
        <v>#VALUE!</v>
      </c>
      <c r="T11" s="320" t="str">
        <f>iCCompare!AM11</f>
        <v/>
      </c>
      <c r="U11" s="84"/>
      <c r="V11" s="84"/>
      <c r="W11" s="84"/>
      <c r="X11" s="742" t="str">
        <f>E11</f>
        <v xml:space="preserve">  1.1) Normativa sobre gestión de residuos</v>
      </c>
      <c r="Y11" s="199"/>
      <c r="Z11" s="399">
        <f ca="1">iCCompare!BE11</f>
        <v>2</v>
      </c>
      <c r="AA11" s="399">
        <f ca="1">iCCompare!BF11</f>
        <v>1</v>
      </c>
      <c r="AB11" s="399">
        <f ca="1">iCCompare!BG11</f>
        <v>0</v>
      </c>
      <c r="AC11" s="399">
        <f ca="1">iCCompare!BH11</f>
        <v>0</v>
      </c>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199"/>
    </row>
    <row r="12" spans="1:61" s="315" customFormat="1" ht="28.5">
      <c r="B12" s="712">
        <f>iCCompare!AI12</f>
        <v>3</v>
      </c>
      <c r="C12" s="315" t="str">
        <f t="shared" si="1"/>
        <v>1</v>
      </c>
      <c r="D12" s="315">
        <f>iCCompare!T12</f>
        <v>3</v>
      </c>
      <c r="E12" s="316" t="str">
        <f>IF(ISERROR(REPT(" ",(B12-1)*2)&amp;iCCompare!Y12),"",REPT(" ",(B12-1)*2)&amp;iCCompare!Y12)</f>
        <v xml:space="preserve">    1.1.1) 1.¿ Existe un marco legal nacional para la gestión de residuos orientado al reciclaje con la inclusión de actores informales?</v>
      </c>
      <c r="F12" s="317">
        <f t="shared" ca="1" si="0"/>
        <v>1</v>
      </c>
      <c r="G12" s="199">
        <v>0</v>
      </c>
      <c r="H12" s="318">
        <f ca="1">iCCompare!Z12</f>
        <v>0</v>
      </c>
      <c r="I12" s="319" t="str">
        <f>TEXT(iCCompare!AA12,iCCompare!AV12)</f>
        <v>0</v>
      </c>
      <c r="J12" s="320" t="str">
        <f ca="1">iCCompare!AJ12</f>
        <v>=8</v>
      </c>
      <c r="L12" s="318">
        <f ca="1">iCCompare!AB12</f>
        <v>50</v>
      </c>
      <c r="M12" s="319" t="str">
        <f>TEXT(iCCompare!AC12,iCCompare!AV12)</f>
        <v>1</v>
      </c>
      <c r="N12" s="320" t="str">
        <f ca="1">iCCompare!AK12</f>
        <v>=3</v>
      </c>
      <c r="P12" s="318" t="e">
        <f>iCCompare!AD12</f>
        <v>#VALUE!</v>
      </c>
      <c r="Q12" s="320" t="str">
        <f>iCCompare!AL12</f>
        <v/>
      </c>
      <c r="S12" s="318" t="e">
        <f>iCCompare!AF12</f>
        <v>#VALUE!</v>
      </c>
      <c r="T12" s="320" t="str">
        <f>iCCompare!AM12</f>
        <v/>
      </c>
      <c r="U12" s="84"/>
      <c r="V12" s="84"/>
      <c r="W12" s="84"/>
      <c r="X12" s="742" t="str">
        <f t="shared" ref="X12:X20" si="2">E12</f>
        <v xml:space="preserve">    1.1.1) 1.¿ Existe un marco legal nacional para la gestión de residuos orientado al reciclaje con la inclusión de actores informales?</v>
      </c>
      <c r="Y12" s="199"/>
      <c r="Z12" s="399">
        <f ca="1">iCCompare!BE12</f>
        <v>2</v>
      </c>
      <c r="AA12" s="399">
        <f ca="1">iCCompare!BF12</f>
        <v>1</v>
      </c>
      <c r="AB12" s="399">
        <f ca="1">iCCompare!BG12</f>
        <v>0</v>
      </c>
      <c r="AC12" s="399">
        <f ca="1">iCCompare!BH12</f>
        <v>0</v>
      </c>
      <c r="AD12" s="199"/>
      <c r="AE12" s="199"/>
      <c r="AF12" s="199"/>
      <c r="AG12" s="199"/>
      <c r="AH12" s="199"/>
      <c r="AI12" s="199"/>
      <c r="AJ12" s="199"/>
      <c r="AK12" s="199"/>
      <c r="AL12" s="199"/>
      <c r="AM12" s="199"/>
      <c r="AN12" s="199"/>
      <c r="AO12" s="199"/>
      <c r="AP12" s="199"/>
      <c r="AQ12" s="199"/>
      <c r="AR12" s="199"/>
      <c r="AS12" s="199"/>
      <c r="AT12" s="199"/>
      <c r="AU12" s="199"/>
      <c r="AV12" s="199"/>
      <c r="AW12" s="199"/>
      <c r="AX12" s="199"/>
      <c r="AY12" s="199"/>
      <c r="AZ12" s="199"/>
      <c r="BA12" s="199"/>
      <c r="BB12" s="199"/>
      <c r="BC12" s="199"/>
      <c r="BD12" s="199"/>
      <c r="BE12" s="199"/>
      <c r="BF12" s="199"/>
      <c r="BG12" s="199"/>
      <c r="BH12" s="199"/>
      <c r="BI12" s="199"/>
    </row>
    <row r="13" spans="1:61" s="315" customFormat="1" ht="28.5">
      <c r="B13" s="712">
        <f>iCCompare!AI13</f>
        <v>3</v>
      </c>
      <c r="C13" s="315" t="str">
        <f t="shared" si="1"/>
        <v>1</v>
      </c>
      <c r="D13" s="315">
        <f>iCCompare!T13</f>
        <v>4</v>
      </c>
      <c r="E13" s="316" t="str">
        <f>IF(ISERROR(REPT(" ",(B13-1)*2)&amp;iCCompare!Y13),"",REPT(" ",(B13-1)*2)&amp;iCCompare!Y13)</f>
        <v xml:space="preserve">    1.1.2) 2.¿Existe un marco legal municipal para la gestión de residuos orientado al reciclaje y la inclusión de actores informales?</v>
      </c>
      <c r="F13" s="317">
        <f t="shared" ca="1" si="0"/>
        <v>0</v>
      </c>
      <c r="G13" s="199">
        <v>0</v>
      </c>
      <c r="H13" s="318">
        <f ca="1">iCCompare!Z13</f>
        <v>50</v>
      </c>
      <c r="I13" s="319" t="str">
        <f>TEXT(iCCompare!AA13,iCCompare!AV13)</f>
        <v>1</v>
      </c>
      <c r="J13" s="320" t="str">
        <f ca="1">iCCompare!AJ13</f>
        <v>=6</v>
      </c>
      <c r="L13" s="318">
        <f ca="1">iCCompare!AB13</f>
        <v>50</v>
      </c>
      <c r="M13" s="319" t="str">
        <f>TEXT(iCCompare!AC13,iCCompare!AV13)</f>
        <v>1</v>
      </c>
      <c r="N13" s="320" t="str">
        <f ca="1">iCCompare!AK13</f>
        <v>=6</v>
      </c>
      <c r="P13" s="318" t="e">
        <f>iCCompare!AD13</f>
        <v>#VALUE!</v>
      </c>
      <c r="Q13" s="320" t="str">
        <f>iCCompare!AL13</f>
        <v/>
      </c>
      <c r="S13" s="318" t="e">
        <f>iCCompare!AF13</f>
        <v>#VALUE!</v>
      </c>
      <c r="T13" s="320" t="str">
        <f>iCCompare!AM13</f>
        <v/>
      </c>
      <c r="U13" s="84"/>
      <c r="V13" s="84"/>
      <c r="W13" s="84"/>
      <c r="X13" s="742" t="str">
        <f t="shared" si="2"/>
        <v xml:space="preserve">    1.1.2) 2.¿Existe un marco legal municipal para la gestión de residuos orientado al reciclaje y la inclusión de actores informales?</v>
      </c>
      <c r="Y13" s="199"/>
      <c r="Z13" s="399">
        <f ca="1">iCCompare!BE13</f>
        <v>0</v>
      </c>
      <c r="AA13" s="399">
        <f ca="1">iCCompare!BF13</f>
        <v>0</v>
      </c>
      <c r="AB13" s="399">
        <f ca="1">iCCompare!BG13</f>
        <v>0</v>
      </c>
      <c r="AC13" s="399">
        <f ca="1">iCCompare!BH13</f>
        <v>0</v>
      </c>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row>
    <row r="14" spans="1:61" s="315" customFormat="1" ht="28.5">
      <c r="B14" s="712">
        <f>iCCompare!AI14</f>
        <v>3</v>
      </c>
      <c r="C14" s="315" t="str">
        <f t="shared" si="1"/>
        <v>1</v>
      </c>
      <c r="D14" s="315">
        <f>iCCompare!T14</f>
        <v>5</v>
      </c>
      <c r="E14" s="316" t="str">
        <f>IF(ISERROR(REPT(" ",(B14-1)*2)&amp;iCCompare!Y14),"",REPT(" ",(B14-1)*2)&amp;iCCompare!Y14)</f>
        <v xml:space="preserve">    1.1.3) 3.¿Son las políticas municipales suficientemente estables para garantizar la continuidad en materia de políticas de reciclaje inclusivo?</v>
      </c>
      <c r="F14" s="317">
        <f t="shared" ca="1" si="0"/>
        <v>2</v>
      </c>
      <c r="G14" s="199">
        <v>0</v>
      </c>
      <c r="H14" s="318">
        <f ca="1">iCCompare!Z14</f>
        <v>50</v>
      </c>
      <c r="I14" s="319" t="str">
        <f>TEXT(iCCompare!AA14,iCCompare!AV14)</f>
        <v>1</v>
      </c>
      <c r="J14" s="320" t="str">
        <f ca="1">iCCompare!AJ14</f>
        <v>=3</v>
      </c>
      <c r="L14" s="318">
        <f ca="1">iCCompare!AB14</f>
        <v>0</v>
      </c>
      <c r="M14" s="319" t="str">
        <f>TEXT(iCCompare!AC14,iCCompare!AV14)</f>
        <v>0</v>
      </c>
      <c r="N14" s="320" t="str">
        <f ca="1">iCCompare!AK14</f>
        <v>=7</v>
      </c>
      <c r="P14" s="318" t="e">
        <f>iCCompare!AD14</f>
        <v>#VALUE!</v>
      </c>
      <c r="Q14" s="320" t="str">
        <f>iCCompare!AL14</f>
        <v/>
      </c>
      <c r="S14" s="318" t="e">
        <f>iCCompare!AF14</f>
        <v>#VALUE!</v>
      </c>
      <c r="T14" s="320" t="str">
        <f>iCCompare!AM14</f>
        <v/>
      </c>
      <c r="U14" s="84"/>
      <c r="V14" s="84"/>
      <c r="W14" s="84"/>
      <c r="X14" s="742" t="str">
        <f t="shared" si="2"/>
        <v xml:space="preserve">    1.1.3) 3.¿Son las políticas municipales suficientemente estables para garantizar la continuidad en materia de políticas de reciclaje inclusivo?</v>
      </c>
      <c r="Y14" s="199"/>
      <c r="Z14" s="399">
        <f ca="1">iCCompare!BE14</f>
        <v>1</v>
      </c>
      <c r="AA14" s="399">
        <f ca="1">iCCompare!BF14</f>
        <v>2</v>
      </c>
      <c r="AB14" s="399">
        <f ca="1">iCCompare!BG14</f>
        <v>0</v>
      </c>
      <c r="AC14" s="399">
        <f ca="1">iCCompare!BH14</f>
        <v>0</v>
      </c>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row>
    <row r="15" spans="1:61" s="315" customFormat="1" ht="28.5">
      <c r="B15" s="712">
        <f>iCCompare!AI15</f>
        <v>3</v>
      </c>
      <c r="C15" s="315" t="str">
        <f t="shared" si="1"/>
        <v>1</v>
      </c>
      <c r="D15" s="315">
        <f>iCCompare!T15</f>
        <v>6</v>
      </c>
      <c r="E15" s="316" t="str">
        <f>IF(ISERROR(REPT(" ",(B15-1)*2)&amp;iCCompare!Y15),"",REPT(" ",(B15-1)*2)&amp;iCCompare!Y15)</f>
        <v xml:space="preserve">    1.1.4) 4.¿Existe un presupuesto (o mecanismo de financiación) municipal asignado para el reciclaje inclusivo?</v>
      </c>
      <c r="F15" s="317">
        <f t="shared" ca="1" si="0"/>
        <v>1</v>
      </c>
      <c r="G15" s="199">
        <v>0</v>
      </c>
      <c r="H15" s="318">
        <f ca="1">iCCompare!Z15</f>
        <v>0</v>
      </c>
      <c r="I15" s="319" t="str">
        <f>TEXT(iCCompare!AA15,iCCompare!AV15)</f>
        <v>0</v>
      </c>
      <c r="J15" s="320" t="str">
        <f ca="1">iCCompare!AJ15</f>
        <v>=7</v>
      </c>
      <c r="L15" s="318">
        <f ca="1">iCCompare!AB15</f>
        <v>100</v>
      </c>
      <c r="M15" s="319" t="str">
        <f>TEXT(iCCompare!AC15,iCCompare!AV15)</f>
        <v>2</v>
      </c>
      <c r="N15" s="320" t="str">
        <f ca="1">iCCompare!AK15</f>
        <v>=1</v>
      </c>
      <c r="P15" s="318" t="e">
        <f>iCCompare!AD15</f>
        <v>#VALUE!</v>
      </c>
      <c r="Q15" s="320" t="str">
        <f>iCCompare!AL15</f>
        <v/>
      </c>
      <c r="S15" s="318" t="e">
        <f>iCCompare!AF15</f>
        <v>#VALUE!</v>
      </c>
      <c r="T15" s="320" t="str">
        <f>iCCompare!AM15</f>
        <v/>
      </c>
      <c r="U15" s="84"/>
      <c r="V15" s="84"/>
      <c r="W15" s="84"/>
      <c r="X15" s="742" t="str">
        <f t="shared" si="2"/>
        <v xml:space="preserve">    1.1.4) 4.¿Existe un presupuesto (o mecanismo de financiación) municipal asignado para el reciclaje inclusivo?</v>
      </c>
      <c r="Y15" s="199"/>
      <c r="Z15" s="399">
        <f ca="1">iCCompare!BE15</f>
        <v>2</v>
      </c>
      <c r="AA15" s="399">
        <f ca="1">iCCompare!BF15</f>
        <v>1</v>
      </c>
      <c r="AB15" s="399">
        <f ca="1">iCCompare!BG15</f>
        <v>0</v>
      </c>
      <c r="AC15" s="399">
        <f ca="1">iCCompare!BH15</f>
        <v>0</v>
      </c>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row>
    <row r="16" spans="1:61" s="315" customFormat="1">
      <c r="B16" s="712">
        <f>iCCompare!AI16</f>
        <v>2</v>
      </c>
      <c r="C16" s="315" t="str">
        <f t="shared" si="1"/>
        <v>1</v>
      </c>
      <c r="D16" s="315">
        <f>iCCompare!T16</f>
        <v>7</v>
      </c>
      <c r="E16" s="316" t="str">
        <f>IF(ISERROR(REPT(" ",(B16-1)*2)&amp;iCCompare!Y16),"",REPT(" ",(B16-1)*2)&amp;iCCompare!Y16)</f>
        <v xml:space="preserve">  1.2) Integración del reciclador de base</v>
      </c>
      <c r="F16" s="317">
        <f t="shared" ca="1" si="0"/>
        <v>0</v>
      </c>
      <c r="G16" s="199">
        <v>0</v>
      </c>
      <c r="H16" s="318">
        <f ca="1">iCCompare!Z16</f>
        <v>31.25</v>
      </c>
      <c r="I16" s="319" t="str">
        <f>TEXT(iCCompare!AA16,iCCompare!AV16)</f>
        <v/>
      </c>
      <c r="J16" s="320" t="str">
        <f ca="1">iCCompare!AJ16</f>
        <v>=7</v>
      </c>
      <c r="L16" s="318">
        <f ca="1">iCCompare!AB16</f>
        <v>31.25</v>
      </c>
      <c r="M16" s="319" t="str">
        <f>TEXT(iCCompare!AC16,iCCompare!AV16)</f>
        <v/>
      </c>
      <c r="N16" s="320" t="str">
        <f ca="1">iCCompare!AK16</f>
        <v>=7</v>
      </c>
      <c r="P16" s="318" t="e">
        <f>iCCompare!AD16</f>
        <v>#VALUE!</v>
      </c>
      <c r="Q16" s="320" t="str">
        <f>iCCompare!AL16</f>
        <v/>
      </c>
      <c r="S16" s="318" t="e">
        <f>iCCompare!AF16</f>
        <v>#VALUE!</v>
      </c>
      <c r="T16" s="320" t="str">
        <f>iCCompare!AM16</f>
        <v/>
      </c>
      <c r="U16" s="84"/>
      <c r="V16" s="84"/>
      <c r="W16" s="84"/>
      <c r="X16" s="742" t="str">
        <f t="shared" si="2"/>
        <v xml:space="preserve">  1.2) Integración del reciclador de base</v>
      </c>
      <c r="Y16" s="199"/>
      <c r="Z16" s="399">
        <f ca="1">iCCompare!BE16</f>
        <v>0</v>
      </c>
      <c r="AA16" s="399">
        <f ca="1">iCCompare!BF16</f>
        <v>0</v>
      </c>
      <c r="AB16" s="399">
        <f ca="1">iCCompare!BG16</f>
        <v>0</v>
      </c>
      <c r="AC16" s="399">
        <f ca="1">iCCompare!BH16</f>
        <v>0</v>
      </c>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row>
    <row r="17" spans="2:61" s="315" customFormat="1" ht="28.5">
      <c r="B17" s="712">
        <f>iCCompare!AI17</f>
        <v>3</v>
      </c>
      <c r="C17" s="315" t="str">
        <f t="shared" si="1"/>
        <v>1</v>
      </c>
      <c r="D17" s="315">
        <f>iCCompare!T17</f>
        <v>8</v>
      </c>
      <c r="E17" s="316" t="str">
        <f>IF(ISERROR(REPT(" ",(B17-1)*2)&amp;iCCompare!Y17),"",REPT(" ",(B17-1)*2)&amp;iCCompare!Y17)</f>
        <v xml:space="preserve">    1.2.1) 5.¿Existe reconocimiento legal de la ocupación de reciclador de base?</v>
      </c>
      <c r="F17" s="317">
        <f t="shared" ca="1" si="0"/>
        <v>0</v>
      </c>
      <c r="G17" s="199">
        <v>0</v>
      </c>
      <c r="H17" s="318">
        <f ca="1">iCCompare!Z17</f>
        <v>0</v>
      </c>
      <c r="I17" s="319" t="str">
        <f>TEXT(iCCompare!AA17,iCCompare!AV17)</f>
        <v>0</v>
      </c>
      <c r="J17" s="320" t="str">
        <f ca="1">iCCompare!AJ17</f>
        <v>=5</v>
      </c>
      <c r="L17" s="318">
        <f ca="1">iCCompare!AB17</f>
        <v>0</v>
      </c>
      <c r="M17" s="319" t="str">
        <f>TEXT(iCCompare!AC17,iCCompare!AV17)</f>
        <v>0</v>
      </c>
      <c r="N17" s="320" t="str">
        <f ca="1">iCCompare!AK17</f>
        <v>=5</v>
      </c>
      <c r="P17" s="318" t="e">
        <f>iCCompare!AD17</f>
        <v>#VALUE!</v>
      </c>
      <c r="Q17" s="320" t="str">
        <f>iCCompare!AL17</f>
        <v/>
      </c>
      <c r="S17" s="318" t="e">
        <f>iCCompare!AF17</f>
        <v>#VALUE!</v>
      </c>
      <c r="T17" s="320" t="str">
        <f>iCCompare!AM17</f>
        <v/>
      </c>
      <c r="U17" s="84"/>
      <c r="V17" s="84"/>
      <c r="W17" s="84"/>
      <c r="X17" s="742" t="str">
        <f t="shared" si="2"/>
        <v xml:space="preserve">    1.2.1) 5.¿Existe reconocimiento legal de la ocupación de reciclador de base?</v>
      </c>
      <c r="Y17" s="199"/>
      <c r="Z17" s="399">
        <f ca="1">iCCompare!BE17</f>
        <v>0</v>
      </c>
      <c r="AA17" s="399">
        <f ca="1">iCCompare!BF17</f>
        <v>0</v>
      </c>
      <c r="AB17" s="399">
        <f ca="1">iCCompare!BG17</f>
        <v>0</v>
      </c>
      <c r="AC17" s="399">
        <f ca="1">iCCompare!BH17</f>
        <v>0</v>
      </c>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row>
    <row r="18" spans="2:61" s="315" customFormat="1" ht="28.5">
      <c r="B18" s="712">
        <f>iCCompare!AI18</f>
        <v>3</v>
      </c>
      <c r="C18" s="315" t="str">
        <f t="shared" si="1"/>
        <v>1</v>
      </c>
      <c r="D18" s="315">
        <f>iCCompare!T18</f>
        <v>9</v>
      </c>
      <c r="E18" s="316" t="str">
        <f>IF(ISERROR(REPT(" ",(B18-1)*2)&amp;iCCompare!Y18),"",REPT(" ",(B18-1)*2)&amp;iCCompare!Y18)</f>
        <v xml:space="preserve">    1.2.2) 6.¿Se reconoce a los recicladores de base como prestadores de servicio en la gestión de residuos?</v>
      </c>
      <c r="F18" s="317">
        <f t="shared" ca="1" si="0"/>
        <v>2</v>
      </c>
      <c r="G18" s="199">
        <v>0</v>
      </c>
      <c r="H18" s="318">
        <f ca="1">iCCompare!Z18</f>
        <v>50</v>
      </c>
      <c r="I18" s="319" t="str">
        <f>TEXT(iCCompare!AA18,iCCompare!AV18)</f>
        <v>1</v>
      </c>
      <c r="J18" s="320" t="str">
        <f ca="1">iCCompare!AJ18</f>
        <v>=4</v>
      </c>
      <c r="L18" s="318">
        <f ca="1">iCCompare!AB18</f>
        <v>0</v>
      </c>
      <c r="M18" s="319" t="str">
        <f>TEXT(iCCompare!AC18,iCCompare!AV18)</f>
        <v>0</v>
      </c>
      <c r="N18" s="320" t="str">
        <f ca="1">iCCompare!AK18</f>
        <v>=9</v>
      </c>
      <c r="P18" s="318" t="e">
        <f>iCCompare!AD18</f>
        <v>#VALUE!</v>
      </c>
      <c r="Q18" s="320" t="str">
        <f>iCCompare!AL18</f>
        <v/>
      </c>
      <c r="S18" s="318" t="e">
        <f>iCCompare!AF18</f>
        <v>#VALUE!</v>
      </c>
      <c r="T18" s="320" t="str">
        <f>iCCompare!AM18</f>
        <v/>
      </c>
      <c r="U18" s="84"/>
      <c r="V18" s="84"/>
      <c r="W18" s="84"/>
      <c r="X18" s="742" t="str">
        <f t="shared" si="2"/>
        <v xml:space="preserve">    1.2.2) 6.¿Se reconoce a los recicladores de base como prestadores de servicio en la gestión de residuos?</v>
      </c>
      <c r="Y18" s="199"/>
      <c r="Z18" s="399">
        <f ca="1">iCCompare!BE18</f>
        <v>1</v>
      </c>
      <c r="AA18" s="399">
        <f ca="1">iCCompare!BF18</f>
        <v>2</v>
      </c>
      <c r="AB18" s="399">
        <f ca="1">iCCompare!BG18</f>
        <v>0</v>
      </c>
      <c r="AC18" s="399">
        <f ca="1">iCCompare!BH18</f>
        <v>0</v>
      </c>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row>
    <row r="19" spans="2:61" s="315" customFormat="1" ht="28.5">
      <c r="B19" s="712">
        <f>iCCompare!AI19</f>
        <v>3</v>
      </c>
      <c r="C19" s="315" t="str">
        <f t="shared" si="1"/>
        <v>1</v>
      </c>
      <c r="D19" s="315">
        <f>iCCompare!T19</f>
        <v>10</v>
      </c>
      <c r="E19" s="316" t="str">
        <f>IF(ISERROR(REPT(" ",(B19-1)*2)&amp;iCCompare!Y19),"",REPT(" ",(B19-1)*2)&amp;iCCompare!Y19)</f>
        <v xml:space="preserve">    1.2.3) 7.¿Se ha identificado la población de recicladores de base a través de un censo?</v>
      </c>
      <c r="F19" s="317">
        <f t="shared" ca="1" si="0"/>
        <v>0</v>
      </c>
      <c r="G19" s="199">
        <v>0</v>
      </c>
      <c r="H19" s="318">
        <f ca="1">iCCompare!Z19</f>
        <v>0</v>
      </c>
      <c r="I19" s="319" t="str">
        <f>TEXT(iCCompare!AA19,iCCompare!AV19)</f>
        <v>0</v>
      </c>
      <c r="J19" s="320" t="str">
        <f ca="1">iCCompare!AJ19</f>
        <v>=6</v>
      </c>
      <c r="L19" s="318">
        <f ca="1">iCCompare!AB19</f>
        <v>0</v>
      </c>
      <c r="M19" s="319" t="str">
        <f>TEXT(iCCompare!AC19,iCCompare!AV19)</f>
        <v>0</v>
      </c>
      <c r="N19" s="320" t="str">
        <f ca="1">iCCompare!AK19</f>
        <v>=6</v>
      </c>
      <c r="P19" s="318" t="e">
        <f>iCCompare!AD19</f>
        <v>#VALUE!</v>
      </c>
      <c r="Q19" s="320" t="str">
        <f>iCCompare!AL19</f>
        <v/>
      </c>
      <c r="S19" s="318" t="e">
        <f>iCCompare!AF19</f>
        <v>#VALUE!</v>
      </c>
      <c r="T19" s="320" t="str">
        <f>iCCompare!AM19</f>
        <v/>
      </c>
      <c r="U19" s="84"/>
      <c r="V19" s="84"/>
      <c r="W19" s="84"/>
      <c r="X19" s="742" t="str">
        <f t="shared" si="2"/>
        <v xml:space="preserve">    1.2.3) 7.¿Se ha identificado la población de recicladores de base a través de un censo?</v>
      </c>
      <c r="Y19" s="199"/>
      <c r="Z19" s="399">
        <f ca="1">iCCompare!BE19</f>
        <v>0</v>
      </c>
      <c r="AA19" s="399">
        <f ca="1">iCCompare!BF19</f>
        <v>0</v>
      </c>
      <c r="AB19" s="399">
        <f ca="1">iCCompare!BG19</f>
        <v>0</v>
      </c>
      <c r="AC19" s="399">
        <f ca="1">iCCompare!BH19</f>
        <v>0</v>
      </c>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row>
    <row r="20" spans="2:61" s="315" customFormat="1" ht="28.5">
      <c r="B20" s="712">
        <f>iCCompare!AI20</f>
        <v>3</v>
      </c>
      <c r="C20" s="315" t="str">
        <f t="shared" si="1"/>
        <v>1</v>
      </c>
      <c r="D20" s="315">
        <f>iCCompare!T20</f>
        <v>11</v>
      </c>
      <c r="E20" s="316" t="str">
        <f>IF(ISERROR(REPT(" ",(B20-1)*2)&amp;iCCompare!Y20),"",REPT(" ",(B20-1)*2)&amp;iCCompare!Y20)</f>
        <v xml:space="preserve">    1.2.4) 8.¿Cuál es el grado de transparencia e inclusión en los procesos de licitación para el reciclaje?</v>
      </c>
      <c r="F20" s="317">
        <f t="shared" ca="1" si="0"/>
        <v>2</v>
      </c>
      <c r="G20" s="199">
        <v>0</v>
      </c>
      <c r="H20" s="318">
        <f ca="1">iCCompare!Z20</f>
        <v>50</v>
      </c>
      <c r="I20" s="319" t="str">
        <f>TEXT(iCCompare!AA20,iCCompare!AV20)</f>
        <v>1</v>
      </c>
      <c r="J20" s="320" t="str">
        <f ca="1">iCCompare!AJ20</f>
        <v>=1</v>
      </c>
      <c r="L20" s="318">
        <f ca="1">iCCompare!AB20</f>
        <v>0</v>
      </c>
      <c r="M20" s="319" t="str">
        <f>TEXT(iCCompare!AC20,iCCompare!AV20)</f>
        <v>0</v>
      </c>
      <c r="N20" s="320" t="str">
        <f ca="1">iCCompare!AK20</f>
        <v>=7</v>
      </c>
      <c r="P20" s="318" t="e">
        <f>iCCompare!AD20</f>
        <v>#VALUE!</v>
      </c>
      <c r="Q20" s="320" t="str">
        <f>iCCompare!AL20</f>
        <v/>
      </c>
      <c r="S20" s="318" t="e">
        <f>iCCompare!AF20</f>
        <v>#VALUE!</v>
      </c>
      <c r="T20" s="320" t="str">
        <f>iCCompare!AM20</f>
        <v/>
      </c>
      <c r="U20" s="84"/>
      <c r="V20" s="84"/>
      <c r="W20" s="84"/>
      <c r="X20" s="742" t="str">
        <f t="shared" si="2"/>
        <v xml:space="preserve">    1.2.4) 8.¿Cuál es el grado de transparencia e inclusión en los procesos de licitación para el reciclaje?</v>
      </c>
      <c r="Y20" s="199"/>
      <c r="Z20" s="399">
        <f ca="1">iCCompare!BE20</f>
        <v>1</v>
      </c>
      <c r="AA20" s="399">
        <f ca="1">iCCompare!BF20</f>
        <v>2</v>
      </c>
      <c r="AB20" s="399">
        <f ca="1">iCCompare!BG20</f>
        <v>0</v>
      </c>
      <c r="AC20" s="399">
        <f ca="1">iCCompare!BH20</f>
        <v>0</v>
      </c>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row>
    <row r="21" spans="2:61" s="315" customFormat="1" ht="28.5">
      <c r="B21" s="712">
        <f>iCCompare!AI21</f>
        <v>3</v>
      </c>
      <c r="C21" s="315" t="str">
        <f t="shared" si="1"/>
        <v>1</v>
      </c>
      <c r="D21" s="315">
        <f>iCCompare!T21</f>
        <v>12</v>
      </c>
      <c r="E21" s="316" t="str">
        <f>IF(ISERROR(REPT(" ",(B21-1)*2)&amp;iCCompare!Y21),"",REPT(" ",(B21-1)*2)&amp;iCCompare!Y21)</f>
        <v xml:space="preserve">    1.2.5) 9.¿La normativa/ estrategia municipal de residuos sólidos: fue desarrollada de manera participativa?</v>
      </c>
      <c r="F21" s="317">
        <f t="shared" ca="1" si="0"/>
        <v>2</v>
      </c>
      <c r="G21" s="199">
        <v>0</v>
      </c>
      <c r="H21" s="318">
        <f ca="1">iCCompare!Z21</f>
        <v>100</v>
      </c>
      <c r="I21" s="319" t="str">
        <f>TEXT(iCCompare!AA21,iCCompare!AV21)</f>
        <v>2</v>
      </c>
      <c r="J21" s="320" t="str">
        <f ca="1">iCCompare!AJ21</f>
        <v>=1</v>
      </c>
      <c r="L21" s="318">
        <f ca="1">iCCompare!AB21</f>
        <v>50</v>
      </c>
      <c r="M21" s="319" t="str">
        <f>TEXT(iCCompare!AC21,iCCompare!AV21)</f>
        <v>1</v>
      </c>
      <c r="N21" s="320" t="str">
        <f ca="1">iCCompare!AK21</f>
        <v>=4</v>
      </c>
      <c r="P21" s="318" t="e">
        <f>iCCompare!AD21</f>
        <v>#VALUE!</v>
      </c>
      <c r="Q21" s="320" t="str">
        <f>iCCompare!AL21</f>
        <v/>
      </c>
      <c r="S21" s="318" t="e">
        <f>iCCompare!AF21</f>
        <v>#VALUE!</v>
      </c>
      <c r="T21" s="320" t="str">
        <f>iCCompare!AM21</f>
        <v/>
      </c>
      <c r="U21" s="84"/>
      <c r="V21" s="84"/>
      <c r="W21" s="84"/>
      <c r="X21" s="742" t="str">
        <f t="shared" ref="X21:X59" si="3">E21</f>
        <v xml:space="preserve">    1.2.5) 9.¿La normativa/ estrategia municipal de residuos sólidos: fue desarrollada de manera participativa?</v>
      </c>
      <c r="Y21" s="199"/>
      <c r="Z21" s="399">
        <f ca="1">iCCompare!BE21</f>
        <v>1</v>
      </c>
      <c r="AA21" s="399">
        <f ca="1">iCCompare!BF21</f>
        <v>2</v>
      </c>
      <c r="AB21" s="399">
        <f ca="1">iCCompare!BG21</f>
        <v>0</v>
      </c>
      <c r="AC21" s="399">
        <f ca="1">iCCompare!BH21</f>
        <v>0</v>
      </c>
      <c r="AD21" s="199"/>
      <c r="AE21" s="199"/>
      <c r="AF21" s="199"/>
      <c r="AG21" s="199"/>
      <c r="AH21" s="199"/>
      <c r="AI21" s="199"/>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row>
    <row r="22" spans="2:61" s="315" customFormat="1" ht="28.5">
      <c r="B22" s="712">
        <f>iCCompare!AI22</f>
        <v>3</v>
      </c>
      <c r="C22" s="315" t="str">
        <f t="shared" si="1"/>
        <v>1</v>
      </c>
      <c r="D22" s="315">
        <f>iCCompare!T22</f>
        <v>13</v>
      </c>
      <c r="E22" s="316" t="str">
        <f>IF(ISERROR(REPT(" ",(B22-1)*2)&amp;iCCompare!Y22),"",REPT(" ",(B22-1)*2)&amp;iCCompare!Y22)</f>
        <v xml:space="preserve">    1.2.6) 10.¿Hay programas de formación/capacitación a nivel municipal?</v>
      </c>
      <c r="F22" s="317">
        <f t="shared" ca="1" si="0"/>
        <v>1</v>
      </c>
      <c r="G22" s="199">
        <v>0</v>
      </c>
      <c r="H22" s="318">
        <f ca="1">iCCompare!Z22</f>
        <v>0</v>
      </c>
      <c r="I22" s="319" t="str">
        <f>TEXT(iCCompare!AA22,iCCompare!AV22)</f>
        <v>0</v>
      </c>
      <c r="J22" s="320" t="str">
        <f ca="1">iCCompare!AJ22</f>
        <v>=10</v>
      </c>
      <c r="L22" s="318">
        <f ca="1">iCCompare!AB22</f>
        <v>100</v>
      </c>
      <c r="M22" s="319" t="str">
        <f>TEXT(iCCompare!AC22,iCCompare!AV22)</f>
        <v>3</v>
      </c>
      <c r="N22" s="320" t="str">
        <f ca="1">iCCompare!AK22</f>
        <v>=1</v>
      </c>
      <c r="P22" s="318" t="e">
        <f>iCCompare!AD22</f>
        <v>#VALUE!</v>
      </c>
      <c r="Q22" s="320" t="str">
        <f>iCCompare!AL22</f>
        <v/>
      </c>
      <c r="S22" s="318" t="e">
        <f>iCCompare!AF22</f>
        <v>#VALUE!</v>
      </c>
      <c r="T22" s="320" t="str">
        <f>iCCompare!AM22</f>
        <v/>
      </c>
      <c r="U22" s="84"/>
      <c r="V22" s="84"/>
      <c r="W22" s="84"/>
      <c r="X22" s="742" t="str">
        <f t="shared" si="3"/>
        <v xml:space="preserve">    1.2.6) 10.¿Hay programas de formación/capacitación a nivel municipal?</v>
      </c>
      <c r="Y22" s="199"/>
      <c r="Z22" s="399">
        <f ca="1">iCCompare!BE22</f>
        <v>2</v>
      </c>
      <c r="AA22" s="399">
        <f ca="1">iCCompare!BF22</f>
        <v>1</v>
      </c>
      <c r="AB22" s="399">
        <f ca="1">iCCompare!BG22</f>
        <v>0</v>
      </c>
      <c r="AC22" s="399">
        <f ca="1">iCCompare!BH22</f>
        <v>0</v>
      </c>
      <c r="AD22" s="199"/>
      <c r="AE22" s="199"/>
      <c r="AF22" s="199"/>
      <c r="AG22" s="199"/>
      <c r="AH22" s="199"/>
      <c r="AI22" s="199"/>
      <c r="AJ22" s="199"/>
      <c r="AK22" s="199"/>
      <c r="AL22" s="199"/>
      <c r="AM22" s="199"/>
      <c r="AN22" s="199"/>
      <c r="AO22" s="199"/>
      <c r="AP22" s="199"/>
      <c r="AQ22" s="199"/>
      <c r="AR22" s="199"/>
      <c r="AS22" s="199"/>
      <c r="AT22" s="199"/>
      <c r="AU22" s="199"/>
      <c r="AV22" s="199"/>
      <c r="AW22" s="199"/>
      <c r="AX22" s="199"/>
      <c r="AY22" s="199"/>
      <c r="AZ22" s="199"/>
      <c r="BA22" s="199"/>
      <c r="BB22" s="199"/>
      <c r="BC22" s="199"/>
      <c r="BD22" s="199"/>
      <c r="BE22" s="199"/>
      <c r="BF22" s="199"/>
      <c r="BG22" s="199"/>
      <c r="BH22" s="199"/>
      <c r="BI22" s="199"/>
    </row>
    <row r="23" spans="2:61" s="315" customFormat="1" ht="28.5">
      <c r="B23" s="712">
        <f>iCCompare!AI23</f>
        <v>3</v>
      </c>
      <c r="C23" s="315" t="str">
        <f t="shared" si="1"/>
        <v>1</v>
      </c>
      <c r="D23" s="315">
        <f>iCCompare!T23</f>
        <v>14</v>
      </c>
      <c r="E23" s="316" t="str">
        <f>IF(ISERROR(REPT(" ",(B23-1)*2)&amp;iCCompare!Y23),"",REPT(" ",(B23-1)*2)&amp;iCCompare!Y23)</f>
        <v xml:space="preserve">    1.2.7) 11.¿Existen incentivos, programas y/o acciones concretas para el fortalecimiento de la ocupación del reciclador de base?</v>
      </c>
      <c r="F23" s="317">
        <f t="shared" ca="1" si="0"/>
        <v>0</v>
      </c>
      <c r="G23" s="199">
        <v>0</v>
      </c>
      <c r="H23" s="318">
        <f ca="1">iCCompare!Z23</f>
        <v>50</v>
      </c>
      <c r="I23" s="319" t="str">
        <f>TEXT(iCCompare!AA23,iCCompare!AV23)</f>
        <v>1</v>
      </c>
      <c r="J23" s="320" t="str">
        <f ca="1">iCCompare!AJ23</f>
        <v>=5</v>
      </c>
      <c r="L23" s="318">
        <f ca="1">iCCompare!AB23</f>
        <v>50</v>
      </c>
      <c r="M23" s="319" t="str">
        <f>TEXT(iCCompare!AC23,iCCompare!AV23)</f>
        <v>1</v>
      </c>
      <c r="N23" s="320" t="str">
        <f ca="1">iCCompare!AK23</f>
        <v>=5</v>
      </c>
      <c r="P23" s="318" t="e">
        <f>iCCompare!AD23</f>
        <v>#VALUE!</v>
      </c>
      <c r="Q23" s="320" t="str">
        <f>iCCompare!AL23</f>
        <v/>
      </c>
      <c r="S23" s="318" t="e">
        <f>iCCompare!AF23</f>
        <v>#VALUE!</v>
      </c>
      <c r="T23" s="320" t="str">
        <f>iCCompare!AM23</f>
        <v/>
      </c>
      <c r="U23" s="84"/>
      <c r="V23" s="84"/>
      <c r="W23" s="84"/>
      <c r="X23" s="742" t="str">
        <f t="shared" si="3"/>
        <v xml:space="preserve">    1.2.7) 11.¿Existen incentivos, programas y/o acciones concretas para el fortalecimiento de la ocupación del reciclador de base?</v>
      </c>
      <c r="Y23" s="199"/>
      <c r="Z23" s="399">
        <f ca="1">iCCompare!BE23</f>
        <v>0</v>
      </c>
      <c r="AA23" s="399">
        <f ca="1">iCCompare!BF23</f>
        <v>0</v>
      </c>
      <c r="AB23" s="399">
        <f ca="1">iCCompare!BG23</f>
        <v>0</v>
      </c>
      <c r="AC23" s="399">
        <f ca="1">iCCompare!BH23</f>
        <v>0</v>
      </c>
      <c r="AD23" s="199"/>
      <c r="AE23" s="199"/>
      <c r="AF23" s="199"/>
      <c r="AG23" s="199"/>
      <c r="AH23" s="199"/>
      <c r="AI23" s="199"/>
      <c r="AJ23" s="199"/>
      <c r="AK23" s="199"/>
      <c r="AL23" s="199"/>
      <c r="AM23" s="199"/>
      <c r="AN23" s="199"/>
      <c r="AO23" s="199"/>
      <c r="AP23" s="199"/>
      <c r="AQ23" s="199"/>
      <c r="AR23" s="199"/>
      <c r="AS23" s="199"/>
      <c r="AT23" s="199"/>
      <c r="AU23" s="199"/>
      <c r="AV23" s="199"/>
      <c r="AW23" s="199"/>
      <c r="AX23" s="199"/>
      <c r="AY23" s="199"/>
      <c r="AZ23" s="199"/>
      <c r="BA23" s="199"/>
      <c r="BB23" s="199"/>
      <c r="BC23" s="199"/>
      <c r="BD23" s="199"/>
      <c r="BE23" s="199"/>
      <c r="BF23" s="199"/>
      <c r="BG23" s="199"/>
      <c r="BH23" s="199"/>
      <c r="BI23" s="199"/>
    </row>
    <row r="24" spans="2:61" s="315" customFormat="1">
      <c r="B24" s="712">
        <f>iCCompare!AI24</f>
        <v>3</v>
      </c>
      <c r="C24" s="315" t="str">
        <f t="shared" si="1"/>
        <v>1</v>
      </c>
      <c r="D24" s="315">
        <f>iCCompare!T24</f>
        <v>15</v>
      </c>
      <c r="E24" s="316" t="str">
        <f>IF(ISERROR(REPT(" ",(B24-1)*2)&amp;iCCompare!Y24),"",REPT(" ",(B24-1)*2)&amp;iCCompare!Y24)</f>
        <v xml:space="preserve">    1.2.8) 12.¿Existen incentivos de reciclaje para los usuarios? </v>
      </c>
      <c r="F24" s="317">
        <f t="shared" ca="1" si="0"/>
        <v>1</v>
      </c>
      <c r="G24" s="199">
        <v>0</v>
      </c>
      <c r="H24" s="318">
        <f ca="1">iCCompare!Z24</f>
        <v>0</v>
      </c>
      <c r="I24" s="319" t="str">
        <f>TEXT(iCCompare!AA24,iCCompare!AV24)</f>
        <v>0</v>
      </c>
      <c r="J24" s="320" t="str">
        <f ca="1">iCCompare!AJ24</f>
        <v>=6</v>
      </c>
      <c r="L24" s="318">
        <f ca="1">iCCompare!AB24</f>
        <v>50</v>
      </c>
      <c r="M24" s="319" t="str">
        <f>TEXT(iCCompare!AC24,iCCompare!AV24)</f>
        <v>1</v>
      </c>
      <c r="N24" s="320" t="str">
        <f ca="1">iCCompare!AK24</f>
        <v>=1</v>
      </c>
      <c r="P24" s="318" t="e">
        <f>iCCompare!AD24</f>
        <v>#VALUE!</v>
      </c>
      <c r="Q24" s="320" t="str">
        <f>iCCompare!AL24</f>
        <v/>
      </c>
      <c r="S24" s="318" t="e">
        <f>iCCompare!AF24</f>
        <v>#VALUE!</v>
      </c>
      <c r="T24" s="320" t="str">
        <f>iCCompare!AM24</f>
        <v/>
      </c>
      <c r="U24" s="84"/>
      <c r="V24" s="84"/>
      <c r="W24" s="84"/>
      <c r="X24" s="742" t="str">
        <f t="shared" si="3"/>
        <v xml:space="preserve">    1.2.8) 12.¿Existen incentivos de reciclaje para los usuarios? </v>
      </c>
      <c r="Y24" s="199"/>
      <c r="Z24" s="399">
        <f ca="1">iCCompare!BE24</f>
        <v>2</v>
      </c>
      <c r="AA24" s="399">
        <f ca="1">iCCompare!BF24</f>
        <v>1</v>
      </c>
      <c r="AB24" s="399">
        <f ca="1">iCCompare!BG24</f>
        <v>0</v>
      </c>
      <c r="AC24" s="399">
        <f ca="1">iCCompare!BH24</f>
        <v>0</v>
      </c>
      <c r="AD24" s="199"/>
      <c r="AE24" s="199"/>
      <c r="AF24" s="199"/>
      <c r="AG24" s="199"/>
      <c r="AH24" s="199"/>
      <c r="AI24" s="199"/>
      <c r="AJ24" s="199"/>
      <c r="AK24" s="199"/>
      <c r="AL24" s="199"/>
      <c r="AM24" s="199"/>
      <c r="AN24" s="199"/>
      <c r="AO24" s="199"/>
      <c r="AP24" s="199"/>
      <c r="AQ24" s="199"/>
      <c r="AR24" s="199"/>
      <c r="AS24" s="199"/>
      <c r="AT24" s="199"/>
      <c r="AU24" s="199"/>
      <c r="AV24" s="199"/>
      <c r="AW24" s="199"/>
      <c r="AX24" s="199"/>
      <c r="AY24" s="199"/>
      <c r="AZ24" s="199"/>
      <c r="BA24" s="199"/>
      <c r="BB24" s="199"/>
      <c r="BC24" s="199"/>
      <c r="BD24" s="199"/>
      <c r="BE24" s="199"/>
      <c r="BF24" s="199"/>
      <c r="BG24" s="199"/>
      <c r="BH24" s="199"/>
      <c r="BI24" s="199"/>
    </row>
    <row r="25" spans="2:61" s="315" customFormat="1">
      <c r="B25" s="712">
        <f>iCCompare!AI25</f>
        <v>2</v>
      </c>
      <c r="C25" s="315" t="str">
        <f t="shared" si="1"/>
        <v>1</v>
      </c>
      <c r="D25" s="315">
        <f>iCCompare!T25</f>
        <v>16</v>
      </c>
      <c r="E25" s="316" t="str">
        <f>IF(ISERROR(REPT(" ",(B25-1)*2)&amp;iCCompare!Y25),"",REPT(" ",(B25-1)*2)&amp;iCCompare!Y25)</f>
        <v xml:space="preserve">  1.3) Generación de información</v>
      </c>
      <c r="F25" s="317">
        <f t="shared" ca="1" si="0"/>
        <v>0</v>
      </c>
      <c r="G25" s="199">
        <v>0</v>
      </c>
      <c r="H25" s="318">
        <f ca="1">iCCompare!Z25</f>
        <v>25</v>
      </c>
      <c r="I25" s="319" t="str">
        <f>TEXT(iCCompare!AA25,iCCompare!AV25)</f>
        <v/>
      </c>
      <c r="J25" s="320" t="str">
        <f ca="1">iCCompare!AJ25</f>
        <v>=5</v>
      </c>
      <c r="L25" s="318">
        <f ca="1">iCCompare!AB25</f>
        <v>25</v>
      </c>
      <c r="M25" s="319" t="str">
        <f>TEXT(iCCompare!AC25,iCCompare!AV25)</f>
        <v/>
      </c>
      <c r="N25" s="320" t="str">
        <f ca="1">iCCompare!AK25</f>
        <v>=5</v>
      </c>
      <c r="P25" s="318" t="e">
        <f>iCCompare!AD25</f>
        <v>#VALUE!</v>
      </c>
      <c r="Q25" s="320" t="str">
        <f>iCCompare!AL25</f>
        <v/>
      </c>
      <c r="S25" s="318" t="e">
        <f>iCCompare!AF25</f>
        <v>#VALUE!</v>
      </c>
      <c r="T25" s="320" t="str">
        <f>iCCompare!AM25</f>
        <v/>
      </c>
      <c r="U25" s="84"/>
      <c r="V25" s="84"/>
      <c r="W25" s="84"/>
      <c r="X25" s="742" t="str">
        <f t="shared" si="3"/>
        <v xml:space="preserve">  1.3) Generación de información</v>
      </c>
      <c r="Y25" s="199"/>
      <c r="Z25" s="399">
        <f ca="1">iCCompare!BE25</f>
        <v>0</v>
      </c>
      <c r="AA25" s="399">
        <f ca="1">iCCompare!BF25</f>
        <v>0</v>
      </c>
      <c r="AB25" s="399">
        <f ca="1">iCCompare!BG25</f>
        <v>0</v>
      </c>
      <c r="AC25" s="399">
        <f ca="1">iCCompare!BH25</f>
        <v>0</v>
      </c>
      <c r="AD25" s="199"/>
      <c r="AE25" s="199"/>
      <c r="AF25" s="199"/>
      <c r="AG25" s="199"/>
      <c r="AH25" s="199"/>
      <c r="AI25" s="199"/>
      <c r="AJ25" s="199"/>
      <c r="AK25" s="199"/>
      <c r="AL25" s="199"/>
      <c r="AM25" s="199"/>
      <c r="AN25" s="199"/>
      <c r="AO25" s="199"/>
      <c r="AP25" s="199"/>
      <c r="AQ25" s="199"/>
      <c r="AR25" s="199"/>
      <c r="AS25" s="199"/>
      <c r="AT25" s="199"/>
      <c r="AU25" s="199"/>
      <c r="AV25" s="199"/>
      <c r="AW25" s="199"/>
      <c r="AX25" s="199"/>
      <c r="AY25" s="199"/>
      <c r="AZ25" s="199"/>
      <c r="BA25" s="199"/>
      <c r="BB25" s="199"/>
      <c r="BC25" s="199"/>
      <c r="BD25" s="199"/>
      <c r="BE25" s="199"/>
      <c r="BF25" s="199"/>
      <c r="BG25" s="199"/>
      <c r="BH25" s="199"/>
      <c r="BI25" s="199"/>
    </row>
    <row r="26" spans="2:61" s="315" customFormat="1" ht="28.5">
      <c r="B26" s="712">
        <f>iCCompare!AI26</f>
        <v>3</v>
      </c>
      <c r="C26" s="315" t="str">
        <f t="shared" si="1"/>
        <v>1</v>
      </c>
      <c r="D26" s="315">
        <f>iCCompare!T26</f>
        <v>17</v>
      </c>
      <c r="E26" s="316" t="str">
        <f>IF(ISERROR(REPT(" ",(B26-1)*2)&amp;iCCompare!Y26),"",REPT(" ",(B26-1)*2)&amp;iCCompare!Y26)</f>
        <v xml:space="preserve">    1.3.1) 13.¿Hay un sistema municipal de recolección de información de reciclaje inclusivo?</v>
      </c>
      <c r="F26" s="317">
        <f t="shared" ca="1" si="0"/>
        <v>0</v>
      </c>
      <c r="G26" s="199">
        <v>0</v>
      </c>
      <c r="H26" s="318">
        <f ca="1">iCCompare!Z26</f>
        <v>0</v>
      </c>
      <c r="I26" s="319" t="str">
        <f>TEXT(iCCompare!AA26,iCCompare!AV26)</f>
        <v>0</v>
      </c>
      <c r="J26" s="320" t="str">
        <f ca="1">iCCompare!AJ26</f>
        <v>=4</v>
      </c>
      <c r="L26" s="318">
        <f ca="1">iCCompare!AB26</f>
        <v>0</v>
      </c>
      <c r="M26" s="319" t="str">
        <f>TEXT(iCCompare!AC26,iCCompare!AV26)</f>
        <v>0</v>
      </c>
      <c r="N26" s="320" t="str">
        <f ca="1">iCCompare!AK26</f>
        <v>=4</v>
      </c>
      <c r="P26" s="318" t="e">
        <f>iCCompare!AD26</f>
        <v>#VALUE!</v>
      </c>
      <c r="Q26" s="320" t="str">
        <f>iCCompare!AL26</f>
        <v/>
      </c>
      <c r="S26" s="318" t="e">
        <f>iCCompare!AF26</f>
        <v>#VALUE!</v>
      </c>
      <c r="T26" s="320" t="str">
        <f>iCCompare!AM26</f>
        <v/>
      </c>
      <c r="U26" s="84"/>
      <c r="V26" s="84"/>
      <c r="W26" s="84"/>
      <c r="X26" s="742" t="str">
        <f t="shared" si="3"/>
        <v xml:space="preserve">    1.3.1) 13.¿Hay un sistema municipal de recolección de información de reciclaje inclusivo?</v>
      </c>
      <c r="Y26" s="199"/>
      <c r="Z26" s="399">
        <f ca="1">iCCompare!BE26</f>
        <v>0</v>
      </c>
      <c r="AA26" s="399">
        <f ca="1">iCCompare!BF26</f>
        <v>0</v>
      </c>
      <c r="AB26" s="399">
        <f ca="1">iCCompare!BG26</f>
        <v>0</v>
      </c>
      <c r="AC26" s="399">
        <f ca="1">iCCompare!BH26</f>
        <v>0</v>
      </c>
      <c r="AD26" s="199"/>
      <c r="AE26" s="199"/>
      <c r="AF26" s="199"/>
      <c r="AG26" s="199"/>
      <c r="AH26" s="199"/>
      <c r="AI26" s="199"/>
      <c r="AJ26" s="199"/>
      <c r="AK26" s="199"/>
      <c r="AL26" s="199"/>
      <c r="AM26" s="199"/>
      <c r="AN26" s="199"/>
      <c r="AO26" s="199"/>
      <c r="AP26" s="199"/>
      <c r="AQ26" s="199"/>
      <c r="AR26" s="199"/>
      <c r="AS26" s="199"/>
      <c r="AT26" s="199"/>
      <c r="AU26" s="199"/>
      <c r="AV26" s="199"/>
      <c r="AW26" s="199"/>
      <c r="AX26" s="199"/>
      <c r="AY26" s="199"/>
      <c r="AZ26" s="199"/>
      <c r="BA26" s="199"/>
      <c r="BB26" s="199"/>
      <c r="BC26" s="199"/>
      <c r="BD26" s="199"/>
      <c r="BE26" s="199"/>
      <c r="BF26" s="199"/>
      <c r="BG26" s="199"/>
      <c r="BH26" s="199"/>
      <c r="BI26" s="199"/>
    </row>
    <row r="27" spans="2:61" s="315" customFormat="1" ht="28.5">
      <c r="B27" s="712">
        <f>iCCompare!AI27</f>
        <v>3</v>
      </c>
      <c r="C27" s="315" t="str">
        <f t="shared" si="1"/>
        <v>1</v>
      </c>
      <c r="D27" s="315">
        <f>iCCompare!T27</f>
        <v>18</v>
      </c>
      <c r="E27" s="316" t="str">
        <f>IF(ISERROR(REPT(" ",(B27-1)*2)&amp;iCCompare!Y27),"",REPT(" ",(B27-1)*2)&amp;iCCompare!Y27)</f>
        <v xml:space="preserve">    1.3.2) 14.¿Hay campañas de comunicación para fomentar el reciclaje inclusivo con difusión en el municipio?</v>
      </c>
      <c r="F27" s="317">
        <f t="shared" ca="1" si="0"/>
        <v>0</v>
      </c>
      <c r="G27" s="199">
        <v>0</v>
      </c>
      <c r="H27" s="318">
        <f ca="1">iCCompare!Z27</f>
        <v>50</v>
      </c>
      <c r="I27" s="319" t="str">
        <f>TEXT(iCCompare!AA27,iCCompare!AV27)</f>
        <v>1</v>
      </c>
      <c r="J27" s="320" t="str">
        <f ca="1">iCCompare!AJ27</f>
        <v>=2</v>
      </c>
      <c r="L27" s="318">
        <f ca="1">iCCompare!AB27</f>
        <v>50</v>
      </c>
      <c r="M27" s="319" t="str">
        <f>TEXT(iCCompare!AC27,iCCompare!AV27)</f>
        <v>1</v>
      </c>
      <c r="N27" s="320" t="str">
        <f ca="1">iCCompare!AK27</f>
        <v>=2</v>
      </c>
      <c r="P27" s="318" t="e">
        <f>iCCompare!AD27</f>
        <v>#VALUE!</v>
      </c>
      <c r="Q27" s="320" t="str">
        <f>iCCompare!AL27</f>
        <v/>
      </c>
      <c r="S27" s="318" t="e">
        <f>iCCompare!AF27</f>
        <v>#VALUE!</v>
      </c>
      <c r="T27" s="320" t="str">
        <f>iCCompare!AM27</f>
        <v/>
      </c>
      <c r="U27" s="84"/>
      <c r="V27" s="84"/>
      <c r="W27" s="84"/>
      <c r="X27" s="742" t="str">
        <f t="shared" si="3"/>
        <v xml:space="preserve">    1.3.2) 14.¿Hay campañas de comunicación para fomentar el reciclaje inclusivo con difusión en el municipio?</v>
      </c>
      <c r="Y27" s="199"/>
      <c r="Z27" s="399">
        <f ca="1">iCCompare!BE27</f>
        <v>0</v>
      </c>
      <c r="AA27" s="399">
        <f ca="1">iCCompare!BF27</f>
        <v>0</v>
      </c>
      <c r="AB27" s="399">
        <f ca="1">iCCompare!BG27</f>
        <v>0</v>
      </c>
      <c r="AC27" s="399">
        <f ca="1">iCCompare!BH27</f>
        <v>0</v>
      </c>
      <c r="AD27" s="199"/>
      <c r="AE27" s="199"/>
      <c r="AF27" s="199"/>
      <c r="AG27" s="199"/>
      <c r="AH27" s="199"/>
      <c r="AI27" s="199"/>
      <c r="AJ27" s="199"/>
      <c r="AK27" s="199"/>
      <c r="AL27" s="199"/>
      <c r="AM27" s="199"/>
      <c r="AN27" s="199"/>
      <c r="AO27" s="199"/>
      <c r="AP27" s="199"/>
      <c r="AQ27" s="199"/>
      <c r="AR27" s="199"/>
      <c r="AS27" s="199"/>
      <c r="AT27" s="199"/>
      <c r="AU27" s="199"/>
      <c r="AV27" s="199"/>
      <c r="AW27" s="199"/>
      <c r="AX27" s="199"/>
      <c r="AY27" s="199"/>
      <c r="AZ27" s="199"/>
      <c r="BA27" s="199"/>
      <c r="BB27" s="199"/>
      <c r="BC27" s="199"/>
      <c r="BD27" s="199"/>
      <c r="BE27" s="199"/>
      <c r="BF27" s="199"/>
      <c r="BG27" s="199"/>
      <c r="BH27" s="199"/>
      <c r="BI27" s="199"/>
    </row>
    <row r="28" spans="2:61" s="315" customFormat="1">
      <c r="B28" s="712">
        <f>iCCompare!AI28</f>
        <v>2</v>
      </c>
      <c r="C28" s="315" t="str">
        <f t="shared" si="1"/>
        <v>1</v>
      </c>
      <c r="D28" s="315">
        <f>iCCompare!T28</f>
        <v>19</v>
      </c>
      <c r="E28" s="316" t="str">
        <f>IF(ISERROR(REPT(" ",(B28-1)*2)&amp;iCCompare!Y28),"",REPT(" ",(B28-1)*2)&amp;iCCompare!Y28)</f>
        <v xml:space="preserve">  1.4) Salud pública y el medioambiente</v>
      </c>
      <c r="F28" s="317">
        <f t="shared" ca="1" si="0"/>
        <v>0</v>
      </c>
      <c r="G28" s="199">
        <v>0</v>
      </c>
      <c r="H28" s="318">
        <f ca="1">iCCompare!Z28</f>
        <v>50</v>
      </c>
      <c r="I28" s="319" t="str">
        <f>TEXT(iCCompare!AA28,iCCompare!AV28)</f>
        <v/>
      </c>
      <c r="J28" s="320" t="str">
        <f ca="1">iCCompare!AJ28</f>
        <v>=5</v>
      </c>
      <c r="L28" s="318">
        <f ca="1">iCCompare!AB28</f>
        <v>50</v>
      </c>
      <c r="M28" s="319" t="str">
        <f>TEXT(iCCompare!AC28,iCCompare!AV28)</f>
        <v/>
      </c>
      <c r="N28" s="320" t="str">
        <f ca="1">iCCompare!AK28</f>
        <v>=5</v>
      </c>
      <c r="P28" s="318" t="e">
        <f>iCCompare!AD28</f>
        <v>#VALUE!</v>
      </c>
      <c r="Q28" s="320" t="str">
        <f>iCCompare!AL28</f>
        <v/>
      </c>
      <c r="S28" s="318" t="e">
        <f>iCCompare!AF28</f>
        <v>#VALUE!</v>
      </c>
      <c r="T28" s="320" t="str">
        <f>iCCompare!AM28</f>
        <v/>
      </c>
      <c r="U28" s="84"/>
      <c r="V28" s="84"/>
      <c r="W28" s="84"/>
      <c r="X28" s="742" t="str">
        <f t="shared" si="3"/>
        <v xml:space="preserve">  1.4) Salud pública y el medioambiente</v>
      </c>
      <c r="Y28" s="199"/>
      <c r="Z28" s="399">
        <f ca="1">iCCompare!BE28</f>
        <v>0</v>
      </c>
      <c r="AA28" s="399">
        <f ca="1">iCCompare!BF28</f>
        <v>0</v>
      </c>
      <c r="AB28" s="399">
        <f ca="1">iCCompare!BG28</f>
        <v>0</v>
      </c>
      <c r="AC28" s="399">
        <f ca="1">iCCompare!BH28</f>
        <v>0</v>
      </c>
      <c r="AD28" s="199"/>
      <c r="AE28" s="199"/>
      <c r="AF28" s="199"/>
      <c r="AG28" s="199"/>
      <c r="AH28" s="199"/>
      <c r="AI28" s="199"/>
      <c r="AJ28" s="199"/>
      <c r="AK28" s="199"/>
      <c r="AL28" s="199"/>
      <c r="AM28" s="199"/>
      <c r="AN28" s="199"/>
      <c r="AO28" s="199"/>
      <c r="AP28" s="199"/>
      <c r="AQ28" s="199"/>
      <c r="AR28" s="199"/>
      <c r="AS28" s="199"/>
      <c r="AT28" s="199"/>
      <c r="AU28" s="199"/>
      <c r="AV28" s="199"/>
      <c r="AW28" s="199"/>
      <c r="AX28" s="199"/>
      <c r="AY28" s="199"/>
      <c r="AZ28" s="199"/>
      <c r="BA28" s="199"/>
      <c r="BB28" s="199"/>
      <c r="BC28" s="199"/>
      <c r="BD28" s="199"/>
      <c r="BE28" s="199"/>
      <c r="BF28" s="199"/>
      <c r="BG28" s="199"/>
      <c r="BH28" s="199"/>
      <c r="BI28" s="199"/>
    </row>
    <row r="29" spans="2:61" s="315" customFormat="1" ht="42.75">
      <c r="B29" s="712">
        <f>iCCompare!AI29</f>
        <v>3</v>
      </c>
      <c r="C29" s="315" t="str">
        <f t="shared" si="1"/>
        <v>1</v>
      </c>
      <c r="D29" s="315">
        <f>iCCompare!T29</f>
        <v>20</v>
      </c>
      <c r="E29" s="316" t="str">
        <f>IF(ISERROR(REPT(" ",(B29-1)*2)&amp;iCCompare!Y29),"",REPT(" ",(B29-1)*2)&amp;iCCompare!Y29)</f>
        <v xml:space="preserve">    1.4.1) 15.¿Existe adecuada regulación y control sobre clasificación y manejo de desechos especiales y/o  peligrosos y sobre clasificación en la calle?</v>
      </c>
      <c r="F29" s="317">
        <f t="shared" ca="1" si="0"/>
        <v>0</v>
      </c>
      <c r="G29" s="199">
        <v>0</v>
      </c>
      <c r="H29" s="318">
        <f ca="1">iCCompare!Z29</f>
        <v>50</v>
      </c>
      <c r="I29" s="319" t="str">
        <f>TEXT(iCCompare!AA29,iCCompare!AV29)</f>
        <v>1</v>
      </c>
      <c r="J29" s="320" t="str">
        <f ca="1">iCCompare!AJ29</f>
        <v>=5</v>
      </c>
      <c r="L29" s="318">
        <f ca="1">iCCompare!AB29</f>
        <v>50</v>
      </c>
      <c r="M29" s="319" t="str">
        <f>TEXT(iCCompare!AC29,iCCompare!AV29)</f>
        <v>1</v>
      </c>
      <c r="N29" s="320" t="str">
        <f ca="1">iCCompare!AK29</f>
        <v>=5</v>
      </c>
      <c r="P29" s="318" t="e">
        <f>iCCompare!AD29</f>
        <v>#VALUE!</v>
      </c>
      <c r="Q29" s="320" t="str">
        <f>iCCompare!AL29</f>
        <v/>
      </c>
      <c r="S29" s="318" t="e">
        <f>iCCompare!AF29</f>
        <v>#VALUE!</v>
      </c>
      <c r="T29" s="320" t="str">
        <f>iCCompare!AM29</f>
        <v/>
      </c>
      <c r="U29" s="84"/>
      <c r="V29" s="84"/>
      <c r="W29" s="84"/>
      <c r="X29" s="742" t="str">
        <f t="shared" si="3"/>
        <v xml:space="preserve">    1.4.1) 15.¿Existe adecuada regulación y control sobre clasificación y manejo de desechos especiales y/o  peligrosos y sobre clasificación en la calle?</v>
      </c>
      <c r="Y29" s="199"/>
      <c r="Z29" s="399">
        <f ca="1">iCCompare!BE29</f>
        <v>0</v>
      </c>
      <c r="AA29" s="399">
        <f ca="1">iCCompare!BF29</f>
        <v>0</v>
      </c>
      <c r="AB29" s="399">
        <f ca="1">iCCompare!BG29</f>
        <v>0</v>
      </c>
      <c r="AC29" s="399">
        <f ca="1">iCCompare!BH29</f>
        <v>0</v>
      </c>
      <c r="AD29" s="199"/>
      <c r="AE29" s="199"/>
      <c r="AF29" s="199"/>
      <c r="AG29" s="199"/>
      <c r="AH29" s="199"/>
      <c r="AI29" s="199"/>
      <c r="AJ29" s="199"/>
      <c r="AK29" s="199"/>
      <c r="AL29" s="199"/>
      <c r="AM29" s="199"/>
      <c r="AN29" s="199"/>
      <c r="AO29" s="199"/>
      <c r="AP29" s="199"/>
      <c r="AQ29" s="199"/>
      <c r="AR29" s="199"/>
      <c r="AS29" s="199"/>
      <c r="AT29" s="199"/>
      <c r="AU29" s="199"/>
      <c r="AV29" s="199"/>
      <c r="AW29" s="199"/>
      <c r="AX29" s="199"/>
      <c r="AY29" s="199"/>
      <c r="AZ29" s="199"/>
      <c r="BA29" s="199"/>
      <c r="BB29" s="199"/>
      <c r="BC29" s="199"/>
      <c r="BD29" s="199"/>
      <c r="BE29" s="199"/>
      <c r="BF29" s="199"/>
      <c r="BG29" s="199"/>
      <c r="BH29" s="199"/>
      <c r="BI29" s="199"/>
    </row>
    <row r="30" spans="2:61" s="712" customFormat="1" hidden="1">
      <c r="B30" s="712" t="str">
        <f>iCCompare!AI30</f>
        <v/>
      </c>
      <c r="C30" s="712" t="str">
        <f t="shared" si="1"/>
        <v>0</v>
      </c>
      <c r="D30" s="712" t="str">
        <f>iCCompare!T30</f>
        <v/>
      </c>
      <c r="E30" s="713" t="str">
        <f>IF(ISERROR(REPT(" ",(B30-1)*2)&amp;iCCompare!Y30),"",REPT(" ",(B30-1)*2)&amp;iCCompare!Y30)</f>
        <v/>
      </c>
      <c r="F30" s="714">
        <f t="shared" si="0"/>
        <v>0</v>
      </c>
      <c r="G30" s="715">
        <v>0</v>
      </c>
      <c r="H30" s="716" t="str">
        <f>iCCompare!Z30</f>
        <v/>
      </c>
      <c r="I30" s="717" t="str">
        <f>TEXT(iCCompare!AA30,iCCompare!AV30)</f>
        <v/>
      </c>
      <c r="J30" s="718" t="str">
        <f>iCCompare!AJ30</f>
        <v/>
      </c>
      <c r="L30" s="716" t="str">
        <f>iCCompare!AB30</f>
        <v/>
      </c>
      <c r="M30" s="717" t="str">
        <f>TEXT(iCCompare!AC30,iCCompare!AV30)</f>
        <v/>
      </c>
      <c r="N30" s="718" t="str">
        <f>iCCompare!AK30</f>
        <v/>
      </c>
      <c r="P30" s="716" t="str">
        <f>iCCompare!AD30</f>
        <v/>
      </c>
      <c r="Q30" s="718" t="str">
        <f>iCCompare!AL30</f>
        <v/>
      </c>
      <c r="S30" s="716" t="str">
        <f>iCCompare!AF30</f>
        <v/>
      </c>
      <c r="T30" s="718" t="str">
        <f>iCCompare!AM30</f>
        <v/>
      </c>
      <c r="U30" s="719"/>
      <c r="V30" s="719"/>
      <c r="W30" s="719"/>
      <c r="X30" s="746" t="str">
        <f t="shared" si="3"/>
        <v/>
      </c>
      <c r="Y30" s="715"/>
      <c r="Z30" s="720">
        <f>iCCompare!BE30</f>
        <v>0</v>
      </c>
      <c r="AA30" s="720">
        <f>iCCompare!BF30</f>
        <v>0</v>
      </c>
      <c r="AB30" s="720">
        <f>iCCompare!BG30</f>
        <v>0</v>
      </c>
      <c r="AC30" s="720">
        <f>iCCompare!BH30</f>
        <v>0</v>
      </c>
      <c r="AD30" s="715"/>
      <c r="AE30" s="715"/>
      <c r="AF30" s="715"/>
      <c r="AG30" s="715"/>
      <c r="AH30" s="715"/>
      <c r="AI30" s="715"/>
      <c r="AJ30" s="715"/>
      <c r="AK30" s="715"/>
      <c r="AL30" s="715"/>
      <c r="AM30" s="715"/>
      <c r="AN30" s="715"/>
      <c r="AO30" s="715"/>
      <c r="AP30" s="715"/>
      <c r="AQ30" s="715"/>
      <c r="AR30" s="715"/>
      <c r="AS30" s="715"/>
      <c r="AT30" s="715"/>
      <c r="AU30" s="715"/>
      <c r="AV30" s="715"/>
      <c r="AW30" s="715"/>
      <c r="AX30" s="715"/>
      <c r="AY30" s="715"/>
      <c r="AZ30" s="715"/>
      <c r="BA30" s="715"/>
      <c r="BB30" s="715"/>
      <c r="BC30" s="715"/>
      <c r="BD30" s="715"/>
      <c r="BE30" s="715"/>
      <c r="BF30" s="715"/>
      <c r="BG30" s="715"/>
      <c r="BH30" s="715"/>
      <c r="BI30" s="715"/>
    </row>
    <row r="31" spans="2:61" s="315" customFormat="1" hidden="1">
      <c r="B31" s="712" t="str">
        <f>iCCompare!AI31</f>
        <v/>
      </c>
      <c r="C31" s="315" t="str">
        <f t="shared" si="1"/>
        <v>0</v>
      </c>
      <c r="D31" s="315" t="str">
        <f>iCCompare!T31</f>
        <v/>
      </c>
      <c r="E31" s="316" t="str">
        <f>IF(ISERROR(REPT(" ",(B31-1)*2)&amp;iCCompare!Y31),"",REPT(" ",(B31-1)*2)&amp;iCCompare!Y31)</f>
        <v/>
      </c>
      <c r="F31" s="317">
        <f t="shared" si="0"/>
        <v>0</v>
      </c>
      <c r="G31" s="199">
        <v>0</v>
      </c>
      <c r="H31" s="318" t="str">
        <f>iCCompare!Z31</f>
        <v/>
      </c>
      <c r="I31" s="319" t="str">
        <f>TEXT(iCCompare!AA31,iCCompare!AV31)</f>
        <v/>
      </c>
      <c r="J31" s="320" t="str">
        <f>iCCompare!AJ31</f>
        <v/>
      </c>
      <c r="L31" s="318" t="str">
        <f>iCCompare!AB31</f>
        <v/>
      </c>
      <c r="M31" s="319" t="str">
        <f>TEXT(iCCompare!AC31,iCCompare!AV31)</f>
        <v/>
      </c>
      <c r="N31" s="320" t="str">
        <f>iCCompare!AK31</f>
        <v/>
      </c>
      <c r="P31" s="318" t="str">
        <f>iCCompare!AD31</f>
        <v/>
      </c>
      <c r="Q31" s="320" t="str">
        <f>iCCompare!AL31</f>
        <v/>
      </c>
      <c r="S31" s="318" t="str">
        <f>iCCompare!AF31</f>
        <v/>
      </c>
      <c r="T31" s="320" t="str">
        <f>iCCompare!AM31</f>
        <v/>
      </c>
      <c r="U31" s="84"/>
      <c r="V31" s="84"/>
      <c r="W31" s="84"/>
      <c r="X31" s="742" t="str">
        <f t="shared" si="3"/>
        <v/>
      </c>
      <c r="Y31" s="199"/>
      <c r="Z31" s="399">
        <f>iCCompare!BE31</f>
        <v>0</v>
      </c>
      <c r="AA31" s="399">
        <f>iCCompare!BF31</f>
        <v>0</v>
      </c>
      <c r="AB31" s="399">
        <f>iCCompare!BG31</f>
        <v>0</v>
      </c>
      <c r="AC31" s="399">
        <f>iCCompare!BH31</f>
        <v>0</v>
      </c>
      <c r="AD31" s="199"/>
      <c r="AE31" s="199"/>
      <c r="AF31" s="199"/>
      <c r="AG31" s="199"/>
      <c r="AH31" s="199"/>
      <c r="AI31" s="199"/>
      <c r="AJ31" s="199"/>
      <c r="AK31" s="199"/>
      <c r="AL31" s="199"/>
      <c r="AM31" s="199"/>
      <c r="AN31" s="199"/>
      <c r="AO31" s="199"/>
      <c r="AP31" s="199"/>
      <c r="AQ31" s="199"/>
      <c r="AR31" s="199"/>
      <c r="AS31" s="199"/>
      <c r="AT31" s="199"/>
      <c r="AU31" s="199"/>
      <c r="AV31" s="199"/>
      <c r="AW31" s="199"/>
      <c r="AX31" s="199"/>
      <c r="AY31" s="199"/>
      <c r="AZ31" s="199"/>
      <c r="BA31" s="199"/>
      <c r="BB31" s="199"/>
      <c r="BC31" s="199"/>
      <c r="BD31" s="199"/>
      <c r="BE31" s="199"/>
      <c r="BF31" s="199"/>
      <c r="BG31" s="199"/>
      <c r="BH31" s="199"/>
      <c r="BI31" s="199"/>
    </row>
    <row r="32" spans="2:61" s="315" customFormat="1" hidden="1">
      <c r="B32" s="712" t="str">
        <f>iCCompare!AI32</f>
        <v/>
      </c>
      <c r="C32" s="315" t="str">
        <f t="shared" si="1"/>
        <v>0</v>
      </c>
      <c r="D32" s="315" t="str">
        <f>iCCompare!T32</f>
        <v/>
      </c>
      <c r="E32" s="316" t="str">
        <f>IF(ISERROR(REPT(" ",(B32-1)*2)&amp;iCCompare!Y32),"",REPT(" ",(B32-1)*2)&amp;iCCompare!Y32)</f>
        <v/>
      </c>
      <c r="F32" s="317">
        <f t="shared" si="0"/>
        <v>0</v>
      </c>
      <c r="G32" s="199">
        <v>0</v>
      </c>
      <c r="H32" s="318" t="str">
        <f>iCCompare!Z32</f>
        <v/>
      </c>
      <c r="I32" s="319" t="str">
        <f>TEXT(iCCompare!AA32,iCCompare!AV32)</f>
        <v/>
      </c>
      <c r="J32" s="320" t="str">
        <f>iCCompare!AJ32</f>
        <v/>
      </c>
      <c r="L32" s="318" t="str">
        <f>iCCompare!AB32</f>
        <v/>
      </c>
      <c r="M32" s="319" t="str">
        <f>TEXT(iCCompare!AC32,iCCompare!AV32)</f>
        <v/>
      </c>
      <c r="N32" s="320" t="str">
        <f>iCCompare!AK32</f>
        <v/>
      </c>
      <c r="P32" s="318" t="str">
        <f>iCCompare!AD32</f>
        <v/>
      </c>
      <c r="Q32" s="320" t="str">
        <f>iCCompare!AL32</f>
        <v/>
      </c>
      <c r="S32" s="318" t="str">
        <f>iCCompare!AF32</f>
        <v/>
      </c>
      <c r="T32" s="320" t="str">
        <f>iCCompare!AM32</f>
        <v/>
      </c>
      <c r="U32" s="84"/>
      <c r="V32" s="84"/>
      <c r="W32" s="84"/>
      <c r="X32" s="742" t="str">
        <f t="shared" si="3"/>
        <v/>
      </c>
      <c r="Y32" s="199"/>
      <c r="Z32" s="399">
        <f>iCCompare!BE32</f>
        <v>0</v>
      </c>
      <c r="AA32" s="399">
        <f>iCCompare!BF32</f>
        <v>0</v>
      </c>
      <c r="AB32" s="399">
        <f>iCCompare!BG32</f>
        <v>0</v>
      </c>
      <c r="AC32" s="399">
        <f>iCCompare!BH32</f>
        <v>0</v>
      </c>
      <c r="AD32" s="199"/>
      <c r="AE32" s="199"/>
      <c r="AF32" s="199"/>
      <c r="AG32" s="199"/>
      <c r="AH32" s="199"/>
      <c r="AI32" s="199"/>
      <c r="AJ32" s="199"/>
      <c r="AK32" s="199"/>
      <c r="AL32" s="199"/>
      <c r="AM32" s="199"/>
      <c r="AN32" s="199"/>
      <c r="AO32" s="199"/>
      <c r="AP32" s="199"/>
      <c r="AQ32" s="199"/>
      <c r="AR32" s="199"/>
      <c r="AS32" s="199"/>
      <c r="AT32" s="199"/>
      <c r="AU32" s="199"/>
      <c r="AV32" s="199"/>
      <c r="AW32" s="199"/>
      <c r="AX32" s="199"/>
      <c r="AY32" s="199"/>
      <c r="AZ32" s="199"/>
      <c r="BA32" s="199"/>
      <c r="BB32" s="199"/>
      <c r="BC32" s="199"/>
      <c r="BD32" s="199"/>
      <c r="BE32" s="199"/>
      <c r="BF32" s="199"/>
      <c r="BG32" s="199"/>
      <c r="BH32" s="199"/>
      <c r="BI32" s="199"/>
    </row>
    <row r="33" spans="2:61" s="315" customFormat="1" hidden="1">
      <c r="B33" s="712" t="str">
        <f>iCCompare!AI33</f>
        <v/>
      </c>
      <c r="C33" s="315" t="str">
        <f t="shared" si="1"/>
        <v>0</v>
      </c>
      <c r="D33" s="315" t="str">
        <f>iCCompare!T33</f>
        <v/>
      </c>
      <c r="E33" s="316" t="str">
        <f>IF(ISERROR(REPT(" ",(B33-1)*2)&amp;iCCompare!Y33),"",REPT(" ",(B33-1)*2)&amp;iCCompare!Y33)</f>
        <v/>
      </c>
      <c r="F33" s="317">
        <f t="shared" si="0"/>
        <v>0</v>
      </c>
      <c r="G33" s="199">
        <v>0</v>
      </c>
      <c r="H33" s="318" t="str">
        <f>iCCompare!Z33</f>
        <v/>
      </c>
      <c r="I33" s="319" t="str">
        <f>TEXT(iCCompare!AA33,iCCompare!AV33)</f>
        <v/>
      </c>
      <c r="J33" s="320" t="str">
        <f>iCCompare!AJ33</f>
        <v/>
      </c>
      <c r="L33" s="318" t="str">
        <f>iCCompare!AB33</f>
        <v/>
      </c>
      <c r="M33" s="319" t="str">
        <f>TEXT(iCCompare!AC33,iCCompare!AV33)</f>
        <v/>
      </c>
      <c r="N33" s="320" t="str">
        <f>iCCompare!AK33</f>
        <v/>
      </c>
      <c r="P33" s="318" t="str">
        <f>iCCompare!AD33</f>
        <v/>
      </c>
      <c r="Q33" s="320" t="str">
        <f>iCCompare!AL33</f>
        <v/>
      </c>
      <c r="S33" s="318" t="str">
        <f>iCCompare!AF33</f>
        <v/>
      </c>
      <c r="T33" s="320" t="str">
        <f>iCCompare!AM33</f>
        <v/>
      </c>
      <c r="U33" s="84"/>
      <c r="V33" s="84"/>
      <c r="W33" s="84"/>
      <c r="X33" s="742" t="str">
        <f t="shared" si="3"/>
        <v/>
      </c>
      <c r="Y33" s="199"/>
      <c r="Z33" s="399">
        <f>iCCompare!BE33</f>
        <v>0</v>
      </c>
      <c r="AA33" s="399">
        <f>iCCompare!BF33</f>
        <v>0</v>
      </c>
      <c r="AB33" s="399">
        <f>iCCompare!BG33</f>
        <v>0</v>
      </c>
      <c r="AC33" s="399">
        <f>iCCompare!BH33</f>
        <v>0</v>
      </c>
      <c r="AD33" s="199"/>
      <c r="AE33" s="199"/>
      <c r="AF33" s="199"/>
      <c r="AG33" s="199"/>
      <c r="AH33" s="199"/>
      <c r="AI33" s="199"/>
      <c r="AJ33" s="199"/>
      <c r="AK33" s="199"/>
      <c r="AL33" s="199"/>
      <c r="AM33" s="199"/>
      <c r="AN33" s="199"/>
      <c r="AO33" s="199"/>
      <c r="AP33" s="199"/>
      <c r="AQ33" s="199"/>
      <c r="AR33" s="199"/>
      <c r="AS33" s="199"/>
      <c r="AT33" s="199"/>
      <c r="AU33" s="199"/>
      <c r="AV33" s="199"/>
      <c r="AW33" s="199"/>
      <c r="AX33" s="199"/>
      <c r="AY33" s="199"/>
      <c r="AZ33" s="199"/>
      <c r="BA33" s="199"/>
      <c r="BB33" s="199"/>
      <c r="BC33" s="199"/>
      <c r="BD33" s="199"/>
      <c r="BE33" s="199"/>
      <c r="BF33" s="199"/>
      <c r="BG33" s="199"/>
      <c r="BH33" s="199"/>
      <c r="BI33" s="199"/>
    </row>
    <row r="34" spans="2:61" s="315" customFormat="1" hidden="1">
      <c r="B34" s="712" t="str">
        <f>iCCompare!AI34</f>
        <v/>
      </c>
      <c r="C34" s="315" t="str">
        <f t="shared" si="1"/>
        <v>0</v>
      </c>
      <c r="D34" s="315" t="str">
        <f>iCCompare!T34</f>
        <v/>
      </c>
      <c r="E34" s="316" t="str">
        <f>IF(ISERROR(REPT(" ",(B34-1)*2)&amp;iCCompare!Y34),"",REPT(" ",(B34-1)*2)&amp;iCCompare!Y34)</f>
        <v/>
      </c>
      <c r="F34" s="317">
        <f t="shared" si="0"/>
        <v>0</v>
      </c>
      <c r="G34" s="199">
        <v>0</v>
      </c>
      <c r="H34" s="318" t="str">
        <f>iCCompare!Z34</f>
        <v/>
      </c>
      <c r="I34" s="319" t="str">
        <f>TEXT(iCCompare!AA34,iCCompare!AV34)</f>
        <v/>
      </c>
      <c r="J34" s="320" t="str">
        <f>iCCompare!AJ34</f>
        <v/>
      </c>
      <c r="L34" s="318" t="str">
        <f>iCCompare!AB34</f>
        <v/>
      </c>
      <c r="M34" s="319" t="str">
        <f>TEXT(iCCompare!AC34,iCCompare!AV34)</f>
        <v/>
      </c>
      <c r="N34" s="320" t="str">
        <f>iCCompare!AK34</f>
        <v/>
      </c>
      <c r="P34" s="318" t="str">
        <f>iCCompare!AD34</f>
        <v/>
      </c>
      <c r="Q34" s="320" t="str">
        <f>iCCompare!AL34</f>
        <v/>
      </c>
      <c r="S34" s="318" t="str">
        <f>iCCompare!AF34</f>
        <v/>
      </c>
      <c r="T34" s="320" t="str">
        <f>iCCompare!AM34</f>
        <v/>
      </c>
      <c r="U34" s="84"/>
      <c r="V34" s="84"/>
      <c r="W34" s="84"/>
      <c r="X34" s="742" t="str">
        <f t="shared" si="3"/>
        <v/>
      </c>
      <c r="Y34" s="199"/>
      <c r="Z34" s="399">
        <f>iCCompare!BE34</f>
        <v>0</v>
      </c>
      <c r="AA34" s="399">
        <f>iCCompare!BF34</f>
        <v>0</v>
      </c>
      <c r="AB34" s="399">
        <f>iCCompare!BG34</f>
        <v>0</v>
      </c>
      <c r="AC34" s="399">
        <f>iCCompare!BH34</f>
        <v>0</v>
      </c>
      <c r="AD34" s="199"/>
      <c r="AE34" s="199"/>
      <c r="AF34" s="199"/>
      <c r="AG34" s="199"/>
      <c r="AH34" s="199"/>
      <c r="AI34" s="199"/>
      <c r="AJ34" s="199"/>
      <c r="AK34" s="199"/>
      <c r="AL34" s="199"/>
      <c r="AM34" s="199"/>
      <c r="AN34" s="199"/>
      <c r="AO34" s="199"/>
      <c r="AP34" s="199"/>
      <c r="AQ34" s="199"/>
      <c r="AR34" s="199"/>
      <c r="AS34" s="199"/>
      <c r="AT34" s="199"/>
      <c r="AU34" s="199"/>
      <c r="AV34" s="199"/>
      <c r="AW34" s="199"/>
      <c r="AX34" s="199"/>
      <c r="AY34" s="199"/>
      <c r="AZ34" s="199"/>
      <c r="BA34" s="199"/>
      <c r="BB34" s="199"/>
      <c r="BC34" s="199"/>
      <c r="BD34" s="199"/>
      <c r="BE34" s="199"/>
      <c r="BF34" s="199"/>
      <c r="BG34" s="199"/>
      <c r="BH34" s="199"/>
      <c r="BI34" s="199"/>
    </row>
    <row r="35" spans="2:61" s="315" customFormat="1" hidden="1">
      <c r="B35" s="712" t="str">
        <f>iCCompare!AI35</f>
        <v/>
      </c>
      <c r="C35" s="315" t="str">
        <f t="shared" si="1"/>
        <v>0</v>
      </c>
      <c r="D35" s="315" t="str">
        <f>iCCompare!T35</f>
        <v/>
      </c>
      <c r="E35" s="316" t="str">
        <f>IF(ISERROR(REPT(" ",(B35-1)*2)&amp;iCCompare!Y35),"",REPT(" ",(B35-1)*2)&amp;iCCompare!Y35)</f>
        <v/>
      </c>
      <c r="F35" s="317">
        <f t="shared" si="0"/>
        <v>0</v>
      </c>
      <c r="G35" s="199">
        <v>0</v>
      </c>
      <c r="H35" s="318" t="str">
        <f>iCCompare!Z35</f>
        <v/>
      </c>
      <c r="I35" s="319" t="str">
        <f>TEXT(iCCompare!AA35,iCCompare!AV35)</f>
        <v/>
      </c>
      <c r="J35" s="320" t="str">
        <f>iCCompare!AJ35</f>
        <v/>
      </c>
      <c r="L35" s="318" t="str">
        <f>iCCompare!AB35</f>
        <v/>
      </c>
      <c r="M35" s="319" t="str">
        <f>TEXT(iCCompare!AC35,iCCompare!AV35)</f>
        <v/>
      </c>
      <c r="N35" s="320" t="str">
        <f>iCCompare!AK35</f>
        <v/>
      </c>
      <c r="P35" s="318" t="str">
        <f>iCCompare!AD35</f>
        <v/>
      </c>
      <c r="Q35" s="320" t="str">
        <f>iCCompare!AL35</f>
        <v/>
      </c>
      <c r="S35" s="318" t="str">
        <f>iCCompare!AF35</f>
        <v/>
      </c>
      <c r="T35" s="320" t="str">
        <f>iCCompare!AM35</f>
        <v/>
      </c>
      <c r="U35" s="84"/>
      <c r="V35" s="84"/>
      <c r="W35" s="84"/>
      <c r="X35" s="742" t="str">
        <f t="shared" si="3"/>
        <v/>
      </c>
      <c r="Y35" s="199"/>
      <c r="Z35" s="399">
        <f>iCCompare!BE35</f>
        <v>0</v>
      </c>
      <c r="AA35" s="399">
        <f>iCCompare!BF35</f>
        <v>0</v>
      </c>
      <c r="AB35" s="399">
        <f>iCCompare!BG35</f>
        <v>0</v>
      </c>
      <c r="AC35" s="399">
        <f>iCCompare!BH35</f>
        <v>0</v>
      </c>
      <c r="AD35" s="199"/>
      <c r="AE35" s="199"/>
      <c r="AF35" s="199"/>
      <c r="AG35" s="199"/>
      <c r="AH35" s="199"/>
      <c r="AI35" s="199"/>
      <c r="AJ35" s="199"/>
      <c r="AK35" s="199"/>
      <c r="AL35" s="199"/>
      <c r="AM35" s="199"/>
      <c r="AN35" s="199"/>
      <c r="AO35" s="199"/>
      <c r="AP35" s="199"/>
      <c r="AQ35" s="199"/>
      <c r="AR35" s="199"/>
      <c r="AS35" s="199"/>
      <c r="AT35" s="199"/>
      <c r="AU35" s="199"/>
      <c r="AV35" s="199"/>
      <c r="AW35" s="199"/>
      <c r="AX35" s="199"/>
      <c r="AY35" s="199"/>
      <c r="AZ35" s="199"/>
      <c r="BA35" s="199"/>
      <c r="BB35" s="199"/>
      <c r="BC35" s="199"/>
      <c r="BD35" s="199"/>
      <c r="BE35" s="199"/>
      <c r="BF35" s="199"/>
      <c r="BG35" s="199"/>
      <c r="BH35" s="199"/>
      <c r="BI35" s="199"/>
    </row>
    <row r="36" spans="2:61" s="315" customFormat="1" hidden="1">
      <c r="B36" s="712" t="str">
        <f>iCCompare!AI36</f>
        <v/>
      </c>
      <c r="C36" s="315" t="str">
        <f t="shared" si="1"/>
        <v>0</v>
      </c>
      <c r="D36" s="315" t="str">
        <f>iCCompare!T36</f>
        <v/>
      </c>
      <c r="E36" s="316" t="str">
        <f>IF(ISERROR(REPT(" ",(B36-1)*2)&amp;iCCompare!Y36),"",REPT(" ",(B36-1)*2)&amp;iCCompare!Y36)</f>
        <v/>
      </c>
      <c r="F36" s="317">
        <f t="shared" si="0"/>
        <v>0</v>
      </c>
      <c r="G36" s="199">
        <v>0</v>
      </c>
      <c r="H36" s="318" t="str">
        <f>iCCompare!Z36</f>
        <v/>
      </c>
      <c r="I36" s="319" t="str">
        <f>TEXT(iCCompare!AA36,iCCompare!AV36)</f>
        <v/>
      </c>
      <c r="J36" s="320" t="str">
        <f>iCCompare!AJ36</f>
        <v/>
      </c>
      <c r="L36" s="318" t="str">
        <f>iCCompare!AB36</f>
        <v/>
      </c>
      <c r="M36" s="319" t="str">
        <f>TEXT(iCCompare!AC36,iCCompare!AV36)</f>
        <v/>
      </c>
      <c r="N36" s="320" t="str">
        <f>iCCompare!AK36</f>
        <v/>
      </c>
      <c r="P36" s="318" t="str">
        <f>iCCompare!AD36</f>
        <v/>
      </c>
      <c r="Q36" s="320" t="str">
        <f>iCCompare!AL36</f>
        <v/>
      </c>
      <c r="S36" s="318" t="str">
        <f>iCCompare!AF36</f>
        <v/>
      </c>
      <c r="T36" s="320" t="str">
        <f>iCCompare!AM36</f>
        <v/>
      </c>
      <c r="U36" s="84"/>
      <c r="V36" s="84"/>
      <c r="W36" s="84"/>
      <c r="X36" s="742" t="str">
        <f t="shared" si="3"/>
        <v/>
      </c>
      <c r="Y36" s="199"/>
      <c r="Z36" s="399">
        <f>iCCompare!BE36</f>
        <v>0</v>
      </c>
      <c r="AA36" s="399">
        <f>iCCompare!BF36</f>
        <v>0</v>
      </c>
      <c r="AB36" s="399">
        <f>iCCompare!BG36</f>
        <v>0</v>
      </c>
      <c r="AC36" s="399">
        <f>iCCompare!BH36</f>
        <v>0</v>
      </c>
      <c r="AD36" s="199"/>
      <c r="AE36" s="199"/>
      <c r="AF36" s="199"/>
      <c r="AG36" s="199"/>
      <c r="AH36" s="199"/>
      <c r="AI36" s="199"/>
      <c r="AJ36" s="199"/>
      <c r="AK36" s="199"/>
      <c r="AL36" s="199"/>
      <c r="AM36" s="199"/>
      <c r="AN36" s="199"/>
      <c r="AO36" s="199"/>
      <c r="AP36" s="199"/>
      <c r="AQ36" s="199"/>
      <c r="AR36" s="199"/>
      <c r="AS36" s="199"/>
      <c r="AT36" s="199"/>
      <c r="AU36" s="199"/>
      <c r="AV36" s="199"/>
      <c r="AW36" s="199"/>
      <c r="AX36" s="199"/>
      <c r="AY36" s="199"/>
      <c r="AZ36" s="199"/>
      <c r="BA36" s="199"/>
      <c r="BB36" s="199"/>
      <c r="BC36" s="199"/>
      <c r="BD36" s="199"/>
      <c r="BE36" s="199"/>
      <c r="BF36" s="199"/>
      <c r="BG36" s="199"/>
      <c r="BH36" s="199"/>
      <c r="BI36" s="199"/>
    </row>
    <row r="37" spans="2:61" s="315" customFormat="1" hidden="1">
      <c r="B37" s="712" t="str">
        <f>iCCompare!AI37</f>
        <v/>
      </c>
      <c r="C37" s="315" t="str">
        <f t="shared" si="1"/>
        <v>0</v>
      </c>
      <c r="D37" s="315" t="str">
        <f>iCCompare!T37</f>
        <v/>
      </c>
      <c r="E37" s="316" t="str">
        <f>IF(ISERROR(REPT(" ",(B37-1)*2)&amp;iCCompare!Y37),"",REPT(" ",(B37-1)*2)&amp;iCCompare!Y37)</f>
        <v/>
      </c>
      <c r="F37" s="317">
        <f t="shared" si="0"/>
        <v>0</v>
      </c>
      <c r="G37" s="199">
        <v>0</v>
      </c>
      <c r="H37" s="318" t="str">
        <f>iCCompare!Z37</f>
        <v/>
      </c>
      <c r="I37" s="319" t="str">
        <f>TEXT(iCCompare!AA37,iCCompare!AV37)</f>
        <v/>
      </c>
      <c r="J37" s="320" t="str">
        <f>iCCompare!AJ37</f>
        <v/>
      </c>
      <c r="L37" s="318" t="str">
        <f>iCCompare!AB37</f>
        <v/>
      </c>
      <c r="M37" s="319" t="str">
        <f>TEXT(iCCompare!AC37,iCCompare!AV37)</f>
        <v/>
      </c>
      <c r="N37" s="320" t="str">
        <f>iCCompare!AK37</f>
        <v/>
      </c>
      <c r="P37" s="318" t="str">
        <f>iCCompare!AD37</f>
        <v/>
      </c>
      <c r="Q37" s="320" t="str">
        <f>iCCompare!AL37</f>
        <v/>
      </c>
      <c r="S37" s="318" t="str">
        <f>iCCompare!AF37</f>
        <v/>
      </c>
      <c r="T37" s="320" t="str">
        <f>iCCompare!AM37</f>
        <v/>
      </c>
      <c r="U37" s="84"/>
      <c r="V37" s="84"/>
      <c r="W37" s="84"/>
      <c r="X37" s="742" t="str">
        <f t="shared" si="3"/>
        <v/>
      </c>
      <c r="Y37" s="199"/>
      <c r="Z37" s="399">
        <f>iCCompare!BE37</f>
        <v>0</v>
      </c>
      <c r="AA37" s="399">
        <f>iCCompare!BF37</f>
        <v>0</v>
      </c>
      <c r="AB37" s="399">
        <f>iCCompare!BG37</f>
        <v>0</v>
      </c>
      <c r="AC37" s="399">
        <f>iCCompare!BH37</f>
        <v>0</v>
      </c>
      <c r="AD37" s="199"/>
      <c r="AE37" s="199"/>
      <c r="AF37" s="199"/>
      <c r="AG37" s="199"/>
      <c r="AH37" s="199"/>
      <c r="AI37" s="199"/>
      <c r="AJ37" s="199"/>
      <c r="AK37" s="199"/>
      <c r="AL37" s="199"/>
      <c r="AM37" s="199"/>
      <c r="AN37" s="199"/>
      <c r="AO37" s="199"/>
      <c r="AP37" s="199"/>
      <c r="AQ37" s="199"/>
      <c r="AR37" s="199"/>
      <c r="AS37" s="199"/>
      <c r="AT37" s="199"/>
      <c r="AU37" s="199"/>
      <c r="AV37" s="199"/>
      <c r="AW37" s="199"/>
      <c r="AX37" s="199"/>
      <c r="AY37" s="199"/>
      <c r="AZ37" s="199"/>
      <c r="BA37" s="199"/>
      <c r="BB37" s="199"/>
      <c r="BC37" s="199"/>
      <c r="BD37" s="199"/>
      <c r="BE37" s="199"/>
      <c r="BF37" s="199"/>
      <c r="BG37" s="199"/>
      <c r="BH37" s="199"/>
      <c r="BI37" s="199"/>
    </row>
    <row r="38" spans="2:61" s="315" customFormat="1" hidden="1">
      <c r="B38" s="712" t="str">
        <f>iCCompare!AI38</f>
        <v/>
      </c>
      <c r="C38" s="315" t="str">
        <f t="shared" si="1"/>
        <v>0</v>
      </c>
      <c r="D38" s="315" t="str">
        <f>iCCompare!T38</f>
        <v/>
      </c>
      <c r="E38" s="316" t="str">
        <f>IF(ISERROR(REPT(" ",(B38-1)*2)&amp;iCCompare!Y38),"",REPT(" ",(B38-1)*2)&amp;iCCompare!Y38)</f>
        <v/>
      </c>
      <c r="F38" s="317">
        <f t="shared" si="0"/>
        <v>0</v>
      </c>
      <c r="G38" s="199">
        <v>0</v>
      </c>
      <c r="H38" s="318" t="str">
        <f>iCCompare!Z38</f>
        <v/>
      </c>
      <c r="I38" s="319" t="str">
        <f>TEXT(iCCompare!AA38,iCCompare!AV38)</f>
        <v/>
      </c>
      <c r="J38" s="320" t="str">
        <f>iCCompare!AJ38</f>
        <v/>
      </c>
      <c r="L38" s="318" t="str">
        <f>iCCompare!AB38</f>
        <v/>
      </c>
      <c r="M38" s="319" t="str">
        <f>TEXT(iCCompare!AC38,iCCompare!AV38)</f>
        <v/>
      </c>
      <c r="N38" s="320" t="str">
        <f>iCCompare!AK38</f>
        <v/>
      </c>
      <c r="P38" s="318" t="str">
        <f>iCCompare!AD38</f>
        <v/>
      </c>
      <c r="Q38" s="320" t="str">
        <f>iCCompare!AL38</f>
        <v/>
      </c>
      <c r="S38" s="318" t="str">
        <f>iCCompare!AF38</f>
        <v/>
      </c>
      <c r="T38" s="320" t="str">
        <f>iCCompare!AM38</f>
        <v/>
      </c>
      <c r="U38" s="84"/>
      <c r="V38" s="84"/>
      <c r="W38" s="84"/>
      <c r="X38" s="742" t="str">
        <f t="shared" si="3"/>
        <v/>
      </c>
      <c r="Y38" s="199"/>
      <c r="Z38" s="399">
        <f>iCCompare!BE38</f>
        <v>0</v>
      </c>
      <c r="AA38" s="399">
        <f>iCCompare!BF38</f>
        <v>0</v>
      </c>
      <c r="AB38" s="399">
        <f>iCCompare!BG38</f>
        <v>0</v>
      </c>
      <c r="AC38" s="399">
        <f>iCCompare!BH38</f>
        <v>0</v>
      </c>
      <c r="AD38" s="199"/>
      <c r="AE38" s="199"/>
      <c r="AF38" s="199"/>
      <c r="AG38" s="199"/>
      <c r="AH38" s="199"/>
      <c r="AI38" s="199"/>
      <c r="AJ38" s="199"/>
      <c r="AK38" s="199"/>
      <c r="AL38" s="199"/>
      <c r="AM38" s="199"/>
      <c r="AN38" s="199"/>
      <c r="AO38" s="199"/>
      <c r="AP38" s="199"/>
      <c r="AQ38" s="199"/>
      <c r="AR38" s="199"/>
      <c r="AS38" s="199"/>
      <c r="AT38" s="199"/>
      <c r="AU38" s="199"/>
      <c r="AV38" s="199"/>
      <c r="AW38" s="199"/>
      <c r="AX38" s="199"/>
      <c r="AY38" s="199"/>
      <c r="AZ38" s="199"/>
      <c r="BA38" s="199"/>
      <c r="BB38" s="199"/>
      <c r="BC38" s="199"/>
      <c r="BD38" s="199"/>
      <c r="BE38" s="199"/>
      <c r="BF38" s="199"/>
      <c r="BG38" s="199"/>
      <c r="BH38" s="199"/>
      <c r="BI38" s="199"/>
    </row>
    <row r="39" spans="2:61" s="315" customFormat="1" hidden="1">
      <c r="B39" s="712" t="str">
        <f>iCCompare!AI39</f>
        <v/>
      </c>
      <c r="C39" s="315" t="str">
        <f t="shared" si="1"/>
        <v>0</v>
      </c>
      <c r="D39" s="315" t="str">
        <f>iCCompare!T39</f>
        <v/>
      </c>
      <c r="E39" s="316" t="str">
        <f>IF(ISERROR(REPT(" ",(B39-1)*2)&amp;iCCompare!Y39),"",REPT(" ",(B39-1)*2)&amp;iCCompare!Y39)</f>
        <v/>
      </c>
      <c r="F39" s="317">
        <f t="shared" si="0"/>
        <v>0</v>
      </c>
      <c r="G39" s="199">
        <v>0</v>
      </c>
      <c r="H39" s="318" t="str">
        <f>iCCompare!Z39</f>
        <v/>
      </c>
      <c r="I39" s="319" t="str">
        <f>TEXT(iCCompare!AA39,iCCompare!AV39)</f>
        <v/>
      </c>
      <c r="J39" s="320" t="str">
        <f>iCCompare!AJ39</f>
        <v/>
      </c>
      <c r="L39" s="318" t="str">
        <f>iCCompare!AB39</f>
        <v/>
      </c>
      <c r="M39" s="319" t="str">
        <f>TEXT(iCCompare!AC39,iCCompare!AV39)</f>
        <v/>
      </c>
      <c r="N39" s="320" t="str">
        <f>iCCompare!AK39</f>
        <v/>
      </c>
      <c r="P39" s="318" t="str">
        <f>iCCompare!AD39</f>
        <v/>
      </c>
      <c r="Q39" s="320" t="str">
        <f>iCCompare!AL39</f>
        <v/>
      </c>
      <c r="S39" s="318" t="str">
        <f>iCCompare!AF39</f>
        <v/>
      </c>
      <c r="T39" s="320" t="str">
        <f>iCCompare!AM39</f>
        <v/>
      </c>
      <c r="U39" s="84"/>
      <c r="V39" s="84"/>
      <c r="W39" s="84"/>
      <c r="X39" s="742" t="str">
        <f t="shared" si="3"/>
        <v/>
      </c>
      <c r="Y39" s="199"/>
      <c r="Z39" s="399">
        <f>iCCompare!BE39</f>
        <v>0</v>
      </c>
      <c r="AA39" s="399">
        <f>iCCompare!BF39</f>
        <v>0</v>
      </c>
      <c r="AB39" s="399">
        <f>iCCompare!BG39</f>
        <v>0</v>
      </c>
      <c r="AC39" s="399">
        <f>iCCompare!BH39</f>
        <v>0</v>
      </c>
      <c r="AD39" s="199"/>
      <c r="AE39" s="199"/>
      <c r="AF39" s="199"/>
      <c r="AG39" s="199"/>
      <c r="AH39" s="199"/>
      <c r="AI39" s="199"/>
      <c r="AJ39" s="199"/>
      <c r="AK39" s="199"/>
      <c r="AL39" s="199"/>
      <c r="AM39" s="199"/>
      <c r="AN39" s="199"/>
      <c r="AO39" s="199"/>
      <c r="AP39" s="199"/>
      <c r="AQ39" s="199"/>
      <c r="AR39" s="199"/>
      <c r="AS39" s="199"/>
      <c r="AT39" s="199"/>
      <c r="AU39" s="199"/>
      <c r="AV39" s="199"/>
      <c r="AW39" s="199"/>
      <c r="AX39" s="199"/>
      <c r="AY39" s="199"/>
      <c r="AZ39" s="199"/>
      <c r="BA39" s="199"/>
      <c r="BB39" s="199"/>
      <c r="BC39" s="199"/>
      <c r="BD39" s="199"/>
      <c r="BE39" s="199"/>
      <c r="BF39" s="199"/>
      <c r="BG39" s="199"/>
      <c r="BH39" s="199"/>
      <c r="BI39" s="199"/>
    </row>
    <row r="40" spans="2:61" s="315" customFormat="1" hidden="1">
      <c r="B40" s="712" t="str">
        <f>iCCompare!AI40</f>
        <v/>
      </c>
      <c r="C40" s="315" t="str">
        <f t="shared" si="1"/>
        <v>0</v>
      </c>
      <c r="D40" s="315" t="str">
        <f>iCCompare!T40</f>
        <v/>
      </c>
      <c r="E40" s="316" t="str">
        <f>IF(ISERROR(REPT(" ",(B40-1)*2)&amp;iCCompare!Y40),"",REPT(" ",(B40-1)*2)&amp;iCCompare!Y40)</f>
        <v/>
      </c>
      <c r="F40" s="317">
        <f t="shared" si="0"/>
        <v>0</v>
      </c>
      <c r="G40" s="199">
        <v>0</v>
      </c>
      <c r="H40" s="318" t="str">
        <f>iCCompare!Z40</f>
        <v/>
      </c>
      <c r="I40" s="319" t="str">
        <f>TEXT(iCCompare!AA40,iCCompare!AV40)</f>
        <v/>
      </c>
      <c r="J40" s="320" t="str">
        <f>iCCompare!AJ40</f>
        <v/>
      </c>
      <c r="L40" s="318" t="str">
        <f>iCCompare!AB40</f>
        <v/>
      </c>
      <c r="M40" s="319" t="str">
        <f>TEXT(iCCompare!AC40,iCCompare!AV40)</f>
        <v/>
      </c>
      <c r="N40" s="320" t="str">
        <f>iCCompare!AK40</f>
        <v/>
      </c>
      <c r="P40" s="318" t="str">
        <f>iCCompare!AD40</f>
        <v/>
      </c>
      <c r="Q40" s="320" t="str">
        <f>iCCompare!AL40</f>
        <v/>
      </c>
      <c r="S40" s="318" t="str">
        <f>iCCompare!AF40</f>
        <v/>
      </c>
      <c r="T40" s="320" t="str">
        <f>iCCompare!AM40</f>
        <v/>
      </c>
      <c r="U40" s="84"/>
      <c r="V40" s="84"/>
      <c r="W40" s="84"/>
      <c r="X40" s="742" t="str">
        <f t="shared" si="3"/>
        <v/>
      </c>
      <c r="Y40" s="199"/>
      <c r="Z40" s="399">
        <f>iCCompare!BE40</f>
        <v>0</v>
      </c>
      <c r="AA40" s="399">
        <f>iCCompare!BF40</f>
        <v>0</v>
      </c>
      <c r="AB40" s="399">
        <f>iCCompare!BG40</f>
        <v>0</v>
      </c>
      <c r="AC40" s="399">
        <f>iCCompare!BH40</f>
        <v>0</v>
      </c>
      <c r="AD40" s="199"/>
      <c r="AE40" s="199"/>
      <c r="AF40" s="199"/>
      <c r="AG40" s="199"/>
      <c r="AH40" s="199"/>
      <c r="AI40" s="199"/>
      <c r="AJ40" s="199"/>
      <c r="AK40" s="199"/>
      <c r="AL40" s="199"/>
      <c r="AM40" s="199"/>
      <c r="AN40" s="199"/>
      <c r="AO40" s="199"/>
      <c r="AP40" s="199"/>
      <c r="AQ40" s="199"/>
      <c r="AR40" s="199"/>
      <c r="AS40" s="199"/>
      <c r="AT40" s="199"/>
      <c r="AU40" s="199"/>
      <c r="AV40" s="199"/>
      <c r="AW40" s="199"/>
      <c r="AX40" s="199"/>
      <c r="AY40" s="199"/>
      <c r="AZ40" s="199"/>
      <c r="BA40" s="199"/>
      <c r="BB40" s="199"/>
      <c r="BC40" s="199"/>
      <c r="BD40" s="199"/>
      <c r="BE40" s="199"/>
      <c r="BF40" s="199"/>
      <c r="BG40" s="199"/>
      <c r="BH40" s="199"/>
      <c r="BI40" s="199"/>
    </row>
    <row r="41" spans="2:61" s="712" customFormat="1" hidden="1">
      <c r="B41" s="712" t="str">
        <f>iCCompare!AI41</f>
        <v/>
      </c>
      <c r="C41" s="712" t="str">
        <f t="shared" si="1"/>
        <v>0</v>
      </c>
      <c r="D41" s="712" t="str">
        <f>iCCompare!T41</f>
        <v/>
      </c>
      <c r="E41" s="713" t="str">
        <f>IF(ISERROR(REPT(" ",(B41-1)*2)&amp;iCCompare!Y41),"",REPT(" ",(B41-1)*2)&amp;iCCompare!Y41)</f>
        <v/>
      </c>
      <c r="F41" s="714">
        <f t="shared" si="0"/>
        <v>0</v>
      </c>
      <c r="G41" s="715">
        <v>0</v>
      </c>
      <c r="H41" s="716" t="str">
        <f>iCCompare!Z41</f>
        <v/>
      </c>
      <c r="I41" s="717" t="str">
        <f>TEXT(iCCompare!AA41,iCCompare!AV41)</f>
        <v/>
      </c>
      <c r="J41" s="718" t="str">
        <f>iCCompare!AJ41</f>
        <v/>
      </c>
      <c r="L41" s="716" t="str">
        <f>iCCompare!AB41</f>
        <v/>
      </c>
      <c r="M41" s="717" t="str">
        <f>TEXT(iCCompare!AC41,iCCompare!AV41)</f>
        <v/>
      </c>
      <c r="N41" s="718" t="str">
        <f>iCCompare!AK41</f>
        <v/>
      </c>
      <c r="P41" s="716" t="str">
        <f>iCCompare!AD41</f>
        <v/>
      </c>
      <c r="Q41" s="718" t="str">
        <f>iCCompare!AL41</f>
        <v/>
      </c>
      <c r="S41" s="716" t="str">
        <f>iCCompare!AF41</f>
        <v/>
      </c>
      <c r="T41" s="718" t="str">
        <f>iCCompare!AM41</f>
        <v/>
      </c>
      <c r="U41" s="719"/>
      <c r="V41" s="719"/>
      <c r="W41" s="719"/>
      <c r="X41" s="746" t="str">
        <f t="shared" si="3"/>
        <v/>
      </c>
      <c r="Y41" s="715"/>
      <c r="Z41" s="720">
        <f>iCCompare!BE41</f>
        <v>0</v>
      </c>
      <c r="AA41" s="720">
        <f>iCCompare!BF41</f>
        <v>0</v>
      </c>
      <c r="AB41" s="720">
        <f>iCCompare!BG41</f>
        <v>0</v>
      </c>
      <c r="AC41" s="720">
        <f>iCCompare!BH41</f>
        <v>0</v>
      </c>
      <c r="AD41" s="715"/>
      <c r="AE41" s="715"/>
      <c r="AF41" s="715"/>
      <c r="AG41" s="715"/>
      <c r="AH41" s="715"/>
      <c r="AI41" s="715"/>
      <c r="AJ41" s="715"/>
      <c r="AK41" s="715"/>
      <c r="AL41" s="715"/>
      <c r="AM41" s="715"/>
      <c r="AN41" s="715"/>
      <c r="AO41" s="715"/>
      <c r="AP41" s="715"/>
      <c r="AQ41" s="715"/>
      <c r="AR41" s="715"/>
      <c r="AS41" s="715"/>
      <c r="AT41" s="715"/>
      <c r="AU41" s="715"/>
      <c r="AV41" s="715"/>
      <c r="AW41" s="715"/>
      <c r="AX41" s="715"/>
      <c r="AY41" s="715"/>
      <c r="AZ41" s="715"/>
      <c r="BA41" s="715"/>
      <c r="BB41" s="715"/>
      <c r="BC41" s="715"/>
      <c r="BD41" s="715"/>
      <c r="BE41" s="715"/>
      <c r="BF41" s="715"/>
      <c r="BG41" s="715"/>
      <c r="BH41" s="715"/>
      <c r="BI41" s="715"/>
    </row>
    <row r="42" spans="2:61" s="315" customFormat="1" hidden="1">
      <c r="B42" s="712" t="str">
        <f>iCCompare!AI42</f>
        <v/>
      </c>
      <c r="C42" s="315" t="str">
        <f t="shared" si="1"/>
        <v>0</v>
      </c>
      <c r="D42" s="315" t="str">
        <f>iCCompare!T42</f>
        <v/>
      </c>
      <c r="E42" s="316" t="str">
        <f>IF(ISERROR(REPT(" ",(B42-1)*2)&amp;iCCompare!Y42),"",REPT(" ",(B42-1)*2)&amp;iCCompare!Y42)</f>
        <v/>
      </c>
      <c r="F42" s="317">
        <f t="shared" si="0"/>
        <v>0</v>
      </c>
      <c r="G42" s="199">
        <v>0</v>
      </c>
      <c r="H42" s="318" t="str">
        <f>iCCompare!Z42</f>
        <v/>
      </c>
      <c r="I42" s="319" t="str">
        <f>TEXT(iCCompare!AA42,iCCompare!AV42)</f>
        <v/>
      </c>
      <c r="J42" s="320" t="str">
        <f>iCCompare!AJ42</f>
        <v/>
      </c>
      <c r="L42" s="318" t="str">
        <f>iCCompare!AB42</f>
        <v/>
      </c>
      <c r="M42" s="319" t="str">
        <f>TEXT(iCCompare!AC42,iCCompare!AV42)</f>
        <v/>
      </c>
      <c r="N42" s="320" t="str">
        <f>iCCompare!AK42</f>
        <v/>
      </c>
      <c r="P42" s="318" t="str">
        <f>iCCompare!AD42</f>
        <v/>
      </c>
      <c r="Q42" s="320" t="str">
        <f>iCCompare!AL42</f>
        <v/>
      </c>
      <c r="S42" s="318" t="str">
        <f>iCCompare!AF42</f>
        <v/>
      </c>
      <c r="T42" s="320" t="str">
        <f>iCCompare!AM42</f>
        <v/>
      </c>
      <c r="U42" s="84"/>
      <c r="V42" s="84"/>
      <c r="W42" s="84"/>
      <c r="X42" s="742" t="str">
        <f t="shared" si="3"/>
        <v/>
      </c>
      <c r="Y42" s="199"/>
      <c r="Z42" s="399">
        <f>iCCompare!BE42</f>
        <v>0</v>
      </c>
      <c r="AA42" s="399">
        <f>iCCompare!BF42</f>
        <v>0</v>
      </c>
      <c r="AB42" s="399">
        <f>iCCompare!BG42</f>
        <v>0</v>
      </c>
      <c r="AC42" s="399">
        <f>iCCompare!BH42</f>
        <v>0</v>
      </c>
      <c r="AD42" s="199"/>
      <c r="AE42" s="199"/>
      <c r="AF42" s="199"/>
      <c r="AG42" s="199"/>
      <c r="AH42" s="199"/>
      <c r="AI42" s="199"/>
      <c r="AJ42" s="199"/>
      <c r="AK42" s="199"/>
      <c r="AL42" s="199"/>
      <c r="AM42" s="199"/>
      <c r="AN42" s="199"/>
      <c r="AO42" s="199"/>
      <c r="AP42" s="199"/>
      <c r="AQ42" s="199"/>
      <c r="AR42" s="199"/>
      <c r="AS42" s="199"/>
      <c r="AT42" s="199"/>
      <c r="AU42" s="199"/>
      <c r="AV42" s="199"/>
      <c r="AW42" s="199"/>
      <c r="AX42" s="199"/>
      <c r="AY42" s="199"/>
      <c r="AZ42" s="199"/>
      <c r="BA42" s="199"/>
      <c r="BB42" s="199"/>
      <c r="BC42" s="199"/>
      <c r="BD42" s="199"/>
      <c r="BE42" s="199"/>
      <c r="BF42" s="199"/>
      <c r="BG42" s="199"/>
      <c r="BH42" s="199"/>
      <c r="BI42" s="199"/>
    </row>
    <row r="43" spans="2:61" s="315" customFormat="1" hidden="1">
      <c r="B43" s="712" t="str">
        <f>iCCompare!AI43</f>
        <v/>
      </c>
      <c r="C43" s="315" t="str">
        <f t="shared" si="1"/>
        <v>0</v>
      </c>
      <c r="D43" s="315" t="str">
        <f>iCCompare!T43</f>
        <v/>
      </c>
      <c r="E43" s="316" t="str">
        <f>IF(ISERROR(REPT(" ",(B43-1)*2)&amp;iCCompare!Y43),"",REPT(" ",(B43-1)*2)&amp;iCCompare!Y43)</f>
        <v/>
      </c>
      <c r="F43" s="317">
        <f t="shared" si="0"/>
        <v>0</v>
      </c>
      <c r="G43" s="199">
        <v>0</v>
      </c>
      <c r="H43" s="318" t="str">
        <f>iCCompare!Z43</f>
        <v/>
      </c>
      <c r="I43" s="319" t="str">
        <f>TEXT(iCCompare!AA43,iCCompare!AV43)</f>
        <v/>
      </c>
      <c r="J43" s="320" t="str">
        <f>iCCompare!AJ43</f>
        <v/>
      </c>
      <c r="L43" s="318" t="str">
        <f>iCCompare!AB43</f>
        <v/>
      </c>
      <c r="M43" s="319" t="str">
        <f>TEXT(iCCompare!AC43,iCCompare!AV43)</f>
        <v/>
      </c>
      <c r="N43" s="320" t="str">
        <f>iCCompare!AK43</f>
        <v/>
      </c>
      <c r="P43" s="318" t="str">
        <f>iCCompare!AD43</f>
        <v/>
      </c>
      <c r="Q43" s="320" t="str">
        <f>iCCompare!AL43</f>
        <v/>
      </c>
      <c r="S43" s="318" t="str">
        <f>iCCompare!AF43</f>
        <v/>
      </c>
      <c r="T43" s="320" t="str">
        <f>iCCompare!AM43</f>
        <v/>
      </c>
      <c r="U43" s="84"/>
      <c r="V43" s="84"/>
      <c r="W43" s="84"/>
      <c r="X43" s="742" t="str">
        <f t="shared" si="3"/>
        <v/>
      </c>
      <c r="Y43" s="199"/>
      <c r="Z43" s="399">
        <f>iCCompare!BE43</f>
        <v>0</v>
      </c>
      <c r="AA43" s="399">
        <f>iCCompare!BF43</f>
        <v>0</v>
      </c>
      <c r="AB43" s="399">
        <f>iCCompare!BG43</f>
        <v>0</v>
      </c>
      <c r="AC43" s="399">
        <f>iCCompare!BH43</f>
        <v>0</v>
      </c>
      <c r="AD43" s="199"/>
      <c r="AE43" s="199"/>
      <c r="AF43" s="199"/>
      <c r="AG43" s="199"/>
      <c r="AH43" s="199"/>
      <c r="AI43" s="199"/>
      <c r="AJ43" s="199"/>
      <c r="AK43" s="199"/>
      <c r="AL43" s="199"/>
      <c r="AM43" s="199"/>
      <c r="AN43" s="199"/>
      <c r="AO43" s="199"/>
      <c r="AP43" s="199"/>
      <c r="AQ43" s="199"/>
      <c r="AR43" s="199"/>
      <c r="AS43" s="199"/>
      <c r="AT43" s="199"/>
      <c r="AU43" s="199"/>
      <c r="AV43" s="199"/>
      <c r="AW43" s="199"/>
      <c r="AX43" s="199"/>
      <c r="AY43" s="199"/>
      <c r="AZ43" s="199"/>
      <c r="BA43" s="199"/>
      <c r="BB43" s="199"/>
      <c r="BC43" s="199"/>
      <c r="BD43" s="199"/>
      <c r="BE43" s="199"/>
      <c r="BF43" s="199"/>
      <c r="BG43" s="199"/>
      <c r="BH43" s="199"/>
      <c r="BI43" s="199"/>
    </row>
    <row r="44" spans="2:61" s="315" customFormat="1" hidden="1">
      <c r="B44" s="712" t="str">
        <f>iCCompare!AI44</f>
        <v/>
      </c>
      <c r="C44" s="315" t="str">
        <f t="shared" si="1"/>
        <v>0</v>
      </c>
      <c r="D44" s="315" t="str">
        <f>iCCompare!T44</f>
        <v/>
      </c>
      <c r="E44" s="316" t="str">
        <f>IF(ISERROR(REPT(" ",(B44-1)*2)&amp;iCCompare!Y44),"",REPT(" ",(B44-1)*2)&amp;iCCompare!Y44)</f>
        <v/>
      </c>
      <c r="F44" s="317">
        <f t="shared" si="0"/>
        <v>0</v>
      </c>
      <c r="G44" s="199">
        <v>0</v>
      </c>
      <c r="H44" s="318" t="str">
        <f>iCCompare!Z44</f>
        <v/>
      </c>
      <c r="I44" s="319" t="str">
        <f>TEXT(iCCompare!AA44,iCCompare!AV44)</f>
        <v/>
      </c>
      <c r="J44" s="320" t="str">
        <f>iCCompare!AJ44</f>
        <v/>
      </c>
      <c r="L44" s="318" t="str">
        <f>iCCompare!AB44</f>
        <v/>
      </c>
      <c r="M44" s="319" t="str">
        <f>TEXT(iCCompare!AC44,iCCompare!AV44)</f>
        <v/>
      </c>
      <c r="N44" s="320" t="str">
        <f>iCCompare!AK44</f>
        <v/>
      </c>
      <c r="P44" s="318" t="str">
        <f>iCCompare!AD44</f>
        <v/>
      </c>
      <c r="Q44" s="320" t="str">
        <f>iCCompare!AL44</f>
        <v/>
      </c>
      <c r="S44" s="318" t="str">
        <f>iCCompare!AF44</f>
        <v/>
      </c>
      <c r="T44" s="320" t="str">
        <f>iCCompare!AM44</f>
        <v/>
      </c>
      <c r="U44" s="84"/>
      <c r="V44" s="84"/>
      <c r="W44" s="84"/>
      <c r="X44" s="742" t="str">
        <f t="shared" si="3"/>
        <v/>
      </c>
      <c r="Y44" s="199"/>
      <c r="Z44" s="399">
        <f>iCCompare!BE44</f>
        <v>0</v>
      </c>
      <c r="AA44" s="399">
        <f>iCCompare!BF44</f>
        <v>0</v>
      </c>
      <c r="AB44" s="399">
        <f>iCCompare!BG44</f>
        <v>0</v>
      </c>
      <c r="AC44" s="399">
        <f>iCCompare!BH44</f>
        <v>0</v>
      </c>
      <c r="AD44" s="199"/>
      <c r="AE44" s="199"/>
      <c r="AF44" s="199"/>
      <c r="AG44" s="199"/>
      <c r="AH44" s="199"/>
      <c r="AI44" s="199"/>
      <c r="AJ44" s="199"/>
      <c r="AK44" s="199"/>
      <c r="AL44" s="199"/>
      <c r="AM44" s="199"/>
      <c r="AN44" s="199"/>
      <c r="AO44" s="199"/>
      <c r="AP44" s="199"/>
      <c r="AQ44" s="199"/>
      <c r="AR44" s="199"/>
      <c r="AS44" s="199"/>
      <c r="AT44" s="199"/>
      <c r="AU44" s="199"/>
      <c r="AV44" s="199"/>
      <c r="AW44" s="199"/>
      <c r="AX44" s="199"/>
      <c r="AY44" s="199"/>
      <c r="AZ44" s="199"/>
      <c r="BA44" s="199"/>
      <c r="BB44" s="199"/>
      <c r="BC44" s="199"/>
      <c r="BD44" s="199"/>
      <c r="BE44" s="199"/>
      <c r="BF44" s="199"/>
      <c r="BG44" s="199"/>
      <c r="BH44" s="199"/>
      <c r="BI44" s="199"/>
    </row>
    <row r="45" spans="2:61" s="315" customFormat="1" hidden="1">
      <c r="B45" s="712" t="str">
        <f>iCCompare!AI45</f>
        <v/>
      </c>
      <c r="C45" s="315" t="str">
        <f t="shared" si="1"/>
        <v>0</v>
      </c>
      <c r="D45" s="315" t="str">
        <f>iCCompare!T45</f>
        <v/>
      </c>
      <c r="E45" s="316" t="str">
        <f>IF(ISERROR(REPT(" ",(B45-1)*2)&amp;iCCompare!Y45),"",REPT(" ",(B45-1)*2)&amp;iCCompare!Y45)</f>
        <v/>
      </c>
      <c r="F45" s="317">
        <f t="shared" si="0"/>
        <v>0</v>
      </c>
      <c r="G45" s="199">
        <v>0</v>
      </c>
      <c r="H45" s="318" t="str">
        <f>iCCompare!Z45</f>
        <v/>
      </c>
      <c r="I45" s="319" t="str">
        <f>TEXT(iCCompare!AA45,iCCompare!AV45)</f>
        <v/>
      </c>
      <c r="J45" s="320" t="str">
        <f>iCCompare!AJ45</f>
        <v/>
      </c>
      <c r="L45" s="318" t="str">
        <f>iCCompare!AB45</f>
        <v/>
      </c>
      <c r="M45" s="319" t="str">
        <f>TEXT(iCCompare!AC45,iCCompare!AV45)</f>
        <v/>
      </c>
      <c r="N45" s="320" t="str">
        <f>iCCompare!AK45</f>
        <v/>
      </c>
      <c r="P45" s="318" t="str">
        <f>iCCompare!AD45</f>
        <v/>
      </c>
      <c r="Q45" s="320" t="str">
        <f>iCCompare!AL45</f>
        <v/>
      </c>
      <c r="S45" s="318" t="str">
        <f>iCCompare!AF45</f>
        <v/>
      </c>
      <c r="T45" s="320" t="str">
        <f>iCCompare!AM45</f>
        <v/>
      </c>
      <c r="U45" s="84"/>
      <c r="V45" s="84"/>
      <c r="W45" s="84"/>
      <c r="X45" s="742" t="str">
        <f t="shared" si="3"/>
        <v/>
      </c>
      <c r="Y45" s="199"/>
      <c r="Z45" s="399">
        <f>iCCompare!BE45</f>
        <v>0</v>
      </c>
      <c r="AA45" s="399">
        <f>iCCompare!BF45</f>
        <v>0</v>
      </c>
      <c r="AB45" s="399">
        <f>iCCompare!BG45</f>
        <v>0</v>
      </c>
      <c r="AC45" s="399">
        <f>iCCompare!BH45</f>
        <v>0</v>
      </c>
      <c r="AD45" s="199"/>
      <c r="AE45" s="199"/>
      <c r="AF45" s="199"/>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row>
    <row r="46" spans="2:61" s="315" customFormat="1" hidden="1">
      <c r="B46" s="712" t="str">
        <f>iCCompare!AI46</f>
        <v/>
      </c>
      <c r="C46" s="315" t="str">
        <f t="shared" si="1"/>
        <v>0</v>
      </c>
      <c r="D46" s="315" t="str">
        <f>iCCompare!T46</f>
        <v/>
      </c>
      <c r="E46" s="316" t="str">
        <f>IF(ISERROR(REPT(" ",(B46-1)*2)&amp;iCCompare!Y46),"",REPT(" ",(B46-1)*2)&amp;iCCompare!Y46)</f>
        <v/>
      </c>
      <c r="F46" s="317">
        <f t="shared" si="0"/>
        <v>0</v>
      </c>
      <c r="G46" s="199">
        <v>0</v>
      </c>
      <c r="H46" s="318" t="str">
        <f>iCCompare!Z46</f>
        <v/>
      </c>
      <c r="I46" s="319" t="str">
        <f>TEXT(iCCompare!AA46,iCCompare!AV46)</f>
        <v/>
      </c>
      <c r="J46" s="320" t="str">
        <f>iCCompare!AJ46</f>
        <v/>
      </c>
      <c r="L46" s="318" t="str">
        <f>iCCompare!AB46</f>
        <v/>
      </c>
      <c r="M46" s="319" t="str">
        <f>TEXT(iCCompare!AC46,iCCompare!AV46)</f>
        <v/>
      </c>
      <c r="N46" s="320" t="str">
        <f>iCCompare!AK46</f>
        <v/>
      </c>
      <c r="P46" s="318" t="str">
        <f>iCCompare!AD46</f>
        <v/>
      </c>
      <c r="Q46" s="320" t="str">
        <f>iCCompare!AL46</f>
        <v/>
      </c>
      <c r="S46" s="318" t="str">
        <f>iCCompare!AF46</f>
        <v/>
      </c>
      <c r="T46" s="320" t="str">
        <f>iCCompare!AM46</f>
        <v/>
      </c>
      <c r="U46" s="84"/>
      <c r="V46" s="84"/>
      <c r="W46" s="84"/>
      <c r="X46" s="742" t="str">
        <f t="shared" si="3"/>
        <v/>
      </c>
      <c r="Y46" s="199"/>
      <c r="Z46" s="399">
        <f>iCCompare!BE46</f>
        <v>0</v>
      </c>
      <c r="AA46" s="399">
        <f>iCCompare!BF46</f>
        <v>0</v>
      </c>
      <c r="AB46" s="399">
        <f>iCCompare!BG46</f>
        <v>0</v>
      </c>
      <c r="AC46" s="399">
        <f>iCCompare!BH46</f>
        <v>0</v>
      </c>
      <c r="AD46" s="199"/>
      <c r="AE46" s="199"/>
      <c r="AF46" s="199"/>
      <c r="AG46" s="199"/>
      <c r="AH46" s="199"/>
      <c r="AI46" s="199"/>
      <c r="AJ46" s="199"/>
      <c r="AK46" s="199"/>
      <c r="AL46" s="199"/>
      <c r="AM46" s="199"/>
      <c r="AN46" s="199"/>
      <c r="AO46" s="199"/>
      <c r="AP46" s="199"/>
      <c r="AQ46" s="199"/>
      <c r="AR46" s="199"/>
      <c r="AS46" s="199"/>
      <c r="AT46" s="199"/>
      <c r="AU46" s="199"/>
      <c r="AV46" s="199"/>
      <c r="AW46" s="199"/>
      <c r="AX46" s="199"/>
      <c r="AY46" s="199"/>
      <c r="AZ46" s="199"/>
      <c r="BA46" s="199"/>
      <c r="BB46" s="199"/>
      <c r="BC46" s="199"/>
      <c r="BD46" s="199"/>
      <c r="BE46" s="199"/>
      <c r="BF46" s="199"/>
      <c r="BG46" s="199"/>
      <c r="BH46" s="199"/>
      <c r="BI46" s="199"/>
    </row>
    <row r="47" spans="2:61" s="315" customFormat="1" hidden="1">
      <c r="B47" s="712" t="str">
        <f>iCCompare!AI47</f>
        <v/>
      </c>
      <c r="C47" s="315" t="str">
        <f t="shared" si="1"/>
        <v>0</v>
      </c>
      <c r="D47" s="315" t="str">
        <f>iCCompare!T47</f>
        <v/>
      </c>
      <c r="E47" s="316" t="str">
        <f>IF(ISERROR(REPT(" ",(B47-1)*2)&amp;iCCompare!Y47),"",REPT(" ",(B47-1)*2)&amp;iCCompare!Y47)</f>
        <v/>
      </c>
      <c r="F47" s="317">
        <f t="shared" si="0"/>
        <v>0</v>
      </c>
      <c r="G47" s="199">
        <v>0</v>
      </c>
      <c r="H47" s="318" t="str">
        <f>iCCompare!Z47</f>
        <v/>
      </c>
      <c r="I47" s="319" t="str">
        <f>TEXT(iCCompare!AA47,iCCompare!AV47)</f>
        <v/>
      </c>
      <c r="J47" s="320" t="str">
        <f>iCCompare!AJ47</f>
        <v/>
      </c>
      <c r="L47" s="318" t="str">
        <f>iCCompare!AB47</f>
        <v/>
      </c>
      <c r="M47" s="319" t="str">
        <f>TEXT(iCCompare!AC47,iCCompare!AV47)</f>
        <v/>
      </c>
      <c r="N47" s="320" t="str">
        <f>iCCompare!AK47</f>
        <v/>
      </c>
      <c r="P47" s="318" t="str">
        <f>iCCompare!AD47</f>
        <v/>
      </c>
      <c r="Q47" s="320" t="str">
        <f>iCCompare!AL47</f>
        <v/>
      </c>
      <c r="S47" s="318" t="str">
        <f>iCCompare!AF47</f>
        <v/>
      </c>
      <c r="T47" s="320" t="str">
        <f>iCCompare!AM47</f>
        <v/>
      </c>
      <c r="U47" s="84"/>
      <c r="V47" s="84"/>
      <c r="W47" s="84"/>
      <c r="X47" s="742" t="str">
        <f t="shared" si="3"/>
        <v/>
      </c>
      <c r="Y47" s="199"/>
      <c r="Z47" s="399">
        <f>iCCompare!BE47</f>
        <v>0</v>
      </c>
      <c r="AA47" s="399">
        <f>iCCompare!BF47</f>
        <v>0</v>
      </c>
      <c r="AB47" s="399">
        <f>iCCompare!BG47</f>
        <v>0</v>
      </c>
      <c r="AC47" s="399">
        <f>iCCompare!BH47</f>
        <v>0</v>
      </c>
      <c r="AD47" s="199"/>
      <c r="AE47" s="199"/>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row>
    <row r="48" spans="2:61" s="315" customFormat="1" hidden="1">
      <c r="B48" s="712" t="str">
        <f>iCCompare!AI48</f>
        <v/>
      </c>
      <c r="C48" s="315" t="str">
        <f t="shared" si="1"/>
        <v>0</v>
      </c>
      <c r="D48" s="315" t="str">
        <f>iCCompare!T48</f>
        <v/>
      </c>
      <c r="E48" s="316" t="str">
        <f>IF(ISERROR(REPT(" ",(B48-1)*2)&amp;iCCompare!Y48),"",REPT(" ",(B48-1)*2)&amp;iCCompare!Y48)</f>
        <v/>
      </c>
      <c r="F48" s="317">
        <f t="shared" si="0"/>
        <v>0</v>
      </c>
      <c r="G48" s="199">
        <v>0</v>
      </c>
      <c r="H48" s="318" t="str">
        <f>iCCompare!Z48</f>
        <v/>
      </c>
      <c r="I48" s="319" t="str">
        <f>TEXT(iCCompare!AA48,iCCompare!AV48)</f>
        <v/>
      </c>
      <c r="J48" s="320" t="str">
        <f>iCCompare!AJ48</f>
        <v/>
      </c>
      <c r="L48" s="318" t="str">
        <f>iCCompare!AB48</f>
        <v/>
      </c>
      <c r="M48" s="319" t="str">
        <f>TEXT(iCCompare!AC48,iCCompare!AV48)</f>
        <v/>
      </c>
      <c r="N48" s="320" t="str">
        <f>iCCompare!AK48</f>
        <v/>
      </c>
      <c r="P48" s="318" t="str">
        <f>iCCompare!AD48</f>
        <v/>
      </c>
      <c r="Q48" s="320" t="str">
        <f>iCCompare!AL48</f>
        <v/>
      </c>
      <c r="S48" s="318" t="str">
        <f>iCCompare!AF48</f>
        <v/>
      </c>
      <c r="T48" s="320" t="str">
        <f>iCCompare!AM48</f>
        <v/>
      </c>
      <c r="U48" s="84"/>
      <c r="V48" s="84"/>
      <c r="W48" s="84"/>
      <c r="X48" s="742" t="str">
        <f t="shared" si="3"/>
        <v/>
      </c>
      <c r="Y48" s="199"/>
      <c r="Z48" s="399">
        <f>iCCompare!BE48</f>
        <v>0</v>
      </c>
      <c r="AA48" s="399">
        <f>iCCompare!BF48</f>
        <v>0</v>
      </c>
      <c r="AB48" s="399">
        <f>iCCompare!BG48</f>
        <v>0</v>
      </c>
      <c r="AC48" s="399">
        <f>iCCompare!BH48</f>
        <v>0</v>
      </c>
      <c r="AD48" s="199"/>
      <c r="AE48" s="199"/>
      <c r="AF48" s="199"/>
      <c r="AG48" s="199"/>
      <c r="AH48" s="199"/>
      <c r="AI48" s="199"/>
      <c r="AJ48" s="199"/>
      <c r="AK48" s="199"/>
      <c r="AL48" s="199"/>
      <c r="AM48" s="199"/>
      <c r="AN48" s="199"/>
      <c r="AO48" s="199"/>
      <c r="AP48" s="199"/>
      <c r="AQ48" s="199"/>
      <c r="AR48" s="199"/>
      <c r="AS48" s="199"/>
      <c r="AT48" s="199"/>
      <c r="AU48" s="199"/>
      <c r="AV48" s="199"/>
      <c r="AW48" s="199"/>
      <c r="AX48" s="199"/>
      <c r="AY48" s="199"/>
      <c r="AZ48" s="199"/>
      <c r="BA48" s="199"/>
      <c r="BB48" s="199"/>
      <c r="BC48" s="199"/>
      <c r="BD48" s="199"/>
      <c r="BE48" s="199"/>
      <c r="BF48" s="199"/>
      <c r="BG48" s="199"/>
      <c r="BH48" s="199"/>
      <c r="BI48" s="199"/>
    </row>
    <row r="49" spans="2:61" s="315" customFormat="1" hidden="1">
      <c r="B49" s="712" t="str">
        <f>iCCompare!AI49</f>
        <v/>
      </c>
      <c r="C49" s="315" t="str">
        <f t="shared" si="1"/>
        <v>0</v>
      </c>
      <c r="D49" s="315" t="str">
        <f>iCCompare!T49</f>
        <v/>
      </c>
      <c r="E49" s="316" t="str">
        <f>IF(ISERROR(REPT(" ",(B49-1)*2)&amp;iCCompare!Y49),"",REPT(" ",(B49-1)*2)&amp;iCCompare!Y49)</f>
        <v/>
      </c>
      <c r="F49" s="317">
        <f t="shared" si="0"/>
        <v>0</v>
      </c>
      <c r="G49" s="199">
        <v>0</v>
      </c>
      <c r="H49" s="318" t="str">
        <f>iCCompare!Z49</f>
        <v/>
      </c>
      <c r="I49" s="319" t="str">
        <f>TEXT(iCCompare!AA49,iCCompare!AV49)</f>
        <v/>
      </c>
      <c r="J49" s="320" t="str">
        <f>iCCompare!AJ49</f>
        <v/>
      </c>
      <c r="L49" s="318" t="str">
        <f>iCCompare!AB49</f>
        <v/>
      </c>
      <c r="M49" s="319" t="str">
        <f>TEXT(iCCompare!AC49,iCCompare!AV49)</f>
        <v/>
      </c>
      <c r="N49" s="320" t="str">
        <f>iCCompare!AK49</f>
        <v/>
      </c>
      <c r="P49" s="318" t="str">
        <f>iCCompare!AD49</f>
        <v/>
      </c>
      <c r="Q49" s="320" t="str">
        <f>iCCompare!AL49</f>
        <v/>
      </c>
      <c r="S49" s="318" t="str">
        <f>iCCompare!AF49</f>
        <v/>
      </c>
      <c r="T49" s="320" t="str">
        <f>iCCompare!AM49</f>
        <v/>
      </c>
      <c r="U49" s="84"/>
      <c r="V49" s="84"/>
      <c r="W49" s="84"/>
      <c r="X49" s="742" t="str">
        <f t="shared" si="3"/>
        <v/>
      </c>
      <c r="Y49" s="199"/>
      <c r="Z49" s="399">
        <f>iCCompare!BE49</f>
        <v>0</v>
      </c>
      <c r="AA49" s="399">
        <f>iCCompare!BF49</f>
        <v>0</v>
      </c>
      <c r="AB49" s="399">
        <f>iCCompare!BG49</f>
        <v>0</v>
      </c>
      <c r="AC49" s="399">
        <f>iCCompare!BH49</f>
        <v>0</v>
      </c>
      <c r="AD49" s="199"/>
      <c r="AE49" s="199"/>
      <c r="AF49" s="199"/>
      <c r="AG49" s="199"/>
      <c r="AH49" s="199"/>
      <c r="AI49" s="199"/>
      <c r="AJ49" s="199"/>
      <c r="AK49" s="199"/>
      <c r="AL49" s="199"/>
      <c r="AM49" s="199"/>
      <c r="AN49" s="199"/>
      <c r="AO49" s="199"/>
      <c r="AP49" s="199"/>
      <c r="AQ49" s="199"/>
      <c r="AR49" s="199"/>
      <c r="AS49" s="199"/>
      <c r="AT49" s="199"/>
      <c r="AU49" s="199"/>
      <c r="AV49" s="199"/>
      <c r="AW49" s="199"/>
      <c r="AX49" s="199"/>
      <c r="AY49" s="199"/>
      <c r="AZ49" s="199"/>
      <c r="BA49" s="199"/>
      <c r="BB49" s="199"/>
      <c r="BC49" s="199"/>
      <c r="BD49" s="199"/>
      <c r="BE49" s="199"/>
      <c r="BF49" s="199"/>
      <c r="BG49" s="199"/>
      <c r="BH49" s="199"/>
      <c r="BI49" s="199"/>
    </row>
    <row r="50" spans="2:61" s="315" customFormat="1" hidden="1">
      <c r="B50" s="712" t="str">
        <f>iCCompare!AI50</f>
        <v/>
      </c>
      <c r="C50" s="315" t="str">
        <f t="shared" si="1"/>
        <v>0</v>
      </c>
      <c r="D50" s="315" t="str">
        <f>iCCompare!T50</f>
        <v/>
      </c>
      <c r="E50" s="316" t="str">
        <f>IF(ISERROR(REPT(" ",(B50-1)*2)&amp;iCCompare!Y50),"",REPT(" ",(B50-1)*2)&amp;iCCompare!Y50)</f>
        <v/>
      </c>
      <c r="F50" s="317">
        <f t="shared" si="0"/>
        <v>0</v>
      </c>
      <c r="G50" s="199">
        <v>0</v>
      </c>
      <c r="H50" s="318" t="str">
        <f>iCCompare!Z50</f>
        <v/>
      </c>
      <c r="I50" s="319" t="str">
        <f>TEXT(iCCompare!AA50,iCCompare!AV50)</f>
        <v/>
      </c>
      <c r="J50" s="320" t="str">
        <f>iCCompare!AJ50</f>
        <v/>
      </c>
      <c r="L50" s="318" t="str">
        <f>iCCompare!AB50</f>
        <v/>
      </c>
      <c r="M50" s="319" t="str">
        <f>TEXT(iCCompare!AC50,iCCompare!AV50)</f>
        <v/>
      </c>
      <c r="N50" s="320" t="str">
        <f>iCCompare!AK50</f>
        <v/>
      </c>
      <c r="P50" s="318" t="str">
        <f>iCCompare!AD50</f>
        <v/>
      </c>
      <c r="Q50" s="320" t="str">
        <f>iCCompare!AL50</f>
        <v/>
      </c>
      <c r="S50" s="318" t="str">
        <f>iCCompare!AF50</f>
        <v/>
      </c>
      <c r="T50" s="320" t="str">
        <f>iCCompare!AM50</f>
        <v/>
      </c>
      <c r="U50" s="84"/>
      <c r="V50" s="84"/>
      <c r="W50" s="84"/>
      <c r="X50" s="742" t="str">
        <f t="shared" si="3"/>
        <v/>
      </c>
      <c r="Y50" s="199"/>
      <c r="Z50" s="399">
        <f>iCCompare!BE50</f>
        <v>0</v>
      </c>
      <c r="AA50" s="399">
        <f>iCCompare!BF50</f>
        <v>0</v>
      </c>
      <c r="AB50" s="399">
        <f>iCCompare!BG50</f>
        <v>0</v>
      </c>
      <c r="AC50" s="399">
        <f>iCCompare!BH50</f>
        <v>0</v>
      </c>
      <c r="AD50" s="199"/>
      <c r="AE50" s="199"/>
      <c r="AF50" s="199"/>
      <c r="AG50" s="199"/>
      <c r="AH50" s="199"/>
      <c r="AI50" s="199"/>
      <c r="AJ50" s="199"/>
      <c r="AK50" s="199"/>
      <c r="AL50" s="199"/>
      <c r="AM50" s="199"/>
      <c r="AN50" s="199"/>
      <c r="AO50" s="199"/>
      <c r="AP50" s="199"/>
      <c r="AQ50" s="199"/>
      <c r="AR50" s="199"/>
      <c r="AS50" s="199"/>
      <c r="AT50" s="199"/>
      <c r="AU50" s="199"/>
      <c r="AV50" s="199"/>
      <c r="AW50" s="199"/>
      <c r="AX50" s="199"/>
      <c r="AY50" s="199"/>
      <c r="AZ50" s="199"/>
      <c r="BA50" s="199"/>
      <c r="BB50" s="199"/>
      <c r="BC50" s="199"/>
      <c r="BD50" s="199"/>
      <c r="BE50" s="199"/>
      <c r="BF50" s="199"/>
      <c r="BG50" s="199"/>
      <c r="BH50" s="199"/>
      <c r="BI50" s="199"/>
    </row>
    <row r="51" spans="2:61" s="315" customFormat="1" hidden="1">
      <c r="B51" s="712" t="str">
        <f>iCCompare!AI51</f>
        <v/>
      </c>
      <c r="C51" s="315" t="str">
        <f t="shared" si="1"/>
        <v>0</v>
      </c>
      <c r="D51" s="315" t="str">
        <f>iCCompare!T51</f>
        <v/>
      </c>
      <c r="E51" s="316" t="str">
        <f>IF(ISERROR(REPT(" ",(B51-1)*2)&amp;iCCompare!Y51),"",REPT(" ",(B51-1)*2)&amp;iCCompare!Y51)</f>
        <v/>
      </c>
      <c r="F51" s="317">
        <f t="shared" si="0"/>
        <v>0</v>
      </c>
      <c r="G51" s="199">
        <v>0</v>
      </c>
      <c r="H51" s="318" t="str">
        <f>iCCompare!Z51</f>
        <v/>
      </c>
      <c r="I51" s="319" t="str">
        <f>TEXT(iCCompare!AA51,iCCompare!AV51)</f>
        <v/>
      </c>
      <c r="J51" s="320" t="str">
        <f>iCCompare!AJ51</f>
        <v/>
      </c>
      <c r="L51" s="318" t="str">
        <f>iCCompare!AB51</f>
        <v/>
      </c>
      <c r="M51" s="319" t="str">
        <f>TEXT(iCCompare!AC51,iCCompare!AV51)</f>
        <v/>
      </c>
      <c r="N51" s="320" t="str">
        <f>iCCompare!AK51</f>
        <v/>
      </c>
      <c r="P51" s="318" t="str">
        <f>iCCompare!AD51</f>
        <v/>
      </c>
      <c r="Q51" s="320" t="str">
        <f>iCCompare!AL51</f>
        <v/>
      </c>
      <c r="S51" s="318" t="str">
        <f>iCCompare!AF51</f>
        <v/>
      </c>
      <c r="T51" s="320" t="str">
        <f>iCCompare!AM51</f>
        <v/>
      </c>
      <c r="U51" s="84"/>
      <c r="V51" s="84"/>
      <c r="W51" s="84"/>
      <c r="X51" s="742" t="str">
        <f t="shared" si="3"/>
        <v/>
      </c>
      <c r="Y51" s="199"/>
      <c r="Z51" s="399">
        <f>iCCompare!BE51</f>
        <v>0</v>
      </c>
      <c r="AA51" s="399">
        <f>iCCompare!BF51</f>
        <v>0</v>
      </c>
      <c r="AB51" s="399">
        <f>iCCompare!BG51</f>
        <v>0</v>
      </c>
      <c r="AC51" s="399">
        <f>iCCompare!BH51</f>
        <v>0</v>
      </c>
      <c r="AD51" s="199"/>
      <c r="AE51" s="199"/>
      <c r="AF51" s="199"/>
      <c r="AG51" s="199"/>
      <c r="AH51" s="199"/>
      <c r="AI51" s="199"/>
      <c r="AJ51" s="199"/>
      <c r="AK51" s="199"/>
      <c r="AL51" s="199"/>
      <c r="AM51" s="199"/>
      <c r="AN51" s="199"/>
      <c r="AO51" s="199"/>
      <c r="AP51" s="199"/>
      <c r="AQ51" s="199"/>
      <c r="AR51" s="199"/>
      <c r="AS51" s="199"/>
      <c r="AT51" s="199"/>
      <c r="AU51" s="199"/>
      <c r="AV51" s="199"/>
      <c r="AW51" s="199"/>
      <c r="AX51" s="199"/>
      <c r="AY51" s="199"/>
      <c r="AZ51" s="199"/>
      <c r="BA51" s="199"/>
      <c r="BB51" s="199"/>
      <c r="BC51" s="199"/>
      <c r="BD51" s="199"/>
      <c r="BE51" s="199"/>
      <c r="BF51" s="199"/>
      <c r="BG51" s="199"/>
      <c r="BH51" s="199"/>
      <c r="BI51" s="199"/>
    </row>
    <row r="52" spans="2:61" s="315" customFormat="1" hidden="1">
      <c r="B52" s="712" t="str">
        <f>iCCompare!AI52</f>
        <v/>
      </c>
      <c r="C52" s="315" t="str">
        <f t="shared" si="1"/>
        <v>0</v>
      </c>
      <c r="D52" s="315" t="str">
        <f>iCCompare!T52</f>
        <v/>
      </c>
      <c r="E52" s="316" t="str">
        <f>IF(ISERROR(REPT(" ",(B52-1)*2)&amp;iCCompare!Y52),"",REPT(" ",(B52-1)*2)&amp;iCCompare!Y52)</f>
        <v/>
      </c>
      <c r="F52" s="317">
        <f t="shared" si="0"/>
        <v>0</v>
      </c>
      <c r="G52" s="199">
        <v>0</v>
      </c>
      <c r="H52" s="318" t="str">
        <f>iCCompare!Z52</f>
        <v/>
      </c>
      <c r="I52" s="319" t="str">
        <f>TEXT(iCCompare!AA52,iCCompare!AV52)</f>
        <v/>
      </c>
      <c r="J52" s="320" t="str">
        <f>iCCompare!AJ52</f>
        <v/>
      </c>
      <c r="L52" s="318" t="str">
        <f>iCCompare!AB52</f>
        <v/>
      </c>
      <c r="M52" s="319" t="str">
        <f>TEXT(iCCompare!AC52,iCCompare!AV52)</f>
        <v/>
      </c>
      <c r="N52" s="320" t="str">
        <f>iCCompare!AK52</f>
        <v/>
      </c>
      <c r="P52" s="318" t="str">
        <f>iCCompare!AD52</f>
        <v/>
      </c>
      <c r="Q52" s="320" t="str">
        <f>iCCompare!AL52</f>
        <v/>
      </c>
      <c r="S52" s="318" t="str">
        <f>iCCompare!AF52</f>
        <v/>
      </c>
      <c r="T52" s="320" t="str">
        <f>iCCompare!AM52</f>
        <v/>
      </c>
      <c r="U52" s="84"/>
      <c r="V52" s="84"/>
      <c r="W52" s="84"/>
      <c r="X52" s="742" t="str">
        <f t="shared" si="3"/>
        <v/>
      </c>
      <c r="Y52" s="199"/>
      <c r="Z52" s="399">
        <f>iCCompare!BE52</f>
        <v>0</v>
      </c>
      <c r="AA52" s="399">
        <f>iCCompare!BF52</f>
        <v>0</v>
      </c>
      <c r="AB52" s="399">
        <f>iCCompare!BG52</f>
        <v>0</v>
      </c>
      <c r="AC52" s="399">
        <f>iCCompare!BH52</f>
        <v>0</v>
      </c>
      <c r="AD52" s="199"/>
      <c r="AE52" s="199"/>
      <c r="AF52" s="199"/>
      <c r="AG52" s="199"/>
      <c r="AH52" s="199"/>
      <c r="AI52" s="199"/>
      <c r="AJ52" s="199"/>
      <c r="AK52" s="199"/>
      <c r="AL52" s="199"/>
      <c r="AM52" s="199"/>
      <c r="AN52" s="199"/>
      <c r="AO52" s="199"/>
      <c r="AP52" s="199"/>
      <c r="AQ52" s="199"/>
      <c r="AR52" s="199"/>
      <c r="AS52" s="199"/>
      <c r="AT52" s="199"/>
      <c r="AU52" s="199"/>
      <c r="AV52" s="199"/>
      <c r="AW52" s="199"/>
      <c r="AX52" s="199"/>
      <c r="AY52" s="199"/>
      <c r="AZ52" s="199"/>
      <c r="BA52" s="199"/>
      <c r="BB52" s="199"/>
      <c r="BC52" s="199"/>
      <c r="BD52" s="199"/>
      <c r="BE52" s="199"/>
      <c r="BF52" s="199"/>
      <c r="BG52" s="199"/>
      <c r="BH52" s="199"/>
      <c r="BI52" s="199"/>
    </row>
    <row r="53" spans="2:61" s="315" customFormat="1" hidden="1">
      <c r="B53" s="712" t="str">
        <f>iCCompare!AI53</f>
        <v/>
      </c>
      <c r="C53" s="315" t="str">
        <f t="shared" si="1"/>
        <v>0</v>
      </c>
      <c r="D53" s="315" t="str">
        <f>iCCompare!T53</f>
        <v/>
      </c>
      <c r="E53" s="316" t="str">
        <f>IF(ISERROR(REPT(" ",(B53-1)*2)&amp;iCCompare!Y53),"",REPT(" ",(B53-1)*2)&amp;iCCompare!Y53)</f>
        <v/>
      </c>
      <c r="F53" s="317">
        <f t="shared" si="0"/>
        <v>0</v>
      </c>
      <c r="G53" s="199">
        <v>0</v>
      </c>
      <c r="H53" s="318" t="str">
        <f>iCCompare!Z53</f>
        <v/>
      </c>
      <c r="I53" s="319" t="str">
        <f>TEXT(iCCompare!AA53,iCCompare!AV53)</f>
        <v/>
      </c>
      <c r="J53" s="320" t="str">
        <f>iCCompare!AJ53</f>
        <v/>
      </c>
      <c r="L53" s="318" t="str">
        <f>iCCompare!AB53</f>
        <v/>
      </c>
      <c r="M53" s="319" t="str">
        <f>TEXT(iCCompare!AC53,iCCompare!AV53)</f>
        <v/>
      </c>
      <c r="N53" s="320" t="str">
        <f>iCCompare!AK53</f>
        <v/>
      </c>
      <c r="P53" s="318" t="str">
        <f>iCCompare!AD53</f>
        <v/>
      </c>
      <c r="Q53" s="320" t="str">
        <f>iCCompare!AL53</f>
        <v/>
      </c>
      <c r="S53" s="318" t="str">
        <f>iCCompare!AF53</f>
        <v/>
      </c>
      <c r="T53" s="320" t="str">
        <f>iCCompare!AM53</f>
        <v/>
      </c>
      <c r="U53" s="84"/>
      <c r="V53" s="84"/>
      <c r="W53" s="84"/>
      <c r="X53" s="742" t="str">
        <f t="shared" si="3"/>
        <v/>
      </c>
      <c r="Y53" s="199"/>
      <c r="Z53" s="399">
        <f>iCCompare!BE53</f>
        <v>0</v>
      </c>
      <c r="AA53" s="399">
        <f>iCCompare!BF53</f>
        <v>0</v>
      </c>
      <c r="AB53" s="399">
        <f>iCCompare!BG53</f>
        <v>0</v>
      </c>
      <c r="AC53" s="399">
        <f>iCCompare!BH53</f>
        <v>0</v>
      </c>
      <c r="AD53" s="199"/>
      <c r="AE53" s="199"/>
      <c r="AF53" s="199"/>
      <c r="AG53" s="199"/>
      <c r="AH53" s="199"/>
      <c r="AI53" s="199"/>
      <c r="AJ53" s="199"/>
      <c r="AK53" s="199"/>
      <c r="AL53" s="199"/>
      <c r="AM53" s="199"/>
      <c r="AN53" s="199"/>
      <c r="AO53" s="199"/>
      <c r="AP53" s="199"/>
      <c r="AQ53" s="199"/>
      <c r="AR53" s="199"/>
      <c r="AS53" s="199"/>
      <c r="AT53" s="199"/>
      <c r="AU53" s="199"/>
      <c r="AV53" s="199"/>
      <c r="AW53" s="199"/>
      <c r="AX53" s="199"/>
      <c r="AY53" s="199"/>
      <c r="AZ53" s="199"/>
      <c r="BA53" s="199"/>
      <c r="BB53" s="199"/>
      <c r="BC53" s="199"/>
      <c r="BD53" s="199"/>
      <c r="BE53" s="199"/>
      <c r="BF53" s="199"/>
      <c r="BG53" s="199"/>
      <c r="BH53" s="199"/>
      <c r="BI53" s="199"/>
    </row>
    <row r="54" spans="2:61" s="315" customFormat="1" hidden="1">
      <c r="B54" s="712" t="str">
        <f>iCCompare!AI54</f>
        <v/>
      </c>
      <c r="C54" s="315" t="str">
        <f t="shared" si="1"/>
        <v>0</v>
      </c>
      <c r="D54" s="315" t="str">
        <f>iCCompare!T54</f>
        <v/>
      </c>
      <c r="E54" s="316" t="str">
        <f>IF(ISERROR(REPT(" ",(B54-1)*2)&amp;iCCompare!Y54),"",REPT(" ",(B54-1)*2)&amp;iCCompare!Y54)</f>
        <v/>
      </c>
      <c r="F54" s="317">
        <f t="shared" si="0"/>
        <v>0</v>
      </c>
      <c r="G54" s="199">
        <v>0</v>
      </c>
      <c r="H54" s="318" t="str">
        <f>iCCompare!Z54</f>
        <v/>
      </c>
      <c r="I54" s="319" t="str">
        <f>TEXT(iCCompare!AA54,iCCompare!AV54)</f>
        <v/>
      </c>
      <c r="J54" s="320" t="str">
        <f>iCCompare!AJ54</f>
        <v/>
      </c>
      <c r="L54" s="318" t="str">
        <f>iCCompare!AB54</f>
        <v/>
      </c>
      <c r="M54" s="319" t="str">
        <f>TEXT(iCCompare!AC54,iCCompare!AV54)</f>
        <v/>
      </c>
      <c r="N54" s="320" t="str">
        <f>iCCompare!AK54</f>
        <v/>
      </c>
      <c r="P54" s="318" t="str">
        <f>iCCompare!AD54</f>
        <v/>
      </c>
      <c r="Q54" s="320" t="str">
        <f>iCCompare!AL54</f>
        <v/>
      </c>
      <c r="S54" s="318" t="str">
        <f>iCCompare!AF54</f>
        <v/>
      </c>
      <c r="T54" s="320" t="str">
        <f>iCCompare!AM54</f>
        <v/>
      </c>
      <c r="U54" s="84"/>
      <c r="V54" s="84"/>
      <c r="W54" s="84"/>
      <c r="X54" s="742" t="str">
        <f t="shared" si="3"/>
        <v/>
      </c>
      <c r="Y54" s="199"/>
      <c r="Z54" s="399">
        <f>iCCompare!BE54</f>
        <v>0</v>
      </c>
      <c r="AA54" s="399">
        <f>iCCompare!BF54</f>
        <v>0</v>
      </c>
      <c r="AB54" s="399">
        <f>iCCompare!BG54</f>
        <v>0</v>
      </c>
      <c r="AC54" s="399">
        <f>iCCompare!BH54</f>
        <v>0</v>
      </c>
      <c r="AD54" s="199"/>
      <c r="AE54" s="199"/>
      <c r="AF54" s="199"/>
      <c r="AG54" s="199"/>
      <c r="AH54" s="199"/>
      <c r="AI54" s="199"/>
      <c r="AJ54" s="199"/>
      <c r="AK54" s="199"/>
      <c r="AL54" s="199"/>
      <c r="AM54" s="199"/>
      <c r="AN54" s="199"/>
      <c r="AO54" s="199"/>
      <c r="AP54" s="199"/>
      <c r="AQ54" s="199"/>
      <c r="AR54" s="199"/>
      <c r="AS54" s="199"/>
      <c r="AT54" s="199"/>
      <c r="AU54" s="199"/>
      <c r="AV54" s="199"/>
      <c r="AW54" s="199"/>
      <c r="AX54" s="199"/>
      <c r="AY54" s="199"/>
      <c r="AZ54" s="199"/>
      <c r="BA54" s="199"/>
      <c r="BB54" s="199"/>
      <c r="BC54" s="199"/>
      <c r="BD54" s="199"/>
      <c r="BE54" s="199"/>
      <c r="BF54" s="199"/>
      <c r="BG54" s="199"/>
      <c r="BH54" s="199"/>
      <c r="BI54" s="199"/>
    </row>
    <row r="55" spans="2:61" s="315" customFormat="1" hidden="1">
      <c r="B55" s="712" t="str">
        <f>iCCompare!AI55</f>
        <v/>
      </c>
      <c r="C55" s="315" t="str">
        <f t="shared" si="1"/>
        <v>0</v>
      </c>
      <c r="D55" s="315" t="str">
        <f>iCCompare!T55</f>
        <v/>
      </c>
      <c r="E55" s="316" t="str">
        <f>IF(ISERROR(REPT(" ",(B55-1)*2)&amp;iCCompare!Y55),"",REPT(" ",(B55-1)*2)&amp;iCCompare!Y55)</f>
        <v/>
      </c>
      <c r="F55" s="317">
        <f t="shared" si="0"/>
        <v>0</v>
      </c>
      <c r="G55" s="199">
        <v>0</v>
      </c>
      <c r="H55" s="318" t="str">
        <f>iCCompare!Z55</f>
        <v/>
      </c>
      <c r="I55" s="319" t="str">
        <f>TEXT(iCCompare!AA55,iCCompare!AV55)</f>
        <v/>
      </c>
      <c r="J55" s="320" t="str">
        <f>iCCompare!AJ55</f>
        <v/>
      </c>
      <c r="L55" s="318" t="str">
        <f>iCCompare!AB55</f>
        <v/>
      </c>
      <c r="M55" s="319" t="str">
        <f>TEXT(iCCompare!AC55,iCCompare!AV55)</f>
        <v/>
      </c>
      <c r="N55" s="320" t="str">
        <f>iCCompare!AK55</f>
        <v/>
      </c>
      <c r="P55" s="318" t="str">
        <f>iCCompare!AD55</f>
        <v/>
      </c>
      <c r="Q55" s="320" t="str">
        <f>iCCompare!AL55</f>
        <v/>
      </c>
      <c r="S55" s="318" t="str">
        <f>iCCompare!AF55</f>
        <v/>
      </c>
      <c r="T55" s="320" t="str">
        <f>iCCompare!AM55</f>
        <v/>
      </c>
      <c r="U55" s="84"/>
      <c r="V55" s="84"/>
      <c r="W55" s="84"/>
      <c r="X55" s="742" t="str">
        <f t="shared" si="3"/>
        <v/>
      </c>
      <c r="Y55" s="199"/>
      <c r="Z55" s="399">
        <f>iCCompare!BE55</f>
        <v>0</v>
      </c>
      <c r="AA55" s="399">
        <f>iCCompare!BF55</f>
        <v>0</v>
      </c>
      <c r="AB55" s="399">
        <f>iCCompare!BG55</f>
        <v>0</v>
      </c>
      <c r="AC55" s="399">
        <f>iCCompare!BH55</f>
        <v>0</v>
      </c>
      <c r="AD55" s="199"/>
      <c r="AE55" s="199"/>
      <c r="AF55" s="199"/>
      <c r="AG55" s="199"/>
      <c r="AH55" s="199"/>
      <c r="AI55" s="199"/>
      <c r="AJ55" s="199"/>
      <c r="AK55" s="199"/>
      <c r="AL55" s="199"/>
      <c r="AM55" s="199"/>
      <c r="AN55" s="199"/>
      <c r="AO55" s="199"/>
      <c r="AP55" s="199"/>
      <c r="AQ55" s="199"/>
      <c r="AR55" s="199"/>
      <c r="AS55" s="199"/>
      <c r="AT55" s="199"/>
      <c r="AU55" s="199"/>
      <c r="AV55" s="199"/>
      <c r="AW55" s="199"/>
      <c r="AX55" s="199"/>
      <c r="AY55" s="199"/>
      <c r="AZ55" s="199"/>
      <c r="BA55" s="199"/>
      <c r="BB55" s="199"/>
      <c r="BC55" s="199"/>
      <c r="BD55" s="199"/>
      <c r="BE55" s="199"/>
      <c r="BF55" s="199"/>
      <c r="BG55" s="199"/>
      <c r="BH55" s="199"/>
      <c r="BI55" s="199"/>
    </row>
    <row r="56" spans="2:61" s="315" customFormat="1" hidden="1">
      <c r="B56" s="712" t="str">
        <f>iCCompare!AI56</f>
        <v/>
      </c>
      <c r="C56" s="315" t="str">
        <f t="shared" si="1"/>
        <v>0</v>
      </c>
      <c r="D56" s="315" t="str">
        <f>iCCompare!T56</f>
        <v/>
      </c>
      <c r="E56" s="316" t="str">
        <f>IF(ISERROR(REPT(" ",(B56-1)*2)&amp;iCCompare!Y56),"",REPT(" ",(B56-1)*2)&amp;iCCompare!Y56)</f>
        <v/>
      </c>
      <c r="F56" s="317">
        <f t="shared" si="0"/>
        <v>0</v>
      </c>
      <c r="G56" s="199">
        <v>0</v>
      </c>
      <c r="H56" s="318" t="str">
        <f>iCCompare!Z56</f>
        <v/>
      </c>
      <c r="I56" s="319" t="str">
        <f>TEXT(iCCompare!AA56,iCCompare!AV56)</f>
        <v/>
      </c>
      <c r="J56" s="320" t="str">
        <f>iCCompare!AJ56</f>
        <v/>
      </c>
      <c r="L56" s="318" t="str">
        <f>iCCompare!AB56</f>
        <v/>
      </c>
      <c r="M56" s="319" t="str">
        <f>TEXT(iCCompare!AC56,iCCompare!AV56)</f>
        <v/>
      </c>
      <c r="N56" s="320" t="str">
        <f>iCCompare!AK56</f>
        <v/>
      </c>
      <c r="P56" s="318" t="str">
        <f>iCCompare!AD56</f>
        <v/>
      </c>
      <c r="Q56" s="320" t="str">
        <f>iCCompare!AL56</f>
        <v/>
      </c>
      <c r="S56" s="318" t="str">
        <f>iCCompare!AF56</f>
        <v/>
      </c>
      <c r="T56" s="320" t="str">
        <f>iCCompare!AM56</f>
        <v/>
      </c>
      <c r="U56" s="84"/>
      <c r="V56" s="84"/>
      <c r="W56" s="84"/>
      <c r="X56" s="742" t="str">
        <f t="shared" si="3"/>
        <v/>
      </c>
      <c r="Y56" s="199"/>
      <c r="Z56" s="399">
        <f>iCCompare!BE56</f>
        <v>0</v>
      </c>
      <c r="AA56" s="399">
        <f>iCCompare!BF56</f>
        <v>0</v>
      </c>
      <c r="AB56" s="399">
        <f>iCCompare!BG56</f>
        <v>0</v>
      </c>
      <c r="AC56" s="399">
        <f>iCCompare!BH56</f>
        <v>0</v>
      </c>
      <c r="AD56" s="199"/>
      <c r="AE56" s="199"/>
      <c r="AF56" s="199"/>
      <c r="AG56" s="199"/>
      <c r="AH56" s="199"/>
      <c r="AI56" s="199"/>
      <c r="AJ56" s="199"/>
      <c r="AK56" s="199"/>
      <c r="AL56" s="199"/>
      <c r="AM56" s="199"/>
      <c r="AN56" s="199"/>
      <c r="AO56" s="199"/>
      <c r="AP56" s="199"/>
      <c r="AQ56" s="199"/>
      <c r="AR56" s="199"/>
      <c r="AS56" s="199"/>
      <c r="AT56" s="199"/>
      <c r="AU56" s="199"/>
      <c r="AV56" s="199"/>
      <c r="AW56" s="199"/>
      <c r="AX56" s="199"/>
      <c r="AY56" s="199"/>
      <c r="AZ56" s="199"/>
      <c r="BA56" s="199"/>
      <c r="BB56" s="199"/>
      <c r="BC56" s="199"/>
      <c r="BD56" s="199"/>
      <c r="BE56" s="199"/>
      <c r="BF56" s="199"/>
      <c r="BG56" s="199"/>
      <c r="BH56" s="199"/>
      <c r="BI56" s="199"/>
    </row>
    <row r="57" spans="2:61" s="315" customFormat="1" hidden="1">
      <c r="B57" s="712" t="str">
        <f>iCCompare!AI57</f>
        <v/>
      </c>
      <c r="C57" s="315" t="str">
        <f t="shared" si="1"/>
        <v>0</v>
      </c>
      <c r="D57" s="315" t="str">
        <f>iCCompare!T57</f>
        <v/>
      </c>
      <c r="E57" s="316" t="str">
        <f>IF(ISERROR(REPT(" ",(B57-1)*2)&amp;iCCompare!Y57),"",REPT(" ",(B57-1)*2)&amp;iCCompare!Y57)</f>
        <v/>
      </c>
      <c r="F57" s="317">
        <f t="shared" si="0"/>
        <v>0</v>
      </c>
      <c r="G57" s="199">
        <v>0</v>
      </c>
      <c r="H57" s="318" t="str">
        <f>iCCompare!Z57</f>
        <v/>
      </c>
      <c r="I57" s="319" t="str">
        <f>TEXT(iCCompare!AA57,iCCompare!AV57)</f>
        <v/>
      </c>
      <c r="J57" s="320" t="str">
        <f>iCCompare!AJ57</f>
        <v/>
      </c>
      <c r="L57" s="318" t="str">
        <f>iCCompare!AB57</f>
        <v/>
      </c>
      <c r="M57" s="319" t="str">
        <f>TEXT(iCCompare!AC57,iCCompare!AV57)</f>
        <v/>
      </c>
      <c r="N57" s="320" t="str">
        <f>iCCompare!AK57</f>
        <v/>
      </c>
      <c r="P57" s="318" t="str">
        <f>iCCompare!AD57</f>
        <v/>
      </c>
      <c r="Q57" s="320" t="str">
        <f>iCCompare!AL57</f>
        <v/>
      </c>
      <c r="S57" s="318" t="str">
        <f>iCCompare!AF57</f>
        <v/>
      </c>
      <c r="T57" s="320" t="str">
        <f>iCCompare!AM57</f>
        <v/>
      </c>
      <c r="U57" s="84"/>
      <c r="V57" s="84"/>
      <c r="W57" s="84"/>
      <c r="X57" s="742" t="str">
        <f t="shared" si="3"/>
        <v/>
      </c>
      <c r="Y57" s="199"/>
      <c r="Z57" s="399">
        <f>iCCompare!BE57</f>
        <v>0</v>
      </c>
      <c r="AA57" s="399">
        <f>iCCompare!BF57</f>
        <v>0</v>
      </c>
      <c r="AB57" s="399">
        <f>iCCompare!BG57</f>
        <v>0</v>
      </c>
      <c r="AC57" s="399">
        <f>iCCompare!BH57</f>
        <v>0</v>
      </c>
      <c r="AD57" s="199"/>
      <c r="AE57" s="199"/>
      <c r="AF57" s="199"/>
      <c r="AG57" s="199"/>
      <c r="AH57" s="199"/>
      <c r="AI57" s="199"/>
      <c r="AJ57" s="199"/>
      <c r="AK57" s="199"/>
      <c r="AL57" s="199"/>
      <c r="AM57" s="199"/>
      <c r="AN57" s="199"/>
      <c r="AO57" s="199"/>
      <c r="AP57" s="199"/>
      <c r="AQ57" s="199"/>
      <c r="AR57" s="199"/>
      <c r="AS57" s="199"/>
      <c r="AT57" s="199"/>
      <c r="AU57" s="199"/>
      <c r="AV57" s="199"/>
      <c r="AW57" s="199"/>
      <c r="AX57" s="199"/>
      <c r="AY57" s="199"/>
      <c r="AZ57" s="199"/>
      <c r="BA57" s="199"/>
      <c r="BB57" s="199"/>
      <c r="BC57" s="199"/>
      <c r="BD57" s="199"/>
      <c r="BE57" s="199"/>
      <c r="BF57" s="199"/>
      <c r="BG57" s="199"/>
      <c r="BH57" s="199"/>
      <c r="BI57" s="199"/>
    </row>
    <row r="58" spans="2:61" s="315" customFormat="1" hidden="1">
      <c r="B58" s="712" t="str">
        <f>iCCompare!AI58</f>
        <v/>
      </c>
      <c r="C58" s="315" t="str">
        <f t="shared" si="1"/>
        <v>0</v>
      </c>
      <c r="D58" s="315" t="str">
        <f>iCCompare!T58</f>
        <v/>
      </c>
      <c r="E58" s="316" t="str">
        <f>IF(ISERROR(REPT(" ",(B58-1)*2)&amp;iCCompare!Y58),"",REPT(" ",(B58-1)*2)&amp;iCCompare!Y58)</f>
        <v/>
      </c>
      <c r="F58" s="317">
        <f t="shared" si="0"/>
        <v>0</v>
      </c>
      <c r="G58" s="199">
        <v>0</v>
      </c>
      <c r="H58" s="318" t="str">
        <f>iCCompare!Z58</f>
        <v/>
      </c>
      <c r="I58" s="319" t="str">
        <f>TEXT(iCCompare!AA58,iCCompare!AV58)</f>
        <v/>
      </c>
      <c r="J58" s="320" t="str">
        <f>iCCompare!AJ58</f>
        <v/>
      </c>
      <c r="L58" s="318" t="str">
        <f>iCCompare!AB58</f>
        <v/>
      </c>
      <c r="M58" s="319" t="str">
        <f>TEXT(iCCompare!AC58,iCCompare!AV58)</f>
        <v/>
      </c>
      <c r="N58" s="320" t="str">
        <f>iCCompare!AK58</f>
        <v/>
      </c>
      <c r="P58" s="318" t="str">
        <f>iCCompare!AD58</f>
        <v/>
      </c>
      <c r="Q58" s="320" t="str">
        <f>iCCompare!AL58</f>
        <v/>
      </c>
      <c r="S58" s="318" t="str">
        <f>iCCompare!AF58</f>
        <v/>
      </c>
      <c r="T58" s="320" t="str">
        <f>iCCompare!AM58</f>
        <v/>
      </c>
      <c r="U58" s="84"/>
      <c r="V58" s="84"/>
      <c r="W58" s="84"/>
      <c r="X58" s="742" t="str">
        <f t="shared" si="3"/>
        <v/>
      </c>
      <c r="Y58" s="199"/>
      <c r="Z58" s="399">
        <f>iCCompare!BE58</f>
        <v>0</v>
      </c>
      <c r="AA58" s="399">
        <f>iCCompare!BF58</f>
        <v>0</v>
      </c>
      <c r="AB58" s="399">
        <f>iCCompare!BG58</f>
        <v>0</v>
      </c>
      <c r="AC58" s="399">
        <f>iCCompare!BH58</f>
        <v>0</v>
      </c>
      <c r="AD58" s="199"/>
      <c r="AE58" s="199"/>
      <c r="AF58" s="199"/>
      <c r="AG58" s="199"/>
      <c r="AH58" s="199"/>
      <c r="AI58" s="199"/>
      <c r="AJ58" s="199"/>
      <c r="AK58" s="199"/>
      <c r="AL58" s="199"/>
      <c r="AM58" s="199"/>
      <c r="AN58" s="199"/>
      <c r="AO58" s="199"/>
      <c r="AP58" s="199"/>
      <c r="AQ58" s="199"/>
      <c r="AR58" s="199"/>
      <c r="AS58" s="199"/>
      <c r="AT58" s="199"/>
      <c r="AU58" s="199"/>
      <c r="AV58" s="199"/>
      <c r="AW58" s="199"/>
      <c r="AX58" s="199"/>
      <c r="AY58" s="199"/>
      <c r="AZ58" s="199"/>
      <c r="BA58" s="199"/>
      <c r="BB58" s="199"/>
      <c r="BC58" s="199"/>
      <c r="BD58" s="199"/>
      <c r="BE58" s="199"/>
      <c r="BF58" s="199"/>
      <c r="BG58" s="199"/>
      <c r="BH58" s="199"/>
      <c r="BI58" s="199"/>
    </row>
    <row r="59" spans="2:61" s="315" customFormat="1" hidden="1">
      <c r="B59" s="712" t="str">
        <f>iCCompare!AI59</f>
        <v/>
      </c>
      <c r="C59" s="315" t="str">
        <f t="shared" si="1"/>
        <v>0</v>
      </c>
      <c r="D59" s="315" t="str">
        <f>iCCompare!T59</f>
        <v/>
      </c>
      <c r="E59" s="316" t="str">
        <f>IF(ISERROR(REPT(" ",(B59-1)*2)&amp;iCCompare!Y59),"",REPT(" ",(B59-1)*2)&amp;iCCompare!Y59)</f>
        <v/>
      </c>
      <c r="F59" s="317">
        <f t="shared" si="0"/>
        <v>0</v>
      </c>
      <c r="G59" s="199">
        <v>0</v>
      </c>
      <c r="H59" s="318" t="str">
        <f>iCCompare!Z59</f>
        <v/>
      </c>
      <c r="I59" s="319" t="str">
        <f>TEXT(iCCompare!AA59,iCCompare!AV59)</f>
        <v/>
      </c>
      <c r="J59" s="320" t="str">
        <f>iCCompare!AJ59</f>
        <v/>
      </c>
      <c r="L59" s="318" t="str">
        <f>iCCompare!AB59</f>
        <v/>
      </c>
      <c r="M59" s="319" t="str">
        <f>TEXT(iCCompare!AC59,iCCompare!AV59)</f>
        <v/>
      </c>
      <c r="N59" s="320" t="str">
        <f>iCCompare!AK59</f>
        <v/>
      </c>
      <c r="P59" s="318" t="str">
        <f>iCCompare!AD59</f>
        <v/>
      </c>
      <c r="Q59" s="320" t="str">
        <f>iCCompare!AL59</f>
        <v/>
      </c>
      <c r="S59" s="318" t="str">
        <f>iCCompare!AF59</f>
        <v/>
      </c>
      <c r="T59" s="320" t="str">
        <f>iCCompare!AM59</f>
        <v/>
      </c>
      <c r="U59" s="84"/>
      <c r="V59" s="84"/>
      <c r="W59" s="84"/>
      <c r="X59" s="742" t="str">
        <f t="shared" si="3"/>
        <v/>
      </c>
      <c r="Y59" s="199"/>
      <c r="Z59" s="399">
        <f>iCCompare!BE59</f>
        <v>0</v>
      </c>
      <c r="AA59" s="399">
        <f>iCCompare!BF59</f>
        <v>0</v>
      </c>
      <c r="AB59" s="399">
        <f>iCCompare!BG59</f>
        <v>0</v>
      </c>
      <c r="AC59" s="399">
        <f>iCCompare!BH59</f>
        <v>0</v>
      </c>
      <c r="AD59" s="199"/>
      <c r="AE59" s="199"/>
      <c r="AF59" s="199"/>
      <c r="AG59" s="199"/>
      <c r="AH59" s="199"/>
      <c r="AI59" s="199"/>
      <c r="AJ59" s="199"/>
      <c r="AK59" s="199"/>
      <c r="AL59" s="199"/>
      <c r="AM59" s="199"/>
      <c r="AN59" s="199"/>
      <c r="AO59" s="199"/>
      <c r="AP59" s="199"/>
      <c r="AQ59" s="199"/>
      <c r="AR59" s="199"/>
      <c r="AS59" s="199"/>
      <c r="AT59" s="199"/>
      <c r="AU59" s="199"/>
      <c r="AV59" s="199"/>
      <c r="AW59" s="199"/>
      <c r="AX59" s="199"/>
      <c r="AY59" s="199"/>
      <c r="AZ59" s="199"/>
      <c r="BA59" s="199"/>
      <c r="BB59" s="199"/>
      <c r="BC59" s="199"/>
      <c r="BD59" s="199"/>
      <c r="BE59" s="199"/>
      <c r="BF59" s="199"/>
      <c r="BG59" s="199"/>
      <c r="BH59" s="199"/>
      <c r="BI59" s="199"/>
    </row>
    <row r="60" spans="2:61" s="321" customFormat="1">
      <c r="E60" s="322"/>
      <c r="G60" s="200"/>
      <c r="I60" s="201"/>
      <c r="J60" s="323"/>
      <c r="M60" s="201"/>
      <c r="N60" s="323"/>
      <c r="Q60" s="323"/>
      <c r="T60" s="323"/>
      <c r="U60" s="197"/>
      <c r="V60" s="197"/>
      <c r="W60" s="197"/>
      <c r="X60" s="742"/>
      <c r="Y60" s="200"/>
      <c r="Z60" s="400"/>
      <c r="AA60" s="400"/>
      <c r="AB60" s="400"/>
      <c r="AC60" s="400"/>
      <c r="AD60" s="200"/>
      <c r="AE60" s="200"/>
      <c r="AF60" s="200"/>
      <c r="AG60" s="200"/>
      <c r="AH60" s="200"/>
      <c r="AI60" s="200"/>
      <c r="AJ60" s="200"/>
      <c r="AK60" s="200"/>
      <c r="AL60" s="200"/>
      <c r="AM60" s="200"/>
      <c r="AN60" s="200"/>
      <c r="AO60" s="200"/>
      <c r="AP60" s="200"/>
      <c r="AQ60" s="200"/>
      <c r="AR60" s="200"/>
      <c r="AS60" s="200"/>
      <c r="AT60" s="200"/>
      <c r="AU60" s="200"/>
      <c r="AV60" s="200"/>
      <c r="AW60" s="200"/>
      <c r="AX60" s="200"/>
      <c r="AY60" s="200"/>
      <c r="AZ60" s="200"/>
      <c r="BA60" s="200"/>
      <c r="BB60" s="200"/>
      <c r="BC60" s="200"/>
      <c r="BD60" s="200"/>
      <c r="BE60" s="200"/>
      <c r="BF60" s="200"/>
      <c r="BG60" s="200"/>
      <c r="BH60" s="200"/>
      <c r="BI60" s="200"/>
    </row>
    <row r="61" spans="2:61" s="257" customFormat="1">
      <c r="E61" s="324"/>
      <c r="F61" s="325"/>
      <c r="G61" s="157"/>
      <c r="H61" s="325"/>
      <c r="I61" s="161"/>
      <c r="J61" s="326"/>
      <c r="L61" s="325"/>
      <c r="M61" s="161"/>
      <c r="N61" s="326"/>
      <c r="P61" s="325"/>
      <c r="Q61" s="326"/>
      <c r="S61" s="325"/>
      <c r="T61" s="326"/>
      <c r="U61" s="160"/>
      <c r="V61" s="160"/>
      <c r="W61" s="160"/>
      <c r="X61" s="741"/>
      <c r="Y61" s="157"/>
      <c r="Z61" s="401"/>
      <c r="AA61" s="401"/>
      <c r="AB61" s="401"/>
      <c r="AC61" s="401"/>
      <c r="AD61" s="157"/>
      <c r="AE61" s="157"/>
      <c r="AF61" s="157"/>
      <c r="AG61" s="157"/>
      <c r="AH61" s="157"/>
      <c r="AI61" s="157"/>
      <c r="AJ61" s="157"/>
      <c r="AK61" s="157"/>
      <c r="AL61" s="157"/>
      <c r="AM61" s="157"/>
      <c r="AN61" s="157"/>
      <c r="AO61" s="157"/>
      <c r="AP61" s="157"/>
      <c r="AQ61" s="157"/>
      <c r="AR61" s="157"/>
      <c r="AS61" s="157"/>
      <c r="AT61" s="157"/>
      <c r="AU61" s="157"/>
      <c r="AV61" s="157"/>
      <c r="AW61" s="157"/>
      <c r="AX61" s="157"/>
      <c r="AY61" s="157"/>
      <c r="AZ61" s="157"/>
      <c r="BA61" s="157"/>
      <c r="BB61" s="157"/>
      <c r="BC61" s="157"/>
      <c r="BD61" s="157"/>
      <c r="BE61" s="157"/>
      <c r="BF61" s="157"/>
      <c r="BG61" s="157"/>
      <c r="BH61" s="157"/>
      <c r="BI61" s="157"/>
    </row>
    <row r="62" spans="2:61" s="257" customFormat="1">
      <c r="E62" s="324"/>
      <c r="F62" s="325"/>
      <c r="G62" s="157"/>
      <c r="H62" s="325"/>
      <c r="I62" s="161"/>
      <c r="J62" s="326"/>
      <c r="L62" s="325"/>
      <c r="M62" s="161"/>
      <c r="N62" s="326"/>
      <c r="P62" s="325"/>
      <c r="Q62" s="326"/>
      <c r="S62" s="325"/>
      <c r="T62" s="326"/>
      <c r="U62" s="160"/>
      <c r="V62" s="160"/>
      <c r="W62" s="160"/>
      <c r="X62" s="741"/>
      <c r="Y62" s="157"/>
      <c r="Z62" s="401"/>
      <c r="AA62" s="401"/>
      <c r="AB62" s="401"/>
      <c r="AC62" s="401"/>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row>
    <row r="63" spans="2:61" s="257" customFormat="1">
      <c r="E63" s="324"/>
      <c r="F63" s="325"/>
      <c r="G63" s="157"/>
      <c r="H63" s="325"/>
      <c r="I63" s="161"/>
      <c r="J63" s="326"/>
      <c r="L63" s="325"/>
      <c r="M63" s="161"/>
      <c r="N63" s="326"/>
      <c r="P63" s="325"/>
      <c r="Q63" s="326"/>
      <c r="S63" s="325"/>
      <c r="T63" s="326"/>
      <c r="U63" s="160"/>
      <c r="V63" s="160"/>
      <c r="W63" s="160"/>
      <c r="X63" s="741"/>
      <c r="Y63" s="157"/>
      <c r="Z63" s="401"/>
      <c r="AA63" s="401"/>
      <c r="AB63" s="401"/>
      <c r="AC63" s="401"/>
      <c r="AD63" s="157"/>
      <c r="AE63" s="157"/>
      <c r="AF63" s="157"/>
      <c r="AG63" s="157"/>
      <c r="AH63" s="157"/>
      <c r="AI63" s="157"/>
      <c r="AJ63" s="157"/>
      <c r="AK63" s="157"/>
      <c r="AL63" s="157"/>
      <c r="AM63" s="157"/>
      <c r="AN63" s="157"/>
      <c r="AO63" s="157"/>
      <c r="AP63" s="157"/>
      <c r="AQ63" s="157"/>
      <c r="AR63" s="157"/>
      <c r="AS63" s="157"/>
      <c r="AT63" s="157"/>
      <c r="AU63" s="157"/>
      <c r="AV63" s="157"/>
      <c r="AW63" s="157"/>
      <c r="AX63" s="157"/>
      <c r="AY63" s="157"/>
      <c r="AZ63" s="157"/>
      <c r="BA63" s="157"/>
      <c r="BB63" s="157"/>
      <c r="BC63" s="157"/>
      <c r="BD63" s="157"/>
      <c r="BE63" s="157"/>
      <c r="BF63" s="157"/>
      <c r="BG63" s="157"/>
      <c r="BH63" s="157"/>
      <c r="BI63" s="157"/>
    </row>
    <row r="64" spans="2:61" s="257" customFormat="1">
      <c r="E64" s="324"/>
      <c r="F64" s="325"/>
      <c r="G64" s="157"/>
      <c r="H64" s="325"/>
      <c r="I64" s="161"/>
      <c r="J64" s="326"/>
      <c r="L64" s="325"/>
      <c r="M64" s="161"/>
      <c r="N64" s="326"/>
      <c r="P64" s="325"/>
      <c r="Q64" s="326"/>
      <c r="S64" s="325"/>
      <c r="T64" s="326"/>
      <c r="U64" s="160"/>
      <c r="V64" s="160"/>
      <c r="W64" s="160"/>
      <c r="X64" s="741"/>
      <c r="Y64" s="157"/>
      <c r="Z64" s="401"/>
      <c r="AA64" s="401"/>
      <c r="AB64" s="401"/>
      <c r="AC64" s="401"/>
      <c r="AD64" s="157"/>
      <c r="AE64" s="157"/>
      <c r="AF64" s="157"/>
      <c r="AG64" s="157"/>
      <c r="AH64" s="157"/>
      <c r="AI64" s="157"/>
      <c r="AJ64" s="157"/>
      <c r="AK64" s="157"/>
      <c r="AL64" s="157"/>
      <c r="AM64" s="157"/>
      <c r="AN64" s="157"/>
      <c r="AO64" s="157"/>
      <c r="AP64" s="157"/>
      <c r="AQ64" s="157"/>
      <c r="AR64" s="157"/>
      <c r="AS64" s="157"/>
      <c r="AT64" s="157"/>
      <c r="AU64" s="157"/>
      <c r="AV64" s="157"/>
      <c r="AW64" s="157"/>
      <c r="AX64" s="157"/>
      <c r="AY64" s="157"/>
      <c r="AZ64" s="157"/>
      <c r="BA64" s="157"/>
      <c r="BB64" s="157"/>
      <c r="BC64" s="157"/>
      <c r="BD64" s="157"/>
      <c r="BE64" s="157"/>
      <c r="BF64" s="157"/>
      <c r="BG64" s="157"/>
      <c r="BH64" s="157"/>
      <c r="BI64" s="157"/>
    </row>
    <row r="65" spans="5:61" s="257" customFormat="1">
      <c r="E65" s="324"/>
      <c r="F65" s="325"/>
      <c r="G65" s="157"/>
      <c r="H65" s="325"/>
      <c r="I65" s="161"/>
      <c r="J65" s="326"/>
      <c r="L65" s="325"/>
      <c r="M65" s="161"/>
      <c r="N65" s="326"/>
      <c r="P65" s="325"/>
      <c r="Q65" s="326"/>
      <c r="S65" s="325"/>
      <c r="T65" s="326"/>
      <c r="U65" s="160"/>
      <c r="V65" s="160"/>
      <c r="W65" s="160"/>
      <c r="X65" s="741"/>
      <c r="Y65" s="157"/>
      <c r="Z65" s="401"/>
      <c r="AA65" s="401"/>
      <c r="AB65" s="401"/>
      <c r="AC65" s="401"/>
      <c r="AD65" s="157"/>
      <c r="AE65" s="157"/>
      <c r="AF65" s="157"/>
      <c r="AG65" s="157"/>
      <c r="AH65" s="157"/>
      <c r="AI65" s="157"/>
      <c r="AJ65" s="157"/>
      <c r="AK65" s="157"/>
      <c r="AL65" s="157"/>
      <c r="AM65" s="157"/>
      <c r="AN65" s="157"/>
      <c r="AO65" s="157"/>
      <c r="AP65" s="157"/>
      <c r="AQ65" s="157"/>
      <c r="AR65" s="157"/>
      <c r="AS65" s="157"/>
      <c r="AT65" s="157"/>
      <c r="AU65" s="157"/>
      <c r="AV65" s="157"/>
      <c r="AW65" s="157"/>
      <c r="AX65" s="157"/>
      <c r="AY65" s="157"/>
      <c r="AZ65" s="157"/>
      <c r="BA65" s="157"/>
      <c r="BB65" s="157"/>
      <c r="BC65" s="157"/>
      <c r="BD65" s="157"/>
      <c r="BE65" s="157"/>
      <c r="BF65" s="157"/>
      <c r="BG65" s="157"/>
      <c r="BH65" s="157"/>
      <c r="BI65" s="157"/>
    </row>
    <row r="66" spans="5:61" s="257" customFormat="1">
      <c r="E66" s="324"/>
      <c r="F66" s="325"/>
      <c r="G66" s="157"/>
      <c r="H66" s="325"/>
      <c r="I66" s="161"/>
      <c r="J66" s="326"/>
      <c r="L66" s="325"/>
      <c r="M66" s="161"/>
      <c r="N66" s="326"/>
      <c r="P66" s="325"/>
      <c r="Q66" s="326"/>
      <c r="S66" s="325"/>
      <c r="T66" s="326"/>
      <c r="U66" s="160"/>
      <c r="V66" s="160"/>
      <c r="W66" s="160"/>
      <c r="X66" s="741"/>
      <c r="Y66" s="157"/>
      <c r="Z66" s="401"/>
      <c r="AA66" s="401"/>
      <c r="AB66" s="401"/>
      <c r="AC66" s="401"/>
      <c r="AD66" s="157"/>
      <c r="AE66" s="157"/>
      <c r="AF66" s="157"/>
      <c r="AG66" s="157"/>
      <c r="AH66" s="157"/>
      <c r="AI66" s="157"/>
      <c r="AJ66" s="157"/>
      <c r="AK66" s="157"/>
      <c r="AL66" s="157"/>
      <c r="AM66" s="157"/>
      <c r="AN66" s="157"/>
      <c r="AO66" s="157"/>
      <c r="AP66" s="157"/>
      <c r="AQ66" s="157"/>
      <c r="AR66" s="157"/>
      <c r="AS66" s="157"/>
      <c r="AT66" s="157"/>
      <c r="AU66" s="157"/>
      <c r="AV66" s="157"/>
      <c r="AW66" s="157"/>
      <c r="AX66" s="157"/>
      <c r="AY66" s="157"/>
      <c r="AZ66" s="157"/>
      <c r="BA66" s="157"/>
      <c r="BB66" s="157"/>
      <c r="BC66" s="157"/>
      <c r="BD66" s="157"/>
      <c r="BE66" s="157"/>
      <c r="BF66" s="157"/>
      <c r="BG66" s="157"/>
      <c r="BH66" s="157"/>
      <c r="BI66" s="157"/>
    </row>
    <row r="67" spans="5:61" s="257" customFormat="1">
      <c r="E67" s="324"/>
      <c r="F67" s="325"/>
      <c r="G67" s="157"/>
      <c r="H67" s="325"/>
      <c r="I67" s="161"/>
      <c r="J67" s="326"/>
      <c r="L67" s="325"/>
      <c r="M67" s="161"/>
      <c r="N67" s="326"/>
      <c r="P67" s="325"/>
      <c r="Q67" s="326"/>
      <c r="S67" s="325"/>
      <c r="T67" s="326"/>
      <c r="U67" s="160"/>
      <c r="V67" s="160"/>
      <c r="W67" s="160"/>
      <c r="X67" s="741"/>
      <c r="Y67" s="157"/>
      <c r="Z67" s="401"/>
      <c r="AA67" s="401"/>
      <c r="AB67" s="401"/>
      <c r="AC67" s="401"/>
      <c r="AD67" s="157"/>
      <c r="AE67" s="157"/>
      <c r="AF67" s="157"/>
      <c r="AG67" s="157"/>
      <c r="AH67" s="157"/>
      <c r="AI67" s="157"/>
      <c r="AJ67" s="157"/>
      <c r="AK67" s="157"/>
      <c r="AL67" s="157"/>
      <c r="AM67" s="157"/>
      <c r="AN67" s="157"/>
      <c r="AO67" s="157"/>
      <c r="AP67" s="157"/>
      <c r="AQ67" s="157"/>
      <c r="AR67" s="157"/>
      <c r="AS67" s="157"/>
      <c r="AT67" s="157"/>
      <c r="AU67" s="157"/>
      <c r="AV67" s="157"/>
      <c r="AW67" s="157"/>
      <c r="AX67" s="157"/>
      <c r="AY67" s="157"/>
      <c r="AZ67" s="157"/>
      <c r="BA67" s="157"/>
      <c r="BB67" s="157"/>
      <c r="BC67" s="157"/>
      <c r="BD67" s="157"/>
      <c r="BE67" s="157"/>
      <c r="BF67" s="157"/>
      <c r="BG67" s="157"/>
      <c r="BH67" s="157"/>
      <c r="BI67" s="157"/>
    </row>
    <row r="68" spans="5:61" s="257" customFormat="1" ht="14.25" customHeight="1">
      <c r="E68" s="324"/>
      <c r="F68" s="325"/>
      <c r="G68" s="157"/>
      <c r="H68" s="325"/>
      <c r="I68" s="161"/>
      <c r="J68" s="326"/>
      <c r="L68" s="325"/>
      <c r="M68" s="161"/>
      <c r="N68" s="326"/>
      <c r="P68" s="325"/>
      <c r="Q68" s="326"/>
      <c r="S68" s="325"/>
      <c r="T68" s="326"/>
      <c r="U68" s="160"/>
      <c r="V68" s="160"/>
      <c r="W68" s="160"/>
      <c r="X68" s="741"/>
      <c r="Y68" s="157"/>
      <c r="Z68" s="401"/>
      <c r="AA68" s="401"/>
      <c r="AB68" s="401"/>
      <c r="AC68" s="401"/>
      <c r="AD68" s="157"/>
      <c r="AE68" s="157"/>
      <c r="AF68" s="157"/>
      <c r="AG68" s="157"/>
      <c r="AH68" s="157"/>
      <c r="AI68" s="157"/>
      <c r="AJ68" s="157"/>
      <c r="AK68" s="157"/>
      <c r="AL68" s="157"/>
      <c r="AM68" s="157"/>
      <c r="AN68" s="157"/>
      <c r="AO68" s="157"/>
      <c r="AP68" s="157"/>
      <c r="AQ68" s="157"/>
      <c r="AR68" s="157"/>
      <c r="AS68" s="157"/>
      <c r="AT68" s="157"/>
      <c r="AU68" s="157"/>
      <c r="AV68" s="157"/>
      <c r="AW68" s="157"/>
      <c r="AX68" s="157"/>
      <c r="AY68" s="157"/>
      <c r="AZ68" s="157"/>
      <c r="BA68" s="157"/>
      <c r="BB68" s="157"/>
      <c r="BC68" s="157"/>
      <c r="BD68" s="157"/>
      <c r="BE68" s="157"/>
      <c r="BF68" s="157"/>
      <c r="BG68" s="157"/>
      <c r="BH68" s="157"/>
      <c r="BI68" s="157"/>
    </row>
    <row r="69" spans="5:61" s="257" customFormat="1">
      <c r="E69" s="324"/>
      <c r="F69" s="325"/>
      <c r="G69" s="157"/>
      <c r="H69" s="325"/>
      <c r="I69" s="161"/>
      <c r="J69" s="326"/>
      <c r="L69" s="325"/>
      <c r="M69" s="161"/>
      <c r="N69" s="326"/>
      <c r="P69" s="325"/>
      <c r="Q69" s="326"/>
      <c r="S69" s="325"/>
      <c r="T69" s="326"/>
      <c r="U69" s="160"/>
      <c r="V69" s="160"/>
      <c r="W69" s="160"/>
      <c r="X69" s="741"/>
      <c r="Y69" s="157"/>
      <c r="Z69" s="401"/>
      <c r="AA69" s="401"/>
      <c r="AB69" s="401"/>
      <c r="AC69" s="401"/>
      <c r="AD69" s="157"/>
      <c r="AE69" s="157"/>
      <c r="AF69" s="157"/>
      <c r="AG69" s="157"/>
      <c r="AH69" s="157"/>
      <c r="AI69" s="157"/>
      <c r="AJ69" s="157"/>
      <c r="AK69" s="157"/>
      <c r="AL69" s="157"/>
      <c r="AM69" s="157"/>
      <c r="AN69" s="157"/>
      <c r="AO69" s="157"/>
      <c r="AP69" s="157"/>
      <c r="AQ69" s="157"/>
      <c r="AR69" s="157"/>
      <c r="AS69" s="157"/>
      <c r="AT69" s="157"/>
      <c r="AU69" s="157"/>
      <c r="AV69" s="157"/>
      <c r="AW69" s="157"/>
      <c r="AX69" s="157"/>
      <c r="AY69" s="157"/>
      <c r="AZ69" s="157"/>
      <c r="BA69" s="157"/>
      <c r="BB69" s="157"/>
      <c r="BC69" s="157"/>
      <c r="BD69" s="157"/>
      <c r="BE69" s="157"/>
      <c r="BF69" s="157"/>
      <c r="BG69" s="157"/>
      <c r="BH69" s="157"/>
      <c r="BI69" s="157"/>
    </row>
    <row r="70" spans="5:61" s="257" customFormat="1">
      <c r="E70" s="324"/>
      <c r="F70" s="325"/>
      <c r="G70" s="157"/>
      <c r="H70" s="325"/>
      <c r="I70" s="161"/>
      <c r="J70" s="326"/>
      <c r="L70" s="325"/>
      <c r="M70" s="161"/>
      <c r="N70" s="326"/>
      <c r="P70" s="325"/>
      <c r="Q70" s="326"/>
      <c r="S70" s="325"/>
      <c r="T70" s="326"/>
      <c r="U70" s="160"/>
      <c r="V70" s="160"/>
      <c r="W70" s="160"/>
      <c r="X70" s="741"/>
      <c r="Y70" s="157"/>
      <c r="Z70" s="401"/>
      <c r="AA70" s="401"/>
      <c r="AB70" s="401"/>
      <c r="AC70" s="401"/>
      <c r="AD70" s="157"/>
      <c r="AE70" s="157"/>
      <c r="AF70" s="157"/>
      <c r="AG70" s="157"/>
      <c r="AH70" s="157"/>
      <c r="AI70" s="157"/>
      <c r="AJ70" s="157"/>
      <c r="AK70" s="157"/>
      <c r="AL70" s="157"/>
      <c r="AM70" s="157"/>
      <c r="AN70" s="157"/>
      <c r="AO70" s="157"/>
      <c r="AP70" s="157"/>
      <c r="AQ70" s="157"/>
      <c r="AR70" s="157"/>
      <c r="AS70" s="157"/>
      <c r="AT70" s="157"/>
      <c r="AU70" s="157"/>
      <c r="AV70" s="157"/>
      <c r="AW70" s="157"/>
      <c r="AX70" s="157"/>
      <c r="AY70" s="157"/>
      <c r="AZ70" s="157"/>
      <c r="BA70" s="157"/>
      <c r="BB70" s="157"/>
      <c r="BC70" s="157"/>
      <c r="BD70" s="157"/>
      <c r="BE70" s="157"/>
      <c r="BF70" s="157"/>
      <c r="BG70" s="157"/>
      <c r="BH70" s="157"/>
      <c r="BI70" s="157"/>
    </row>
    <row r="71" spans="5:61" s="257" customFormat="1">
      <c r="E71" s="324"/>
      <c r="F71" s="325"/>
      <c r="G71" s="157"/>
      <c r="H71" s="325"/>
      <c r="I71" s="161"/>
      <c r="J71" s="326"/>
      <c r="L71" s="325"/>
      <c r="M71" s="161"/>
      <c r="N71" s="326"/>
      <c r="P71" s="325"/>
      <c r="Q71" s="326"/>
      <c r="S71" s="325"/>
      <c r="T71" s="326"/>
      <c r="U71" s="160"/>
      <c r="V71" s="160"/>
      <c r="W71" s="160"/>
      <c r="X71" s="741"/>
      <c r="Y71" s="157"/>
      <c r="Z71" s="401"/>
      <c r="AA71" s="401"/>
      <c r="AB71" s="401"/>
      <c r="AC71" s="401"/>
      <c r="AD71" s="157"/>
      <c r="AE71" s="157"/>
      <c r="AF71" s="157"/>
      <c r="AG71" s="157"/>
      <c r="AH71" s="157"/>
      <c r="AI71" s="157"/>
      <c r="AJ71" s="157"/>
      <c r="AK71" s="157"/>
      <c r="AL71" s="157"/>
      <c r="AM71" s="157"/>
      <c r="AN71" s="157"/>
      <c r="AO71" s="157"/>
      <c r="AP71" s="157"/>
      <c r="AQ71" s="157"/>
      <c r="AR71" s="157"/>
      <c r="AS71" s="157"/>
      <c r="AT71" s="157"/>
      <c r="AU71" s="157"/>
      <c r="AV71" s="157"/>
      <c r="AW71" s="157"/>
      <c r="AX71" s="157"/>
      <c r="AY71" s="157"/>
      <c r="AZ71" s="157"/>
      <c r="BA71" s="157"/>
      <c r="BB71" s="157"/>
      <c r="BC71" s="157"/>
      <c r="BD71" s="157"/>
      <c r="BE71" s="157"/>
      <c r="BF71" s="157"/>
      <c r="BG71" s="157"/>
      <c r="BH71" s="157"/>
      <c r="BI71" s="157"/>
    </row>
    <row r="72" spans="5:61" s="257" customFormat="1">
      <c r="E72" s="324"/>
      <c r="F72" s="325"/>
      <c r="G72" s="157"/>
      <c r="H72" s="325"/>
      <c r="I72" s="161"/>
      <c r="J72" s="326"/>
      <c r="L72" s="325"/>
      <c r="M72" s="161"/>
      <c r="N72" s="326"/>
      <c r="P72" s="325"/>
      <c r="Q72" s="326"/>
      <c r="S72" s="325"/>
      <c r="T72" s="326"/>
      <c r="U72" s="160"/>
      <c r="V72" s="160"/>
      <c r="W72" s="160"/>
      <c r="X72" s="741"/>
      <c r="Y72" s="157"/>
      <c r="Z72" s="401"/>
      <c r="AA72" s="401"/>
      <c r="AB72" s="401"/>
      <c r="AC72" s="401"/>
      <c r="AD72" s="157"/>
      <c r="AE72" s="157"/>
      <c r="AF72" s="157"/>
      <c r="AG72" s="157"/>
      <c r="AH72" s="157"/>
      <c r="AI72" s="157"/>
      <c r="AJ72" s="157"/>
      <c r="AK72" s="157"/>
      <c r="AL72" s="157"/>
      <c r="AM72" s="157"/>
      <c r="AN72" s="157"/>
      <c r="AO72" s="157"/>
      <c r="AP72" s="157"/>
      <c r="AQ72" s="157"/>
      <c r="AR72" s="157"/>
      <c r="AS72" s="157"/>
      <c r="AT72" s="157"/>
      <c r="AU72" s="157"/>
      <c r="AV72" s="157"/>
      <c r="AW72" s="157"/>
      <c r="AX72" s="157"/>
      <c r="AY72" s="157"/>
      <c r="AZ72" s="157"/>
      <c r="BA72" s="157"/>
      <c r="BB72" s="157"/>
      <c r="BC72" s="157"/>
      <c r="BD72" s="157"/>
      <c r="BE72" s="157"/>
      <c r="BF72" s="157"/>
      <c r="BG72" s="157"/>
      <c r="BH72" s="157"/>
      <c r="BI72" s="157"/>
    </row>
    <row r="73" spans="5:61" s="257" customFormat="1">
      <c r="E73" s="324"/>
      <c r="F73" s="325"/>
      <c r="G73" s="157"/>
      <c r="H73" s="325"/>
      <c r="I73" s="161"/>
      <c r="J73" s="326"/>
      <c r="L73" s="325"/>
      <c r="M73" s="161"/>
      <c r="N73" s="326"/>
      <c r="P73" s="325"/>
      <c r="Q73" s="326"/>
      <c r="S73" s="325"/>
      <c r="T73" s="326"/>
      <c r="U73" s="160"/>
      <c r="V73" s="160"/>
      <c r="W73" s="160"/>
      <c r="X73" s="741"/>
      <c r="Y73" s="157"/>
      <c r="Z73" s="401"/>
      <c r="AA73" s="401"/>
      <c r="AB73" s="401"/>
      <c r="AC73" s="401"/>
      <c r="AD73" s="157"/>
      <c r="AE73" s="157"/>
      <c r="AF73" s="157"/>
      <c r="AG73" s="157"/>
      <c r="AH73" s="157"/>
      <c r="AI73" s="157"/>
      <c r="AJ73" s="157"/>
      <c r="AK73" s="157"/>
      <c r="AL73" s="157"/>
      <c r="AM73" s="157"/>
      <c r="AN73" s="157"/>
      <c r="AO73" s="157"/>
      <c r="AP73" s="157"/>
      <c r="AQ73" s="157"/>
      <c r="AR73" s="157"/>
      <c r="AS73" s="157"/>
      <c r="AT73" s="157"/>
      <c r="AU73" s="157"/>
      <c r="AV73" s="157"/>
      <c r="AW73" s="157"/>
      <c r="AX73" s="157"/>
      <c r="AY73" s="157"/>
      <c r="AZ73" s="157"/>
      <c r="BA73" s="157"/>
      <c r="BB73" s="157"/>
      <c r="BC73" s="157"/>
      <c r="BD73" s="157"/>
      <c r="BE73" s="157"/>
      <c r="BF73" s="157"/>
      <c r="BG73" s="157"/>
      <c r="BH73" s="157"/>
      <c r="BI73" s="157"/>
    </row>
    <row r="74" spans="5:61" s="257" customFormat="1">
      <c r="E74" s="324"/>
      <c r="F74" s="325"/>
      <c r="G74" s="157"/>
      <c r="H74" s="325"/>
      <c r="I74" s="161"/>
      <c r="J74" s="326"/>
      <c r="L74" s="325"/>
      <c r="M74" s="161"/>
      <c r="N74" s="326"/>
      <c r="P74" s="325"/>
      <c r="Q74" s="326"/>
      <c r="S74" s="325"/>
      <c r="T74" s="326"/>
      <c r="U74" s="160"/>
      <c r="V74" s="160"/>
      <c r="W74" s="160"/>
      <c r="X74" s="741"/>
      <c r="Y74" s="157"/>
      <c r="Z74" s="401"/>
      <c r="AA74" s="401"/>
      <c r="AB74" s="401"/>
      <c r="AC74" s="401"/>
      <c r="AD74" s="157"/>
      <c r="AE74" s="157"/>
      <c r="AF74" s="157"/>
      <c r="AG74" s="157"/>
      <c r="AH74" s="157"/>
      <c r="AI74" s="157"/>
      <c r="AJ74" s="157"/>
      <c r="AK74" s="157"/>
      <c r="AL74" s="157"/>
      <c r="AM74" s="157"/>
      <c r="AN74" s="157"/>
      <c r="AO74" s="157"/>
      <c r="AP74" s="157"/>
      <c r="AQ74" s="157"/>
      <c r="AR74" s="157"/>
      <c r="AS74" s="157"/>
      <c r="AT74" s="157"/>
      <c r="AU74" s="157"/>
      <c r="AV74" s="157"/>
      <c r="AW74" s="157"/>
      <c r="AX74" s="157"/>
      <c r="AY74" s="157"/>
      <c r="AZ74" s="157"/>
      <c r="BA74" s="157"/>
      <c r="BB74" s="157"/>
      <c r="BC74" s="157"/>
      <c r="BD74" s="157"/>
      <c r="BE74" s="157"/>
      <c r="BF74" s="157"/>
      <c r="BG74" s="157"/>
      <c r="BH74" s="157"/>
      <c r="BI74" s="157"/>
    </row>
    <row r="75" spans="5:61" s="257" customFormat="1">
      <c r="E75" s="324"/>
      <c r="F75" s="325"/>
      <c r="G75" s="157"/>
      <c r="H75" s="325"/>
      <c r="I75" s="161"/>
      <c r="J75" s="326"/>
      <c r="L75" s="325"/>
      <c r="M75" s="161"/>
      <c r="N75" s="326"/>
      <c r="P75" s="325"/>
      <c r="Q75" s="326"/>
      <c r="S75" s="325"/>
      <c r="T75" s="326"/>
      <c r="U75" s="160"/>
      <c r="V75" s="160"/>
      <c r="W75" s="160"/>
      <c r="X75" s="741"/>
      <c r="Y75" s="157"/>
      <c r="Z75" s="401"/>
      <c r="AA75" s="401"/>
      <c r="AB75" s="401"/>
      <c r="AC75" s="401"/>
      <c r="AD75" s="157"/>
      <c r="AE75" s="157"/>
      <c r="AF75" s="157"/>
      <c r="AG75" s="157"/>
      <c r="AH75" s="157"/>
      <c r="AI75" s="157"/>
      <c r="AJ75" s="157"/>
      <c r="AK75" s="157"/>
      <c r="AL75" s="157"/>
      <c r="AM75" s="157"/>
      <c r="AN75" s="157"/>
      <c r="AO75" s="157"/>
      <c r="AP75" s="157"/>
      <c r="AQ75" s="157"/>
      <c r="AR75" s="157"/>
      <c r="AS75" s="157"/>
      <c r="AT75" s="157"/>
      <c r="AU75" s="157"/>
      <c r="AV75" s="157"/>
      <c r="AW75" s="157"/>
      <c r="AX75" s="157"/>
      <c r="AY75" s="157"/>
      <c r="AZ75" s="157"/>
      <c r="BA75" s="157"/>
      <c r="BB75" s="157"/>
      <c r="BC75" s="157"/>
      <c r="BD75" s="157"/>
      <c r="BE75" s="157"/>
      <c r="BF75" s="157"/>
      <c r="BG75" s="157"/>
      <c r="BH75" s="157"/>
      <c r="BI75" s="157"/>
    </row>
    <row r="76" spans="5:61" s="257" customFormat="1">
      <c r="E76" s="324"/>
      <c r="F76" s="325"/>
      <c r="G76" s="157"/>
      <c r="H76" s="325"/>
      <c r="I76" s="161"/>
      <c r="J76" s="326"/>
      <c r="L76" s="325"/>
      <c r="M76" s="161"/>
      <c r="N76" s="326"/>
      <c r="P76" s="325"/>
      <c r="Q76" s="326"/>
      <c r="S76" s="325"/>
      <c r="T76" s="326"/>
      <c r="U76" s="160"/>
      <c r="V76" s="160"/>
      <c r="W76" s="160"/>
      <c r="X76" s="741"/>
      <c r="Y76" s="157"/>
      <c r="Z76" s="401"/>
      <c r="AA76" s="401"/>
      <c r="AB76" s="401"/>
      <c r="AC76" s="401"/>
      <c r="AD76" s="157"/>
      <c r="AE76" s="157"/>
      <c r="AF76" s="157"/>
      <c r="AG76" s="157"/>
      <c r="AH76" s="157"/>
      <c r="AI76" s="157"/>
      <c r="AJ76" s="157"/>
      <c r="AK76" s="157"/>
      <c r="AL76" s="157"/>
      <c r="AM76" s="157"/>
      <c r="AN76" s="157"/>
      <c r="AO76" s="157"/>
      <c r="AP76" s="157"/>
      <c r="AQ76" s="157"/>
      <c r="AR76" s="157"/>
      <c r="AS76" s="157"/>
      <c r="AT76" s="157"/>
      <c r="AU76" s="157"/>
      <c r="AV76" s="157"/>
      <c r="AW76" s="157"/>
      <c r="AX76" s="157"/>
      <c r="AY76" s="157"/>
      <c r="AZ76" s="157"/>
      <c r="BA76" s="157"/>
      <c r="BB76" s="157"/>
      <c r="BC76" s="157"/>
      <c r="BD76" s="157"/>
      <c r="BE76" s="157"/>
      <c r="BF76" s="157"/>
      <c r="BG76" s="157"/>
      <c r="BH76" s="157"/>
      <c r="BI76" s="157"/>
    </row>
    <row r="77" spans="5:61" s="257" customFormat="1">
      <c r="E77" s="324"/>
      <c r="F77" s="325"/>
      <c r="G77" s="157"/>
      <c r="H77" s="325"/>
      <c r="I77" s="161"/>
      <c r="J77" s="326"/>
      <c r="L77" s="325"/>
      <c r="M77" s="161"/>
      <c r="N77" s="326"/>
      <c r="P77" s="325"/>
      <c r="Q77" s="326"/>
      <c r="S77" s="325"/>
      <c r="T77" s="326"/>
      <c r="U77" s="160"/>
      <c r="V77" s="160"/>
      <c r="W77" s="160"/>
      <c r="X77" s="741"/>
      <c r="Y77" s="157"/>
      <c r="Z77" s="401"/>
      <c r="AA77" s="401"/>
      <c r="AB77" s="401"/>
      <c r="AC77" s="401"/>
      <c r="AD77" s="157"/>
      <c r="AE77" s="157"/>
      <c r="AF77" s="157"/>
      <c r="AG77" s="157"/>
      <c r="AH77" s="157"/>
      <c r="AI77" s="157"/>
      <c r="AJ77" s="157"/>
      <c r="AK77" s="157"/>
      <c r="AL77" s="157"/>
      <c r="AM77" s="157"/>
      <c r="AN77" s="157"/>
      <c r="AO77" s="157"/>
      <c r="AP77" s="157"/>
      <c r="AQ77" s="157"/>
      <c r="AR77" s="157"/>
      <c r="AS77" s="157"/>
      <c r="AT77" s="157"/>
      <c r="AU77" s="157"/>
      <c r="AV77" s="157"/>
      <c r="AW77" s="157"/>
      <c r="AX77" s="157"/>
      <c r="AY77" s="157"/>
      <c r="AZ77" s="157"/>
      <c r="BA77" s="157"/>
      <c r="BB77" s="157"/>
      <c r="BC77" s="157"/>
      <c r="BD77" s="157"/>
      <c r="BE77" s="157"/>
      <c r="BF77" s="157"/>
      <c r="BG77" s="157"/>
      <c r="BH77" s="157"/>
      <c r="BI77" s="157"/>
    </row>
    <row r="78" spans="5:61" s="257" customFormat="1">
      <c r="E78" s="324"/>
      <c r="F78" s="325"/>
      <c r="G78" s="157"/>
      <c r="H78" s="325"/>
      <c r="I78" s="161"/>
      <c r="J78" s="326"/>
      <c r="L78" s="325"/>
      <c r="M78" s="161"/>
      <c r="N78" s="326"/>
      <c r="P78" s="325"/>
      <c r="Q78" s="326"/>
      <c r="S78" s="325"/>
      <c r="T78" s="326"/>
      <c r="U78" s="160"/>
      <c r="V78" s="160"/>
      <c r="W78" s="160"/>
      <c r="X78" s="741"/>
      <c r="Y78" s="157"/>
      <c r="Z78" s="401"/>
      <c r="AA78" s="401"/>
      <c r="AB78" s="401"/>
      <c r="AC78" s="401"/>
      <c r="AD78" s="157"/>
      <c r="AE78" s="157"/>
      <c r="AF78" s="157"/>
      <c r="AG78" s="157"/>
      <c r="AH78" s="157"/>
      <c r="AI78" s="157"/>
      <c r="AJ78" s="157"/>
      <c r="AK78" s="157"/>
      <c r="AL78" s="157"/>
      <c r="AM78" s="157"/>
      <c r="AN78" s="157"/>
      <c r="AO78" s="157"/>
      <c r="AP78" s="157"/>
      <c r="AQ78" s="157"/>
      <c r="AR78" s="157"/>
      <c r="AS78" s="157"/>
      <c r="AT78" s="157"/>
      <c r="AU78" s="157"/>
      <c r="AV78" s="157"/>
      <c r="AW78" s="157"/>
      <c r="AX78" s="157"/>
      <c r="AY78" s="157"/>
      <c r="AZ78" s="157"/>
      <c r="BA78" s="157"/>
      <c r="BB78" s="157"/>
      <c r="BC78" s="157"/>
      <c r="BD78" s="157"/>
      <c r="BE78" s="157"/>
      <c r="BF78" s="157"/>
      <c r="BG78" s="157"/>
      <c r="BH78" s="157"/>
      <c r="BI78" s="157"/>
    </row>
    <row r="79" spans="5:61" s="257" customFormat="1">
      <c r="E79" s="324"/>
      <c r="F79" s="325"/>
      <c r="G79" s="157"/>
      <c r="H79" s="325"/>
      <c r="I79" s="161"/>
      <c r="J79" s="326"/>
      <c r="L79" s="325"/>
      <c r="M79" s="161"/>
      <c r="N79" s="326"/>
      <c r="P79" s="325"/>
      <c r="Q79" s="326"/>
      <c r="S79" s="325"/>
      <c r="T79" s="326"/>
      <c r="U79" s="160"/>
      <c r="V79" s="160"/>
      <c r="W79" s="160"/>
      <c r="X79" s="741"/>
      <c r="Y79" s="157"/>
      <c r="Z79" s="401"/>
      <c r="AA79" s="401"/>
      <c r="AB79" s="401"/>
      <c r="AC79" s="401"/>
      <c r="AD79" s="157"/>
      <c r="AE79" s="157"/>
      <c r="AF79" s="157"/>
      <c r="AG79" s="157"/>
      <c r="AH79" s="157"/>
      <c r="AI79" s="157"/>
      <c r="AJ79" s="157"/>
      <c r="AK79" s="157"/>
      <c r="AL79" s="157"/>
      <c r="AM79" s="157"/>
      <c r="AN79" s="157"/>
      <c r="AO79" s="157"/>
      <c r="AP79" s="157"/>
      <c r="AQ79" s="157"/>
      <c r="AR79" s="157"/>
      <c r="AS79" s="157"/>
      <c r="AT79" s="157"/>
      <c r="AU79" s="157"/>
      <c r="AV79" s="157"/>
      <c r="AW79" s="157"/>
      <c r="AX79" s="157"/>
      <c r="AY79" s="157"/>
      <c r="AZ79" s="157"/>
      <c r="BA79" s="157"/>
      <c r="BB79" s="157"/>
      <c r="BC79" s="157"/>
      <c r="BD79" s="157"/>
      <c r="BE79" s="157"/>
      <c r="BF79" s="157"/>
      <c r="BG79" s="157"/>
      <c r="BH79" s="157"/>
      <c r="BI79" s="157"/>
    </row>
    <row r="80" spans="5:61" s="257" customFormat="1">
      <c r="E80" s="324"/>
      <c r="F80" s="325"/>
      <c r="G80" s="157"/>
      <c r="H80" s="325"/>
      <c r="I80" s="161"/>
      <c r="J80" s="326"/>
      <c r="L80" s="325"/>
      <c r="M80" s="161"/>
      <c r="N80" s="326"/>
      <c r="P80" s="325"/>
      <c r="Q80" s="326"/>
      <c r="S80" s="325"/>
      <c r="T80" s="326"/>
      <c r="U80" s="160"/>
      <c r="V80" s="160"/>
      <c r="W80" s="160"/>
      <c r="X80" s="741"/>
      <c r="Y80" s="157"/>
      <c r="Z80" s="401"/>
      <c r="AA80" s="401"/>
      <c r="AB80" s="401"/>
      <c r="AC80" s="401"/>
      <c r="AD80" s="157"/>
      <c r="AE80" s="157"/>
      <c r="AF80" s="157"/>
      <c r="AG80" s="157"/>
      <c r="AH80" s="157"/>
      <c r="AI80" s="157"/>
      <c r="AJ80" s="157"/>
      <c r="AK80" s="157"/>
      <c r="AL80" s="157"/>
      <c r="AM80" s="157"/>
      <c r="AN80" s="157"/>
      <c r="AO80" s="157"/>
      <c r="AP80" s="157"/>
      <c r="AQ80" s="157"/>
      <c r="AR80" s="157"/>
      <c r="AS80" s="157"/>
      <c r="AT80" s="157"/>
      <c r="AU80" s="157"/>
      <c r="AV80" s="157"/>
      <c r="AW80" s="157"/>
      <c r="AX80" s="157"/>
      <c r="AY80" s="157"/>
      <c r="AZ80" s="157"/>
      <c r="BA80" s="157"/>
      <c r="BB80" s="157"/>
      <c r="BC80" s="157"/>
      <c r="BD80" s="157"/>
      <c r="BE80" s="157"/>
      <c r="BF80" s="157"/>
      <c r="BG80" s="157"/>
      <c r="BH80" s="157"/>
      <c r="BI80" s="157"/>
    </row>
    <row r="81" spans="5:61" s="257" customFormat="1">
      <c r="E81" s="324"/>
      <c r="F81" s="325"/>
      <c r="G81" s="157"/>
      <c r="H81" s="325"/>
      <c r="I81" s="161"/>
      <c r="J81" s="326"/>
      <c r="L81" s="325"/>
      <c r="M81" s="161"/>
      <c r="N81" s="326"/>
      <c r="P81" s="325"/>
      <c r="Q81" s="326"/>
      <c r="S81" s="325"/>
      <c r="T81" s="326"/>
      <c r="U81" s="160"/>
      <c r="V81" s="160"/>
      <c r="W81" s="160"/>
      <c r="X81" s="741"/>
      <c r="Y81" s="157"/>
      <c r="Z81" s="401"/>
      <c r="AA81" s="401"/>
      <c r="AB81" s="401"/>
      <c r="AC81" s="401"/>
      <c r="AD81" s="157"/>
      <c r="AE81" s="157"/>
      <c r="AF81" s="157"/>
      <c r="AG81" s="157"/>
      <c r="AH81" s="157"/>
      <c r="AI81" s="157"/>
      <c r="AJ81" s="157"/>
      <c r="AK81" s="157"/>
      <c r="AL81" s="157"/>
      <c r="AM81" s="157"/>
      <c r="AN81" s="157"/>
      <c r="AO81" s="157"/>
      <c r="AP81" s="157"/>
      <c r="AQ81" s="157"/>
      <c r="AR81" s="157"/>
      <c r="AS81" s="157"/>
      <c r="AT81" s="157"/>
      <c r="AU81" s="157"/>
      <c r="AV81" s="157"/>
      <c r="AW81" s="157"/>
      <c r="AX81" s="157"/>
      <c r="AY81" s="157"/>
      <c r="AZ81" s="157"/>
      <c r="BA81" s="157"/>
      <c r="BB81" s="157"/>
      <c r="BC81" s="157"/>
      <c r="BD81" s="157"/>
      <c r="BE81" s="157"/>
      <c r="BF81" s="157"/>
      <c r="BG81" s="157"/>
      <c r="BH81" s="157"/>
      <c r="BI81" s="157"/>
    </row>
    <row r="82" spans="5:61" s="257" customFormat="1">
      <c r="E82" s="324"/>
      <c r="F82" s="325"/>
      <c r="G82" s="157"/>
      <c r="H82" s="325"/>
      <c r="I82" s="161"/>
      <c r="J82" s="326"/>
      <c r="L82" s="325"/>
      <c r="M82" s="161"/>
      <c r="N82" s="326"/>
      <c r="P82" s="325"/>
      <c r="Q82" s="326"/>
      <c r="S82" s="325"/>
      <c r="T82" s="326"/>
      <c r="U82" s="160"/>
      <c r="V82" s="160"/>
      <c r="W82" s="160"/>
      <c r="X82" s="741"/>
      <c r="Y82" s="157"/>
      <c r="Z82" s="401"/>
      <c r="AA82" s="401"/>
      <c r="AB82" s="401"/>
      <c r="AC82" s="401"/>
      <c r="AD82" s="157"/>
      <c r="AE82" s="157"/>
      <c r="AF82" s="157"/>
      <c r="AG82" s="157"/>
      <c r="AH82" s="157"/>
      <c r="AI82" s="157"/>
      <c r="AJ82" s="157"/>
      <c r="AK82" s="157"/>
      <c r="AL82" s="157"/>
      <c r="AM82" s="157"/>
      <c r="AN82" s="157"/>
      <c r="AO82" s="157"/>
      <c r="AP82" s="157"/>
      <c r="AQ82" s="157"/>
      <c r="AR82" s="157"/>
      <c r="AS82" s="157"/>
      <c r="AT82" s="157"/>
      <c r="AU82" s="157"/>
      <c r="AV82" s="157"/>
      <c r="AW82" s="157"/>
      <c r="AX82" s="157"/>
      <c r="AY82" s="157"/>
      <c r="AZ82" s="157"/>
      <c r="BA82" s="157"/>
      <c r="BB82" s="157"/>
      <c r="BC82" s="157"/>
      <c r="BD82" s="157"/>
      <c r="BE82" s="157"/>
      <c r="BF82" s="157"/>
      <c r="BG82" s="157"/>
      <c r="BH82" s="157"/>
      <c r="BI82" s="157"/>
    </row>
    <row r="83" spans="5:61" s="257" customFormat="1">
      <c r="E83" s="324"/>
      <c r="F83" s="325"/>
      <c r="G83" s="157"/>
      <c r="H83" s="325"/>
      <c r="I83" s="161"/>
      <c r="J83" s="326"/>
      <c r="L83" s="325"/>
      <c r="M83" s="161"/>
      <c r="N83" s="326"/>
      <c r="P83" s="325"/>
      <c r="Q83" s="326"/>
      <c r="S83" s="325"/>
      <c r="T83" s="326"/>
      <c r="U83" s="160"/>
      <c r="V83" s="160"/>
      <c r="W83" s="160"/>
      <c r="X83" s="741"/>
      <c r="Y83" s="157"/>
      <c r="Z83" s="401"/>
      <c r="AA83" s="401"/>
      <c r="AB83" s="401"/>
      <c r="AC83" s="401"/>
      <c r="AD83" s="157"/>
      <c r="AE83" s="157"/>
      <c r="AF83" s="157"/>
      <c r="AG83" s="157"/>
      <c r="AH83" s="157"/>
      <c r="AI83" s="157"/>
      <c r="AJ83" s="157"/>
      <c r="AK83" s="157"/>
      <c r="AL83" s="157"/>
      <c r="AM83" s="157"/>
      <c r="AN83" s="157"/>
      <c r="AO83" s="157"/>
      <c r="AP83" s="157"/>
      <c r="AQ83" s="157"/>
      <c r="AR83" s="157"/>
      <c r="AS83" s="157"/>
      <c r="AT83" s="157"/>
      <c r="AU83" s="157"/>
      <c r="AV83" s="157"/>
      <c r="AW83" s="157"/>
      <c r="AX83" s="157"/>
      <c r="AY83" s="157"/>
      <c r="AZ83" s="157"/>
      <c r="BA83" s="157"/>
      <c r="BB83" s="157"/>
      <c r="BC83" s="157"/>
      <c r="BD83" s="157"/>
      <c r="BE83" s="157"/>
      <c r="BF83" s="157"/>
      <c r="BG83" s="157"/>
      <c r="BH83" s="157"/>
      <c r="BI83" s="157"/>
    </row>
    <row r="84" spans="5:61" s="257" customFormat="1">
      <c r="E84" s="324"/>
      <c r="F84" s="325"/>
      <c r="G84" s="157"/>
      <c r="H84" s="325"/>
      <c r="I84" s="161"/>
      <c r="J84" s="326"/>
      <c r="L84" s="325"/>
      <c r="M84" s="161"/>
      <c r="N84" s="326"/>
      <c r="P84" s="325"/>
      <c r="Q84" s="326"/>
      <c r="S84" s="325"/>
      <c r="T84" s="326"/>
      <c r="U84" s="160"/>
      <c r="V84" s="160"/>
      <c r="W84" s="160"/>
      <c r="X84" s="741"/>
      <c r="Y84" s="157"/>
      <c r="Z84" s="401"/>
      <c r="AA84" s="401"/>
      <c r="AB84" s="401"/>
      <c r="AC84" s="401"/>
      <c r="AD84" s="157"/>
      <c r="AE84" s="157"/>
      <c r="AF84" s="157"/>
      <c r="AG84" s="157"/>
      <c r="AH84" s="157"/>
      <c r="AI84" s="157"/>
      <c r="AJ84" s="157"/>
      <c r="AK84" s="157"/>
      <c r="AL84" s="157"/>
      <c r="AM84" s="157"/>
      <c r="AN84" s="157"/>
      <c r="AO84" s="157"/>
      <c r="AP84" s="157"/>
      <c r="AQ84" s="157"/>
      <c r="AR84" s="157"/>
      <c r="AS84" s="157"/>
      <c r="AT84" s="157"/>
      <c r="AU84" s="157"/>
      <c r="AV84" s="157"/>
      <c r="AW84" s="157"/>
      <c r="AX84" s="157"/>
      <c r="AY84" s="157"/>
      <c r="AZ84" s="157"/>
      <c r="BA84" s="157"/>
      <c r="BB84" s="157"/>
      <c r="BC84" s="157"/>
      <c r="BD84" s="157"/>
      <c r="BE84" s="157"/>
      <c r="BF84" s="157"/>
      <c r="BG84" s="157"/>
      <c r="BH84" s="157"/>
      <c r="BI84" s="157"/>
    </row>
    <row r="85" spans="5:61" s="257" customFormat="1" hidden="1">
      <c r="E85" s="324"/>
      <c r="F85" s="325"/>
      <c r="G85" s="157"/>
      <c r="H85" s="325"/>
      <c r="I85" s="161"/>
      <c r="J85" s="326"/>
      <c r="L85" s="325"/>
      <c r="M85" s="161"/>
      <c r="N85" s="326"/>
      <c r="P85" s="325"/>
      <c r="Q85" s="326"/>
      <c r="S85" s="325"/>
      <c r="T85" s="326"/>
      <c r="U85" s="160"/>
      <c r="V85" s="160"/>
      <c r="W85" s="160"/>
      <c r="X85" s="741"/>
      <c r="Y85" s="157"/>
      <c r="Z85" s="401"/>
      <c r="AA85" s="401"/>
      <c r="AB85" s="401"/>
      <c r="AC85" s="401"/>
      <c r="AD85" s="157"/>
      <c r="AE85" s="157"/>
      <c r="AF85" s="157"/>
      <c r="AG85" s="157"/>
      <c r="AH85" s="157"/>
      <c r="AI85" s="157"/>
      <c r="AJ85" s="157"/>
      <c r="AK85" s="157"/>
      <c r="AL85" s="157"/>
      <c r="AM85" s="157"/>
      <c r="AN85" s="157"/>
      <c r="AO85" s="157"/>
      <c r="AP85" s="157"/>
      <c r="AQ85" s="157"/>
      <c r="AR85" s="157"/>
      <c r="AS85" s="157"/>
      <c r="AT85" s="157"/>
      <c r="AU85" s="157"/>
      <c r="AV85" s="157"/>
      <c r="AW85" s="157"/>
      <c r="AX85" s="157"/>
      <c r="AY85" s="157"/>
      <c r="AZ85" s="157"/>
      <c r="BA85" s="157"/>
      <c r="BB85" s="157"/>
      <c r="BC85" s="157"/>
      <c r="BD85" s="157"/>
      <c r="BE85" s="157"/>
      <c r="BF85" s="157"/>
      <c r="BG85" s="157"/>
      <c r="BH85" s="157"/>
      <c r="BI85" s="157"/>
    </row>
    <row r="86" spans="5:61" s="257" customFormat="1" hidden="1">
      <c r="E86" s="324"/>
      <c r="F86" s="325"/>
      <c r="G86" s="157"/>
      <c r="H86" s="325"/>
      <c r="I86" s="161"/>
      <c r="J86" s="326"/>
      <c r="L86" s="325"/>
      <c r="M86" s="161"/>
      <c r="N86" s="326"/>
      <c r="P86" s="325"/>
      <c r="Q86" s="326"/>
      <c r="S86" s="325"/>
      <c r="T86" s="326"/>
      <c r="U86" s="160"/>
      <c r="V86" s="160"/>
      <c r="W86" s="160"/>
      <c r="X86" s="741"/>
      <c r="Y86" s="157"/>
      <c r="Z86" s="401"/>
      <c r="AA86" s="401"/>
      <c r="AB86" s="401"/>
      <c r="AC86" s="401"/>
      <c r="AD86" s="157"/>
      <c r="AE86" s="157"/>
      <c r="AF86" s="157"/>
      <c r="AG86" s="157"/>
      <c r="AH86" s="157"/>
      <c r="AI86" s="157"/>
      <c r="AJ86" s="157"/>
      <c r="AK86" s="157"/>
      <c r="AL86" s="157"/>
      <c r="AM86" s="157"/>
      <c r="AN86" s="157"/>
      <c r="AO86" s="157"/>
      <c r="AP86" s="157"/>
      <c r="AQ86" s="157"/>
      <c r="AR86" s="157"/>
      <c r="AS86" s="157"/>
      <c r="AT86" s="157"/>
      <c r="AU86" s="157"/>
      <c r="AV86" s="157"/>
      <c r="AW86" s="157"/>
      <c r="AX86" s="157"/>
      <c r="AY86" s="157"/>
      <c r="AZ86" s="157"/>
      <c r="BA86" s="157"/>
      <c r="BB86" s="157"/>
      <c r="BC86" s="157"/>
      <c r="BD86" s="157"/>
      <c r="BE86" s="157"/>
      <c r="BF86" s="157"/>
      <c r="BG86" s="157"/>
      <c r="BH86" s="157"/>
      <c r="BI86" s="157"/>
    </row>
    <row r="87" spans="5:61" s="257" customFormat="1" hidden="1">
      <c r="E87" s="324"/>
      <c r="F87" s="325"/>
      <c r="G87" s="157"/>
      <c r="H87" s="325"/>
      <c r="I87" s="161"/>
      <c r="J87" s="326"/>
      <c r="L87" s="325"/>
      <c r="M87" s="161"/>
      <c r="N87" s="326"/>
      <c r="P87" s="325"/>
      <c r="Q87" s="326"/>
      <c r="S87" s="325"/>
      <c r="T87" s="326"/>
      <c r="U87" s="160"/>
      <c r="V87" s="160"/>
      <c r="W87" s="160"/>
      <c r="X87" s="741"/>
      <c r="Y87" s="157"/>
      <c r="Z87" s="401"/>
      <c r="AA87" s="401"/>
      <c r="AB87" s="401"/>
      <c r="AC87" s="401"/>
      <c r="AD87" s="157"/>
      <c r="AE87" s="157"/>
      <c r="AF87" s="157"/>
      <c r="AG87" s="157"/>
      <c r="AH87" s="157"/>
      <c r="AI87" s="157"/>
      <c r="AJ87" s="157"/>
      <c r="AK87" s="157"/>
      <c r="AL87" s="157"/>
      <c r="AM87" s="157"/>
      <c r="AN87" s="157"/>
      <c r="AO87" s="157"/>
      <c r="AP87" s="157"/>
      <c r="AQ87" s="157"/>
      <c r="AR87" s="157"/>
      <c r="AS87" s="157"/>
      <c r="AT87" s="157"/>
      <c r="AU87" s="157"/>
      <c r="AV87" s="157"/>
      <c r="AW87" s="157"/>
      <c r="AX87" s="157"/>
      <c r="AY87" s="157"/>
      <c r="AZ87" s="157"/>
      <c r="BA87" s="157"/>
      <c r="BB87" s="157"/>
      <c r="BC87" s="157"/>
      <c r="BD87" s="157"/>
      <c r="BE87" s="157"/>
      <c r="BF87" s="157"/>
      <c r="BG87" s="157"/>
      <c r="BH87" s="157"/>
      <c r="BI87" s="157"/>
    </row>
    <row r="88" spans="5:61" s="257" customFormat="1" hidden="1">
      <c r="E88" s="324"/>
      <c r="F88" s="325"/>
      <c r="G88" s="157"/>
      <c r="H88" s="325"/>
      <c r="I88" s="161"/>
      <c r="J88" s="326"/>
      <c r="L88" s="325"/>
      <c r="M88" s="161"/>
      <c r="N88" s="326"/>
      <c r="P88" s="325"/>
      <c r="Q88" s="326"/>
      <c r="S88" s="325"/>
      <c r="T88" s="326"/>
      <c r="U88" s="160"/>
      <c r="V88" s="160"/>
      <c r="W88" s="160"/>
      <c r="X88" s="741"/>
      <c r="Y88" s="157"/>
      <c r="Z88" s="401"/>
      <c r="AA88" s="401"/>
      <c r="AB88" s="401"/>
      <c r="AC88" s="401"/>
      <c r="AD88" s="157"/>
      <c r="AE88" s="157"/>
      <c r="AF88" s="157"/>
      <c r="AG88" s="157"/>
      <c r="AH88" s="157"/>
      <c r="AI88" s="157"/>
      <c r="AJ88" s="157"/>
      <c r="AK88" s="157"/>
      <c r="AL88" s="157"/>
      <c r="AM88" s="157"/>
      <c r="AN88" s="157"/>
      <c r="AO88" s="157"/>
      <c r="AP88" s="157"/>
      <c r="AQ88" s="157"/>
      <c r="AR88" s="157"/>
      <c r="AS88" s="157"/>
      <c r="AT88" s="157"/>
      <c r="AU88" s="157"/>
      <c r="AV88" s="157"/>
      <c r="AW88" s="157"/>
      <c r="AX88" s="157"/>
      <c r="AY88" s="157"/>
      <c r="AZ88" s="157"/>
      <c r="BA88" s="157"/>
      <c r="BB88" s="157"/>
      <c r="BC88" s="157"/>
      <c r="BD88" s="157"/>
      <c r="BE88" s="157"/>
      <c r="BF88" s="157"/>
      <c r="BG88" s="157"/>
      <c r="BH88" s="157"/>
      <c r="BI88" s="157"/>
    </row>
    <row r="89" spans="5:61" s="257" customFormat="1" hidden="1">
      <c r="E89" s="324"/>
      <c r="F89" s="325"/>
      <c r="G89" s="157"/>
      <c r="H89" s="325"/>
      <c r="I89" s="161"/>
      <c r="J89" s="326"/>
      <c r="L89" s="325"/>
      <c r="M89" s="161"/>
      <c r="N89" s="326"/>
      <c r="P89" s="325"/>
      <c r="Q89" s="326"/>
      <c r="S89" s="325"/>
      <c r="T89" s="326"/>
      <c r="U89" s="160"/>
      <c r="V89" s="160"/>
      <c r="W89" s="160"/>
      <c r="X89" s="741"/>
      <c r="Y89" s="157"/>
      <c r="Z89" s="401"/>
      <c r="AA89" s="401"/>
      <c r="AB89" s="401"/>
      <c r="AC89" s="401"/>
      <c r="AD89" s="157"/>
      <c r="AE89" s="157"/>
      <c r="AF89" s="157"/>
      <c r="AG89" s="157"/>
      <c r="AH89" s="157"/>
      <c r="AI89" s="157"/>
      <c r="AJ89" s="157"/>
      <c r="AK89" s="157"/>
      <c r="AL89" s="157"/>
      <c r="AM89" s="157"/>
      <c r="AN89" s="157"/>
      <c r="AO89" s="157"/>
      <c r="AP89" s="157"/>
      <c r="AQ89" s="157"/>
      <c r="AR89" s="157"/>
      <c r="AS89" s="157"/>
      <c r="AT89" s="157"/>
      <c r="AU89" s="157"/>
      <c r="AV89" s="157"/>
      <c r="AW89" s="157"/>
      <c r="AX89" s="157"/>
      <c r="AY89" s="157"/>
      <c r="AZ89" s="157"/>
      <c r="BA89" s="157"/>
      <c r="BB89" s="157"/>
      <c r="BC89" s="157"/>
      <c r="BD89" s="157"/>
      <c r="BE89" s="157"/>
      <c r="BF89" s="157"/>
      <c r="BG89" s="157"/>
      <c r="BH89" s="157"/>
      <c r="BI89" s="157"/>
    </row>
    <row r="90" spans="5:61" s="257" customFormat="1" hidden="1">
      <c r="E90" s="324"/>
      <c r="F90" s="325"/>
      <c r="G90" s="157"/>
      <c r="H90" s="325"/>
      <c r="I90" s="161"/>
      <c r="J90" s="326"/>
      <c r="L90" s="325"/>
      <c r="M90" s="161"/>
      <c r="N90" s="326"/>
      <c r="P90" s="325"/>
      <c r="Q90" s="326"/>
      <c r="S90" s="325"/>
      <c r="T90" s="326"/>
      <c r="U90" s="160"/>
      <c r="V90" s="160"/>
      <c r="W90" s="160"/>
      <c r="X90" s="741"/>
      <c r="Y90" s="157"/>
      <c r="Z90" s="401"/>
      <c r="AA90" s="401"/>
      <c r="AB90" s="401"/>
      <c r="AC90" s="401"/>
      <c r="AD90" s="157"/>
      <c r="AE90" s="157"/>
      <c r="AF90" s="157"/>
      <c r="AG90" s="157"/>
      <c r="AH90" s="157"/>
      <c r="AI90" s="157"/>
      <c r="AJ90" s="157"/>
      <c r="AK90" s="157"/>
      <c r="AL90" s="157"/>
      <c r="AM90" s="157"/>
      <c r="AN90" s="157"/>
      <c r="AO90" s="157"/>
      <c r="AP90" s="157"/>
      <c r="AQ90" s="157"/>
      <c r="AR90" s="157"/>
      <c r="AS90" s="157"/>
      <c r="AT90" s="157"/>
      <c r="AU90" s="157"/>
      <c r="AV90" s="157"/>
      <c r="AW90" s="157"/>
      <c r="AX90" s="157"/>
      <c r="AY90" s="157"/>
      <c r="AZ90" s="157"/>
      <c r="BA90" s="157"/>
      <c r="BB90" s="157"/>
      <c r="BC90" s="157"/>
      <c r="BD90" s="157"/>
      <c r="BE90" s="157"/>
      <c r="BF90" s="157"/>
      <c r="BG90" s="157"/>
      <c r="BH90" s="157"/>
      <c r="BI90" s="157"/>
    </row>
    <row r="91" spans="5:61" s="257" customFormat="1" hidden="1">
      <c r="E91" s="324"/>
      <c r="F91" s="325"/>
      <c r="G91" s="157"/>
      <c r="H91" s="325"/>
      <c r="I91" s="161"/>
      <c r="J91" s="326"/>
      <c r="L91" s="325"/>
      <c r="M91" s="161"/>
      <c r="N91" s="326"/>
      <c r="P91" s="325"/>
      <c r="Q91" s="326"/>
      <c r="S91" s="325"/>
      <c r="T91" s="326"/>
      <c r="U91" s="160"/>
      <c r="V91" s="160"/>
      <c r="W91" s="160"/>
      <c r="X91" s="741"/>
      <c r="Y91" s="157"/>
      <c r="Z91" s="401"/>
      <c r="AA91" s="401"/>
      <c r="AB91" s="401"/>
      <c r="AC91" s="401"/>
      <c r="AD91" s="157"/>
      <c r="AE91" s="157"/>
      <c r="AF91" s="157"/>
      <c r="AG91" s="157"/>
      <c r="AH91" s="157"/>
      <c r="AI91" s="157"/>
      <c r="AJ91" s="157"/>
      <c r="AK91" s="157"/>
      <c r="AL91" s="157"/>
      <c r="AM91" s="157"/>
      <c r="AN91" s="157"/>
      <c r="AO91" s="157"/>
      <c r="AP91" s="157"/>
      <c r="AQ91" s="157"/>
      <c r="AR91" s="157"/>
      <c r="AS91" s="157"/>
      <c r="AT91" s="157"/>
      <c r="AU91" s="157"/>
      <c r="AV91" s="157"/>
      <c r="AW91" s="157"/>
      <c r="AX91" s="157"/>
      <c r="AY91" s="157"/>
      <c r="AZ91" s="157"/>
      <c r="BA91" s="157"/>
      <c r="BB91" s="157"/>
      <c r="BC91" s="157"/>
      <c r="BD91" s="157"/>
      <c r="BE91" s="157"/>
      <c r="BF91" s="157"/>
      <c r="BG91" s="157"/>
      <c r="BH91" s="157"/>
      <c r="BI91" s="157"/>
    </row>
    <row r="92" spans="5:61" s="257" customFormat="1" hidden="1">
      <c r="E92" s="324"/>
      <c r="F92" s="325"/>
      <c r="G92" s="157"/>
      <c r="H92" s="325"/>
      <c r="I92" s="161"/>
      <c r="J92" s="326"/>
      <c r="L92" s="325"/>
      <c r="M92" s="161"/>
      <c r="N92" s="326"/>
      <c r="P92" s="325"/>
      <c r="Q92" s="326"/>
      <c r="S92" s="325"/>
      <c r="T92" s="326"/>
      <c r="U92" s="160"/>
      <c r="V92" s="160"/>
      <c r="W92" s="160"/>
      <c r="X92" s="741"/>
      <c r="Y92" s="157"/>
      <c r="Z92" s="401"/>
      <c r="AA92" s="401"/>
      <c r="AB92" s="401"/>
      <c r="AC92" s="401"/>
      <c r="AD92" s="157"/>
      <c r="AE92" s="157"/>
      <c r="AF92" s="157"/>
      <c r="AG92" s="157"/>
      <c r="AH92" s="157"/>
      <c r="AI92" s="157"/>
      <c r="AJ92" s="157"/>
      <c r="AK92" s="157"/>
      <c r="AL92" s="157"/>
      <c r="AM92" s="157"/>
      <c r="AN92" s="157"/>
      <c r="AO92" s="157"/>
      <c r="AP92" s="157"/>
      <c r="AQ92" s="157"/>
      <c r="AR92" s="157"/>
      <c r="AS92" s="157"/>
      <c r="AT92" s="157"/>
      <c r="AU92" s="157"/>
      <c r="AV92" s="157"/>
      <c r="AW92" s="157"/>
      <c r="AX92" s="157"/>
      <c r="AY92" s="157"/>
      <c r="AZ92" s="157"/>
      <c r="BA92" s="157"/>
      <c r="BB92" s="157"/>
      <c r="BC92" s="157"/>
      <c r="BD92" s="157"/>
      <c r="BE92" s="157"/>
      <c r="BF92" s="157"/>
      <c r="BG92" s="157"/>
      <c r="BH92" s="157"/>
      <c r="BI92" s="157"/>
    </row>
    <row r="93" spans="5:61" s="257" customFormat="1" hidden="1">
      <c r="E93" s="324"/>
      <c r="F93" s="325"/>
      <c r="G93" s="157"/>
      <c r="H93" s="325"/>
      <c r="I93" s="161"/>
      <c r="J93" s="326"/>
      <c r="L93" s="325"/>
      <c r="M93" s="161"/>
      <c r="N93" s="326"/>
      <c r="P93" s="325"/>
      <c r="Q93" s="326"/>
      <c r="S93" s="325"/>
      <c r="T93" s="326"/>
      <c r="U93" s="160"/>
      <c r="V93" s="160"/>
      <c r="W93" s="160"/>
      <c r="X93" s="741"/>
      <c r="Y93" s="157"/>
      <c r="Z93" s="401"/>
      <c r="AA93" s="401"/>
      <c r="AB93" s="401"/>
      <c r="AC93" s="401"/>
      <c r="AD93" s="157"/>
      <c r="AE93" s="157"/>
      <c r="AF93" s="157"/>
      <c r="AG93" s="157"/>
      <c r="AH93" s="157"/>
      <c r="AI93" s="157"/>
      <c r="AJ93" s="157"/>
      <c r="AK93" s="157"/>
      <c r="AL93" s="157"/>
      <c r="AM93" s="157"/>
      <c r="AN93" s="157"/>
      <c r="AO93" s="157"/>
      <c r="AP93" s="157"/>
      <c r="AQ93" s="157"/>
      <c r="AR93" s="157"/>
      <c r="AS93" s="157"/>
      <c r="AT93" s="157"/>
      <c r="AU93" s="157"/>
      <c r="AV93" s="157"/>
      <c r="AW93" s="157"/>
      <c r="AX93" s="157"/>
      <c r="AY93" s="157"/>
      <c r="AZ93" s="157"/>
      <c r="BA93" s="157"/>
      <c r="BB93" s="157"/>
      <c r="BC93" s="157"/>
      <c r="BD93" s="157"/>
      <c r="BE93" s="157"/>
      <c r="BF93" s="157"/>
      <c r="BG93" s="157"/>
      <c r="BH93" s="157"/>
      <c r="BI93" s="157"/>
    </row>
    <row r="94" spans="5:61" s="257" customFormat="1" hidden="1">
      <c r="E94" s="324"/>
      <c r="F94" s="325"/>
      <c r="G94" s="157"/>
      <c r="H94" s="325"/>
      <c r="I94" s="161"/>
      <c r="J94" s="326"/>
      <c r="L94" s="325"/>
      <c r="M94" s="161"/>
      <c r="N94" s="326"/>
      <c r="P94" s="325"/>
      <c r="Q94" s="326"/>
      <c r="S94" s="325"/>
      <c r="T94" s="326"/>
      <c r="U94" s="160"/>
      <c r="V94" s="160"/>
      <c r="W94" s="160"/>
      <c r="X94" s="741"/>
      <c r="Y94" s="157"/>
      <c r="Z94" s="401"/>
      <c r="AA94" s="401"/>
      <c r="AB94" s="401"/>
      <c r="AC94" s="401"/>
      <c r="AD94" s="157"/>
      <c r="AE94" s="157"/>
      <c r="AF94" s="157"/>
      <c r="AG94" s="157"/>
      <c r="AH94" s="157"/>
      <c r="AI94" s="157"/>
      <c r="AJ94" s="157"/>
      <c r="AK94" s="157"/>
      <c r="AL94" s="157"/>
      <c r="AM94" s="157"/>
      <c r="AN94" s="157"/>
      <c r="AO94" s="157"/>
      <c r="AP94" s="157"/>
      <c r="AQ94" s="157"/>
      <c r="AR94" s="157"/>
      <c r="AS94" s="157"/>
      <c r="AT94" s="157"/>
      <c r="AU94" s="157"/>
      <c r="AV94" s="157"/>
      <c r="AW94" s="157"/>
      <c r="AX94" s="157"/>
      <c r="AY94" s="157"/>
      <c r="AZ94" s="157"/>
      <c r="BA94" s="157"/>
      <c r="BB94" s="157"/>
      <c r="BC94" s="157"/>
      <c r="BD94" s="157"/>
      <c r="BE94" s="157"/>
      <c r="BF94" s="157"/>
      <c r="BG94" s="157"/>
      <c r="BH94" s="157"/>
      <c r="BI94" s="157"/>
    </row>
    <row r="95" spans="5:61" s="257" customFormat="1" hidden="1">
      <c r="E95" s="324"/>
      <c r="F95" s="325"/>
      <c r="G95" s="157"/>
      <c r="H95" s="325"/>
      <c r="I95" s="161"/>
      <c r="J95" s="326"/>
      <c r="L95" s="325"/>
      <c r="M95" s="161"/>
      <c r="N95" s="326"/>
      <c r="P95" s="325"/>
      <c r="Q95" s="326"/>
      <c r="S95" s="325"/>
      <c r="T95" s="326"/>
      <c r="U95" s="160"/>
      <c r="V95" s="160"/>
      <c r="W95" s="160"/>
      <c r="X95" s="741"/>
      <c r="Y95" s="157"/>
      <c r="Z95" s="401"/>
      <c r="AA95" s="401"/>
      <c r="AB95" s="401"/>
      <c r="AC95" s="401"/>
      <c r="AD95" s="157"/>
      <c r="AE95" s="157"/>
      <c r="AF95" s="157"/>
      <c r="AG95" s="157"/>
      <c r="AH95" s="157"/>
      <c r="AI95" s="157"/>
      <c r="AJ95" s="157"/>
      <c r="AK95" s="157"/>
      <c r="AL95" s="157"/>
      <c r="AM95" s="157"/>
      <c r="AN95" s="157"/>
      <c r="AO95" s="157"/>
      <c r="AP95" s="157"/>
      <c r="AQ95" s="157"/>
      <c r="AR95" s="157"/>
      <c r="AS95" s="157"/>
      <c r="AT95" s="157"/>
      <c r="AU95" s="157"/>
      <c r="AV95" s="157"/>
      <c r="AW95" s="157"/>
      <c r="AX95" s="157"/>
      <c r="AY95" s="157"/>
      <c r="AZ95" s="157"/>
      <c r="BA95" s="157"/>
      <c r="BB95" s="157"/>
      <c r="BC95" s="157"/>
      <c r="BD95" s="157"/>
      <c r="BE95" s="157"/>
      <c r="BF95" s="157"/>
      <c r="BG95" s="157"/>
      <c r="BH95" s="157"/>
      <c r="BI95" s="157"/>
    </row>
    <row r="96" spans="5:61" s="257" customFormat="1" hidden="1">
      <c r="E96" s="324"/>
      <c r="F96" s="325"/>
      <c r="G96" s="157"/>
      <c r="H96" s="325"/>
      <c r="I96" s="161"/>
      <c r="J96" s="326"/>
      <c r="L96" s="325"/>
      <c r="M96" s="161"/>
      <c r="N96" s="326"/>
      <c r="P96" s="325"/>
      <c r="Q96" s="326"/>
      <c r="S96" s="325"/>
      <c r="T96" s="326"/>
      <c r="U96" s="160"/>
      <c r="V96" s="160"/>
      <c r="W96" s="160"/>
      <c r="X96" s="741"/>
      <c r="Y96" s="157"/>
      <c r="Z96" s="401"/>
      <c r="AA96" s="401"/>
      <c r="AB96" s="401"/>
      <c r="AC96" s="401"/>
      <c r="AD96" s="157"/>
      <c r="AE96" s="157"/>
      <c r="AF96" s="157"/>
      <c r="AG96" s="157"/>
      <c r="AH96" s="157"/>
      <c r="AI96" s="157"/>
      <c r="AJ96" s="157"/>
      <c r="AK96" s="157"/>
      <c r="AL96" s="157"/>
      <c r="AM96" s="157"/>
      <c r="AN96" s="157"/>
      <c r="AO96" s="157"/>
      <c r="AP96" s="157"/>
      <c r="AQ96" s="157"/>
      <c r="AR96" s="157"/>
      <c r="AS96" s="157"/>
      <c r="AT96" s="157"/>
      <c r="AU96" s="157"/>
      <c r="AV96" s="157"/>
      <c r="AW96" s="157"/>
      <c r="AX96" s="157"/>
      <c r="AY96" s="157"/>
      <c r="AZ96" s="157"/>
      <c r="BA96" s="157"/>
      <c r="BB96" s="157"/>
      <c r="BC96" s="157"/>
      <c r="BD96" s="157"/>
      <c r="BE96" s="157"/>
      <c r="BF96" s="157"/>
      <c r="BG96" s="157"/>
      <c r="BH96" s="157"/>
      <c r="BI96" s="157"/>
    </row>
    <row r="97" spans="5:61" s="257" customFormat="1" hidden="1">
      <c r="E97" s="324"/>
      <c r="F97" s="325"/>
      <c r="G97" s="157"/>
      <c r="H97" s="325"/>
      <c r="I97" s="161"/>
      <c r="J97" s="326"/>
      <c r="L97" s="325"/>
      <c r="M97" s="161"/>
      <c r="N97" s="326"/>
      <c r="P97" s="325"/>
      <c r="Q97" s="326"/>
      <c r="S97" s="325"/>
      <c r="T97" s="326"/>
      <c r="U97" s="160"/>
      <c r="V97" s="160"/>
      <c r="W97" s="160"/>
      <c r="X97" s="741"/>
      <c r="Y97" s="157"/>
      <c r="Z97" s="401"/>
      <c r="AA97" s="401"/>
      <c r="AB97" s="401"/>
      <c r="AC97" s="401"/>
      <c r="AD97" s="157"/>
      <c r="AE97" s="157"/>
      <c r="AF97" s="157"/>
      <c r="AG97" s="157"/>
      <c r="AH97" s="157"/>
      <c r="AI97" s="157"/>
      <c r="AJ97" s="157"/>
      <c r="AK97" s="157"/>
      <c r="AL97" s="157"/>
      <c r="AM97" s="157"/>
      <c r="AN97" s="157"/>
      <c r="AO97" s="157"/>
      <c r="AP97" s="157"/>
      <c r="AQ97" s="157"/>
      <c r="AR97" s="157"/>
      <c r="AS97" s="157"/>
      <c r="AT97" s="157"/>
      <c r="AU97" s="157"/>
      <c r="AV97" s="157"/>
      <c r="AW97" s="157"/>
      <c r="AX97" s="157"/>
      <c r="AY97" s="157"/>
      <c r="AZ97" s="157"/>
      <c r="BA97" s="157"/>
      <c r="BB97" s="157"/>
      <c r="BC97" s="157"/>
      <c r="BD97" s="157"/>
      <c r="BE97" s="157"/>
      <c r="BF97" s="157"/>
      <c r="BG97" s="157"/>
      <c r="BH97" s="157"/>
      <c r="BI97" s="157"/>
    </row>
    <row r="98" spans="5:61" s="257" customFormat="1" hidden="1">
      <c r="E98" s="324"/>
      <c r="F98" s="325"/>
      <c r="G98" s="157"/>
      <c r="H98" s="325"/>
      <c r="I98" s="161"/>
      <c r="J98" s="326"/>
      <c r="L98" s="325"/>
      <c r="M98" s="161"/>
      <c r="N98" s="326"/>
      <c r="P98" s="325"/>
      <c r="Q98" s="326"/>
      <c r="S98" s="325"/>
      <c r="T98" s="326"/>
      <c r="U98" s="160"/>
      <c r="V98" s="160"/>
      <c r="W98" s="160"/>
      <c r="X98" s="741"/>
      <c r="Y98" s="157"/>
      <c r="Z98" s="401"/>
      <c r="AA98" s="401"/>
      <c r="AB98" s="401"/>
      <c r="AC98" s="401"/>
      <c r="AD98" s="157"/>
      <c r="AE98" s="157"/>
      <c r="AF98" s="157"/>
      <c r="AG98" s="157"/>
      <c r="AH98" s="157"/>
      <c r="AI98" s="157"/>
      <c r="AJ98" s="157"/>
      <c r="AK98" s="157"/>
      <c r="AL98" s="157"/>
      <c r="AM98" s="157"/>
      <c r="AN98" s="157"/>
      <c r="AO98" s="157"/>
      <c r="AP98" s="157"/>
      <c r="AQ98" s="157"/>
      <c r="AR98" s="157"/>
      <c r="AS98" s="157"/>
      <c r="AT98" s="157"/>
      <c r="AU98" s="157"/>
      <c r="AV98" s="157"/>
      <c r="AW98" s="157"/>
      <c r="AX98" s="157"/>
      <c r="AY98" s="157"/>
      <c r="AZ98" s="157"/>
      <c r="BA98" s="157"/>
      <c r="BB98" s="157"/>
      <c r="BC98" s="157"/>
      <c r="BD98" s="157"/>
      <c r="BE98" s="157"/>
      <c r="BF98" s="157"/>
      <c r="BG98" s="157"/>
      <c r="BH98" s="157"/>
      <c r="BI98" s="157"/>
    </row>
    <row r="99" spans="5:61" s="257" customFormat="1" hidden="1">
      <c r="E99" s="324"/>
      <c r="F99" s="325"/>
      <c r="G99" s="157"/>
      <c r="H99" s="325"/>
      <c r="I99" s="161"/>
      <c r="J99" s="326"/>
      <c r="L99" s="325"/>
      <c r="M99" s="161"/>
      <c r="N99" s="326"/>
      <c r="P99" s="325"/>
      <c r="Q99" s="326"/>
      <c r="S99" s="325"/>
      <c r="T99" s="326"/>
      <c r="U99" s="160"/>
      <c r="V99" s="160"/>
      <c r="W99" s="160"/>
      <c r="X99" s="741"/>
      <c r="Y99" s="157"/>
      <c r="Z99" s="401"/>
      <c r="AA99" s="401"/>
      <c r="AB99" s="401"/>
      <c r="AC99" s="401"/>
      <c r="AD99" s="157"/>
      <c r="AE99" s="157"/>
      <c r="AF99" s="157"/>
      <c r="AG99" s="157"/>
      <c r="AH99" s="157"/>
      <c r="AI99" s="157"/>
      <c r="AJ99" s="157"/>
      <c r="AK99" s="157"/>
      <c r="AL99" s="157"/>
      <c r="AM99" s="157"/>
      <c r="AN99" s="157"/>
      <c r="AO99" s="157"/>
      <c r="AP99" s="157"/>
      <c r="AQ99" s="157"/>
      <c r="AR99" s="157"/>
      <c r="AS99" s="157"/>
      <c r="AT99" s="157"/>
      <c r="AU99" s="157"/>
      <c r="AV99" s="157"/>
      <c r="AW99" s="157"/>
      <c r="AX99" s="157"/>
      <c r="AY99" s="157"/>
      <c r="AZ99" s="157"/>
      <c r="BA99" s="157"/>
      <c r="BB99" s="157"/>
      <c r="BC99" s="157"/>
      <c r="BD99" s="157"/>
      <c r="BE99" s="157"/>
      <c r="BF99" s="157"/>
      <c r="BG99" s="157"/>
      <c r="BH99" s="157"/>
      <c r="BI99" s="157"/>
    </row>
    <row r="100" spans="5:61" s="257" customFormat="1" hidden="1">
      <c r="E100" s="324"/>
      <c r="F100" s="325"/>
      <c r="G100" s="157"/>
      <c r="H100" s="325"/>
      <c r="I100" s="161"/>
      <c r="J100" s="326"/>
      <c r="L100" s="325"/>
      <c r="M100" s="161"/>
      <c r="N100" s="326"/>
      <c r="P100" s="325"/>
      <c r="Q100" s="326"/>
      <c r="S100" s="325"/>
      <c r="T100" s="326"/>
      <c r="U100" s="160"/>
      <c r="V100" s="160"/>
      <c r="W100" s="160"/>
      <c r="X100" s="741"/>
      <c r="Y100" s="157"/>
      <c r="Z100" s="401"/>
      <c r="AA100" s="401"/>
      <c r="AB100" s="401"/>
      <c r="AC100" s="401"/>
      <c r="AD100" s="157"/>
      <c r="AE100" s="157"/>
      <c r="AF100" s="157"/>
      <c r="AG100" s="157"/>
      <c r="AH100" s="157"/>
      <c r="AI100" s="157"/>
      <c r="AJ100" s="157"/>
      <c r="AK100" s="157"/>
      <c r="AL100" s="157"/>
      <c r="AM100" s="157"/>
      <c r="AN100" s="157"/>
      <c r="AO100" s="157"/>
      <c r="AP100" s="157"/>
      <c r="AQ100" s="157"/>
      <c r="AR100" s="157"/>
      <c r="AS100" s="157"/>
      <c r="AT100" s="157"/>
      <c r="AU100" s="157"/>
      <c r="AV100" s="157"/>
      <c r="AW100" s="157"/>
      <c r="AX100" s="157"/>
      <c r="AY100" s="157"/>
      <c r="AZ100" s="157"/>
      <c r="BA100" s="157"/>
      <c r="BB100" s="157"/>
      <c r="BC100" s="157"/>
      <c r="BD100" s="157"/>
      <c r="BE100" s="157"/>
      <c r="BF100" s="157"/>
      <c r="BG100" s="157"/>
      <c r="BH100" s="157"/>
      <c r="BI100" s="157"/>
    </row>
    <row r="101" spans="5:61" s="257" customFormat="1" hidden="1">
      <c r="E101" s="324"/>
      <c r="F101" s="325"/>
      <c r="G101" s="157"/>
      <c r="H101" s="325"/>
      <c r="I101" s="161"/>
      <c r="J101" s="326"/>
      <c r="L101" s="325"/>
      <c r="M101" s="161"/>
      <c r="N101" s="326"/>
      <c r="P101" s="325"/>
      <c r="Q101" s="326"/>
      <c r="S101" s="325"/>
      <c r="T101" s="326"/>
      <c r="U101" s="160"/>
      <c r="V101" s="160"/>
      <c r="W101" s="160"/>
      <c r="X101" s="741"/>
      <c r="Y101" s="157"/>
      <c r="Z101" s="401"/>
      <c r="AA101" s="401"/>
      <c r="AB101" s="401"/>
      <c r="AC101" s="401"/>
      <c r="AD101" s="157"/>
      <c r="AE101" s="157"/>
      <c r="AF101" s="157"/>
      <c r="AG101" s="157"/>
      <c r="AH101" s="157"/>
      <c r="AI101" s="157"/>
      <c r="AJ101" s="157"/>
      <c r="AK101" s="157"/>
      <c r="AL101" s="157"/>
      <c r="AM101" s="157"/>
      <c r="AN101" s="157"/>
      <c r="AO101" s="157"/>
      <c r="AP101" s="157"/>
      <c r="AQ101" s="157"/>
      <c r="AR101" s="157"/>
      <c r="AS101" s="157"/>
      <c r="AT101" s="157"/>
      <c r="AU101" s="157"/>
      <c r="AV101" s="157"/>
      <c r="AW101" s="157"/>
      <c r="AX101" s="157"/>
      <c r="AY101" s="157"/>
      <c r="AZ101" s="157"/>
      <c r="BA101" s="157"/>
      <c r="BB101" s="157"/>
      <c r="BC101" s="157"/>
      <c r="BD101" s="157"/>
      <c r="BE101" s="157"/>
      <c r="BF101" s="157"/>
      <c r="BG101" s="157"/>
      <c r="BH101" s="157"/>
      <c r="BI101" s="157"/>
    </row>
    <row r="102" spans="5:61" s="257" customFormat="1" hidden="1">
      <c r="E102" s="324"/>
      <c r="F102" s="325"/>
      <c r="G102" s="157"/>
      <c r="H102" s="325"/>
      <c r="I102" s="161"/>
      <c r="J102" s="326"/>
      <c r="L102" s="325"/>
      <c r="M102" s="161"/>
      <c r="N102" s="326"/>
      <c r="P102" s="325"/>
      <c r="Q102" s="326"/>
      <c r="S102" s="325"/>
      <c r="T102" s="326"/>
      <c r="U102" s="160"/>
      <c r="V102" s="160"/>
      <c r="W102" s="160"/>
      <c r="X102" s="741"/>
      <c r="Y102" s="157"/>
      <c r="Z102" s="401"/>
      <c r="AA102" s="401"/>
      <c r="AB102" s="401"/>
      <c r="AC102" s="401"/>
      <c r="AD102" s="157"/>
      <c r="AE102" s="157"/>
      <c r="AF102" s="157"/>
      <c r="AG102" s="157"/>
      <c r="AH102" s="157"/>
      <c r="AI102" s="157"/>
      <c r="AJ102" s="157"/>
      <c r="AK102" s="157"/>
      <c r="AL102" s="157"/>
      <c r="AM102" s="157"/>
      <c r="AN102" s="157"/>
      <c r="AO102" s="157"/>
      <c r="AP102" s="157"/>
      <c r="AQ102" s="157"/>
      <c r="AR102" s="157"/>
      <c r="AS102" s="157"/>
      <c r="AT102" s="157"/>
      <c r="AU102" s="157"/>
      <c r="AV102" s="157"/>
      <c r="AW102" s="157"/>
      <c r="AX102" s="157"/>
      <c r="AY102" s="157"/>
      <c r="AZ102" s="157"/>
      <c r="BA102" s="157"/>
      <c r="BB102" s="157"/>
      <c r="BC102" s="157"/>
      <c r="BD102" s="157"/>
      <c r="BE102" s="157"/>
      <c r="BF102" s="157"/>
      <c r="BG102" s="157"/>
      <c r="BH102" s="157"/>
      <c r="BI102" s="157"/>
    </row>
    <row r="103" spans="5:61" s="257" customFormat="1" hidden="1">
      <c r="E103" s="324"/>
      <c r="F103" s="325"/>
      <c r="G103" s="157"/>
      <c r="H103" s="325"/>
      <c r="I103" s="161"/>
      <c r="J103" s="326"/>
      <c r="L103" s="325"/>
      <c r="M103" s="161"/>
      <c r="N103" s="326"/>
      <c r="P103" s="325"/>
      <c r="Q103" s="326"/>
      <c r="S103" s="325"/>
      <c r="T103" s="326"/>
      <c r="U103" s="160"/>
      <c r="V103" s="160"/>
      <c r="W103" s="160"/>
      <c r="X103" s="741"/>
      <c r="Y103" s="157"/>
      <c r="Z103" s="401"/>
      <c r="AA103" s="401"/>
      <c r="AB103" s="401"/>
      <c r="AC103" s="401"/>
      <c r="AD103" s="157"/>
      <c r="AE103" s="157"/>
      <c r="AF103" s="157"/>
      <c r="AG103" s="157"/>
      <c r="AH103" s="157"/>
      <c r="AI103" s="157"/>
      <c r="AJ103" s="157"/>
      <c r="AK103" s="157"/>
      <c r="AL103" s="157"/>
      <c r="AM103" s="157"/>
      <c r="AN103" s="157"/>
      <c r="AO103" s="157"/>
      <c r="AP103" s="157"/>
      <c r="AQ103" s="157"/>
      <c r="AR103" s="157"/>
      <c r="AS103" s="157"/>
      <c r="AT103" s="157"/>
      <c r="AU103" s="157"/>
      <c r="AV103" s="157"/>
      <c r="AW103" s="157"/>
      <c r="AX103" s="157"/>
      <c r="AY103" s="157"/>
      <c r="AZ103" s="157"/>
      <c r="BA103" s="157"/>
      <c r="BB103" s="157"/>
      <c r="BC103" s="157"/>
      <c r="BD103" s="157"/>
      <c r="BE103" s="157"/>
      <c r="BF103" s="157"/>
      <c r="BG103" s="157"/>
      <c r="BH103" s="157"/>
      <c r="BI103" s="157"/>
    </row>
    <row r="104" spans="5:61" s="257" customFormat="1" hidden="1">
      <c r="E104" s="324"/>
      <c r="F104" s="325"/>
      <c r="G104" s="157"/>
      <c r="H104" s="325"/>
      <c r="I104" s="161"/>
      <c r="J104" s="326"/>
      <c r="L104" s="325"/>
      <c r="M104" s="161"/>
      <c r="N104" s="326"/>
      <c r="P104" s="325"/>
      <c r="Q104" s="326"/>
      <c r="S104" s="325"/>
      <c r="T104" s="326"/>
      <c r="U104" s="160"/>
      <c r="V104" s="160"/>
      <c r="W104" s="160"/>
      <c r="X104" s="741"/>
      <c r="Y104" s="157"/>
      <c r="Z104" s="401"/>
      <c r="AA104" s="401"/>
      <c r="AB104" s="401"/>
      <c r="AC104" s="401"/>
      <c r="AD104" s="157"/>
      <c r="AE104" s="157"/>
      <c r="AF104" s="157"/>
      <c r="AG104" s="157"/>
      <c r="AH104" s="157"/>
      <c r="AI104" s="157"/>
      <c r="AJ104" s="157"/>
      <c r="AK104" s="157"/>
      <c r="AL104" s="157"/>
      <c r="AM104" s="157"/>
      <c r="AN104" s="157"/>
      <c r="AO104" s="157"/>
      <c r="AP104" s="157"/>
      <c r="AQ104" s="157"/>
      <c r="AR104" s="157"/>
      <c r="AS104" s="157"/>
      <c r="AT104" s="157"/>
      <c r="AU104" s="157"/>
      <c r="AV104" s="157"/>
      <c r="AW104" s="157"/>
      <c r="AX104" s="157"/>
      <c r="AY104" s="157"/>
      <c r="AZ104" s="157"/>
      <c r="BA104" s="157"/>
      <c r="BB104" s="157"/>
      <c r="BC104" s="157"/>
      <c r="BD104" s="157"/>
      <c r="BE104" s="157"/>
      <c r="BF104" s="157"/>
      <c r="BG104" s="157"/>
      <c r="BH104" s="157"/>
      <c r="BI104" s="157"/>
    </row>
    <row r="105" spans="5:61" s="257" customFormat="1" hidden="1">
      <c r="E105" s="324"/>
      <c r="F105" s="325"/>
      <c r="G105" s="157"/>
      <c r="H105" s="325"/>
      <c r="I105" s="161"/>
      <c r="J105" s="326"/>
      <c r="L105" s="325"/>
      <c r="M105" s="161"/>
      <c r="N105" s="326"/>
      <c r="P105" s="325"/>
      <c r="Q105" s="326"/>
      <c r="S105" s="325"/>
      <c r="T105" s="326"/>
      <c r="U105" s="160"/>
      <c r="V105" s="160"/>
      <c r="W105" s="160"/>
      <c r="X105" s="741"/>
      <c r="Y105" s="157"/>
      <c r="Z105" s="401"/>
      <c r="AA105" s="401"/>
      <c r="AB105" s="401"/>
      <c r="AC105" s="401"/>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157"/>
      <c r="BF105" s="157"/>
      <c r="BG105" s="157"/>
      <c r="BH105" s="157"/>
      <c r="BI105" s="157"/>
    </row>
    <row r="106" spans="5:61" s="257" customFormat="1" hidden="1">
      <c r="E106" s="324"/>
      <c r="F106" s="325"/>
      <c r="G106" s="157"/>
      <c r="H106" s="325"/>
      <c r="I106" s="161"/>
      <c r="J106" s="326"/>
      <c r="L106" s="325"/>
      <c r="M106" s="161"/>
      <c r="N106" s="326"/>
      <c r="P106" s="325"/>
      <c r="Q106" s="326"/>
      <c r="S106" s="325"/>
      <c r="T106" s="326"/>
      <c r="U106" s="160"/>
      <c r="V106" s="160"/>
      <c r="W106" s="160"/>
      <c r="X106" s="741"/>
      <c r="Y106" s="157"/>
      <c r="Z106" s="401"/>
      <c r="AA106" s="401"/>
      <c r="AB106" s="401"/>
      <c r="AC106" s="401"/>
      <c r="AD106" s="157"/>
      <c r="AE106" s="157"/>
      <c r="AF106" s="157"/>
      <c r="AG106" s="157"/>
      <c r="AH106" s="157"/>
      <c r="AI106" s="157"/>
      <c r="AJ106" s="157"/>
      <c r="AK106" s="157"/>
      <c r="AL106" s="157"/>
      <c r="AM106" s="157"/>
      <c r="AN106" s="157"/>
      <c r="AO106" s="157"/>
      <c r="AP106" s="157"/>
      <c r="AQ106" s="157"/>
      <c r="AR106" s="157"/>
      <c r="AS106" s="157"/>
      <c r="AT106" s="157"/>
      <c r="AU106" s="157"/>
      <c r="AV106" s="157"/>
      <c r="AW106" s="157"/>
      <c r="AX106" s="157"/>
      <c r="AY106" s="157"/>
      <c r="AZ106" s="157"/>
      <c r="BA106" s="157"/>
      <c r="BB106" s="157"/>
      <c r="BC106" s="157"/>
      <c r="BD106" s="157"/>
      <c r="BE106" s="157"/>
      <c r="BF106" s="157"/>
      <c r="BG106" s="157"/>
      <c r="BH106" s="157"/>
      <c r="BI106" s="157"/>
    </row>
    <row r="107" spans="5:61" s="257" customFormat="1" hidden="1">
      <c r="E107" s="324"/>
      <c r="F107" s="325"/>
      <c r="G107" s="157"/>
      <c r="H107" s="325"/>
      <c r="I107" s="161"/>
      <c r="J107" s="326"/>
      <c r="L107" s="325"/>
      <c r="M107" s="161"/>
      <c r="N107" s="326"/>
      <c r="P107" s="325"/>
      <c r="Q107" s="326"/>
      <c r="S107" s="325"/>
      <c r="T107" s="326"/>
      <c r="U107" s="160"/>
      <c r="V107" s="160"/>
      <c r="W107" s="160"/>
      <c r="X107" s="741"/>
      <c r="Y107" s="157"/>
      <c r="Z107" s="401"/>
      <c r="AA107" s="401"/>
      <c r="AB107" s="401"/>
      <c r="AC107" s="401"/>
      <c r="AD107" s="157"/>
      <c r="AE107" s="157"/>
      <c r="AF107" s="157"/>
      <c r="AG107" s="157"/>
      <c r="AH107" s="157"/>
      <c r="AI107" s="157"/>
      <c r="AJ107" s="157"/>
      <c r="AK107" s="157"/>
      <c r="AL107" s="157"/>
      <c r="AM107" s="157"/>
      <c r="AN107" s="157"/>
      <c r="AO107" s="157"/>
      <c r="AP107" s="157"/>
      <c r="AQ107" s="157"/>
      <c r="AR107" s="157"/>
      <c r="AS107" s="157"/>
      <c r="AT107" s="157"/>
      <c r="AU107" s="157"/>
      <c r="AV107" s="157"/>
      <c r="AW107" s="157"/>
      <c r="AX107" s="157"/>
      <c r="AY107" s="157"/>
      <c r="AZ107" s="157"/>
      <c r="BA107" s="157"/>
      <c r="BB107" s="157"/>
      <c r="BC107" s="157"/>
      <c r="BD107" s="157"/>
      <c r="BE107" s="157"/>
      <c r="BF107" s="157"/>
      <c r="BG107" s="157"/>
      <c r="BH107" s="157"/>
      <c r="BI107" s="157"/>
    </row>
    <row r="108" spans="5:61" s="257" customFormat="1" hidden="1">
      <c r="E108" s="324"/>
      <c r="F108" s="325"/>
      <c r="G108" s="157"/>
      <c r="H108" s="325"/>
      <c r="I108" s="161"/>
      <c r="J108" s="326"/>
      <c r="L108" s="325"/>
      <c r="M108" s="161"/>
      <c r="N108" s="326"/>
      <c r="P108" s="325"/>
      <c r="Q108" s="326"/>
      <c r="S108" s="325"/>
      <c r="T108" s="326"/>
      <c r="U108" s="160"/>
      <c r="V108" s="160"/>
      <c r="W108" s="160"/>
      <c r="X108" s="741"/>
      <c r="Y108" s="157"/>
      <c r="Z108" s="401"/>
      <c r="AA108" s="401"/>
      <c r="AB108" s="401"/>
      <c r="AC108" s="401"/>
      <c r="AD108" s="157"/>
      <c r="AE108" s="157"/>
      <c r="AF108" s="157"/>
      <c r="AG108" s="157"/>
      <c r="AH108" s="157"/>
      <c r="AI108" s="157"/>
      <c r="AJ108" s="157"/>
      <c r="AK108" s="157"/>
      <c r="AL108" s="157"/>
      <c r="AM108" s="157"/>
      <c r="AN108" s="157"/>
      <c r="AO108" s="157"/>
      <c r="AP108" s="157"/>
      <c r="AQ108" s="157"/>
      <c r="AR108" s="157"/>
      <c r="AS108" s="157"/>
      <c r="AT108" s="157"/>
      <c r="AU108" s="157"/>
      <c r="AV108" s="157"/>
      <c r="AW108" s="157"/>
      <c r="AX108" s="157"/>
      <c r="AY108" s="157"/>
      <c r="AZ108" s="157"/>
      <c r="BA108" s="157"/>
      <c r="BB108" s="157"/>
      <c r="BC108" s="157"/>
      <c r="BD108" s="157"/>
      <c r="BE108" s="157"/>
      <c r="BF108" s="157"/>
      <c r="BG108" s="157"/>
      <c r="BH108" s="157"/>
      <c r="BI108" s="157"/>
    </row>
    <row r="109" spans="5:61" s="257" customFormat="1" hidden="1">
      <c r="E109" s="324"/>
      <c r="F109" s="325"/>
      <c r="G109" s="157"/>
      <c r="H109" s="325"/>
      <c r="I109" s="161"/>
      <c r="J109" s="326"/>
      <c r="L109" s="325"/>
      <c r="M109" s="161"/>
      <c r="N109" s="326"/>
      <c r="P109" s="325"/>
      <c r="Q109" s="326"/>
      <c r="S109" s="325"/>
      <c r="T109" s="326"/>
      <c r="U109" s="160"/>
      <c r="V109" s="160"/>
      <c r="W109" s="160"/>
      <c r="X109" s="741"/>
      <c r="Y109" s="157"/>
      <c r="Z109" s="401"/>
      <c r="AA109" s="401"/>
      <c r="AB109" s="401"/>
      <c r="AC109" s="401"/>
      <c r="AD109" s="157"/>
      <c r="AE109" s="157"/>
      <c r="AF109" s="157"/>
      <c r="AG109" s="157"/>
      <c r="AH109" s="157"/>
      <c r="AI109" s="157"/>
      <c r="AJ109" s="157"/>
      <c r="AK109" s="157"/>
      <c r="AL109" s="157"/>
      <c r="AM109" s="157"/>
      <c r="AN109" s="157"/>
      <c r="AO109" s="157"/>
      <c r="AP109" s="157"/>
      <c r="AQ109" s="157"/>
      <c r="AR109" s="157"/>
      <c r="AS109" s="157"/>
      <c r="AT109" s="157"/>
      <c r="AU109" s="157"/>
      <c r="AV109" s="157"/>
      <c r="AW109" s="157"/>
      <c r="AX109" s="157"/>
      <c r="AY109" s="157"/>
      <c r="AZ109" s="157"/>
      <c r="BA109" s="157"/>
      <c r="BB109" s="157"/>
      <c r="BC109" s="157"/>
      <c r="BD109" s="157"/>
      <c r="BE109" s="157"/>
      <c r="BF109" s="157"/>
      <c r="BG109" s="157"/>
      <c r="BH109" s="157"/>
      <c r="BI109" s="157"/>
    </row>
    <row r="110" spans="5:61" s="257" customFormat="1" hidden="1">
      <c r="E110" s="324"/>
      <c r="F110" s="325"/>
      <c r="G110" s="157"/>
      <c r="H110" s="325"/>
      <c r="I110" s="161"/>
      <c r="J110" s="326"/>
      <c r="L110" s="325"/>
      <c r="M110" s="161"/>
      <c r="N110" s="326"/>
      <c r="P110" s="325"/>
      <c r="Q110" s="326"/>
      <c r="S110" s="325"/>
      <c r="T110" s="326"/>
      <c r="U110" s="160"/>
      <c r="V110" s="160"/>
      <c r="W110" s="160"/>
      <c r="X110" s="741"/>
      <c r="Y110" s="157"/>
      <c r="Z110" s="401"/>
      <c r="AA110" s="401"/>
      <c r="AB110" s="401"/>
      <c r="AC110" s="401"/>
      <c r="AD110" s="157"/>
      <c r="AE110" s="157"/>
      <c r="AF110" s="157"/>
      <c r="AG110" s="157"/>
      <c r="AH110" s="157"/>
      <c r="AI110" s="157"/>
      <c r="AJ110" s="157"/>
      <c r="AK110" s="157"/>
      <c r="AL110" s="157"/>
      <c r="AM110" s="157"/>
      <c r="AN110" s="157"/>
      <c r="AO110" s="157"/>
      <c r="AP110" s="157"/>
      <c r="AQ110" s="157"/>
      <c r="AR110" s="157"/>
      <c r="AS110" s="157"/>
      <c r="AT110" s="157"/>
      <c r="AU110" s="157"/>
      <c r="AV110" s="157"/>
      <c r="AW110" s="157"/>
      <c r="AX110" s="157"/>
      <c r="AY110" s="157"/>
      <c r="AZ110" s="157"/>
      <c r="BA110" s="157"/>
      <c r="BB110" s="157"/>
      <c r="BC110" s="157"/>
      <c r="BD110" s="157"/>
      <c r="BE110" s="157"/>
      <c r="BF110" s="157"/>
      <c r="BG110" s="157"/>
      <c r="BH110" s="157"/>
      <c r="BI110" s="157"/>
    </row>
    <row r="111" spans="5:61" s="257" customFormat="1" hidden="1">
      <c r="E111" s="324"/>
      <c r="F111" s="325"/>
      <c r="G111" s="157"/>
      <c r="H111" s="325"/>
      <c r="I111" s="161"/>
      <c r="J111" s="326"/>
      <c r="L111" s="325"/>
      <c r="M111" s="161"/>
      <c r="N111" s="326"/>
      <c r="P111" s="325"/>
      <c r="Q111" s="326"/>
      <c r="S111" s="325"/>
      <c r="T111" s="326"/>
      <c r="U111" s="160"/>
      <c r="V111" s="160"/>
      <c r="W111" s="160"/>
      <c r="X111" s="741"/>
      <c r="Y111" s="157"/>
      <c r="Z111" s="401"/>
      <c r="AA111" s="401"/>
      <c r="AB111" s="401"/>
      <c r="AC111" s="401"/>
      <c r="AD111" s="157"/>
      <c r="AE111" s="157"/>
      <c r="AF111" s="157"/>
      <c r="AG111" s="157"/>
      <c r="AH111" s="157"/>
      <c r="AI111" s="157"/>
      <c r="AJ111" s="157"/>
      <c r="AK111" s="157"/>
      <c r="AL111" s="157"/>
      <c r="AM111" s="157"/>
      <c r="AN111" s="157"/>
      <c r="AO111" s="157"/>
      <c r="AP111" s="157"/>
      <c r="AQ111" s="157"/>
      <c r="AR111" s="157"/>
      <c r="AS111" s="157"/>
      <c r="AT111" s="157"/>
      <c r="AU111" s="157"/>
      <c r="AV111" s="157"/>
      <c r="AW111" s="157"/>
      <c r="AX111" s="157"/>
      <c r="AY111" s="157"/>
      <c r="AZ111" s="157"/>
      <c r="BA111" s="157"/>
      <c r="BB111" s="157"/>
      <c r="BC111" s="157"/>
      <c r="BD111" s="157"/>
      <c r="BE111" s="157"/>
      <c r="BF111" s="157"/>
      <c r="BG111" s="157"/>
      <c r="BH111" s="157"/>
      <c r="BI111" s="157"/>
    </row>
    <row r="112" spans="5:61" s="257" customFormat="1" hidden="1">
      <c r="E112" s="324"/>
      <c r="F112" s="325"/>
      <c r="G112" s="157"/>
      <c r="H112" s="325"/>
      <c r="I112" s="161"/>
      <c r="J112" s="326"/>
      <c r="L112" s="325"/>
      <c r="M112" s="161"/>
      <c r="N112" s="326"/>
      <c r="P112" s="325"/>
      <c r="Q112" s="326"/>
      <c r="S112" s="325"/>
      <c r="T112" s="326"/>
      <c r="U112" s="160"/>
      <c r="V112" s="160"/>
      <c r="W112" s="160"/>
      <c r="X112" s="741"/>
      <c r="Y112" s="157"/>
      <c r="Z112" s="401"/>
      <c r="AA112" s="401"/>
      <c r="AB112" s="401"/>
      <c r="AC112" s="401"/>
      <c r="AD112" s="157"/>
      <c r="AE112" s="157"/>
      <c r="AF112" s="157"/>
      <c r="AG112" s="157"/>
      <c r="AH112" s="157"/>
      <c r="AI112" s="157"/>
      <c r="AJ112" s="157"/>
      <c r="AK112" s="157"/>
      <c r="AL112" s="157"/>
      <c r="AM112" s="157"/>
      <c r="AN112" s="157"/>
      <c r="AO112" s="157"/>
      <c r="AP112" s="157"/>
      <c r="AQ112" s="157"/>
      <c r="AR112" s="157"/>
      <c r="AS112" s="157"/>
      <c r="AT112" s="157"/>
      <c r="AU112" s="157"/>
      <c r="AV112" s="157"/>
      <c r="AW112" s="157"/>
      <c r="AX112" s="157"/>
      <c r="AY112" s="157"/>
      <c r="AZ112" s="157"/>
      <c r="BA112" s="157"/>
      <c r="BB112" s="157"/>
      <c r="BC112" s="157"/>
      <c r="BD112" s="157"/>
      <c r="BE112" s="157"/>
      <c r="BF112" s="157"/>
      <c r="BG112" s="157"/>
      <c r="BH112" s="157"/>
      <c r="BI112" s="157"/>
    </row>
    <row r="113" spans="5:61" s="257" customFormat="1" hidden="1">
      <c r="E113" s="324"/>
      <c r="F113" s="325"/>
      <c r="G113" s="157"/>
      <c r="H113" s="325"/>
      <c r="I113" s="161"/>
      <c r="J113" s="326"/>
      <c r="L113" s="325"/>
      <c r="M113" s="161"/>
      <c r="N113" s="326"/>
      <c r="P113" s="325"/>
      <c r="Q113" s="326"/>
      <c r="S113" s="325"/>
      <c r="T113" s="326"/>
      <c r="U113" s="160"/>
      <c r="V113" s="160"/>
      <c r="W113" s="160"/>
      <c r="X113" s="741"/>
      <c r="Y113" s="157"/>
      <c r="Z113" s="401"/>
      <c r="AA113" s="401"/>
      <c r="AB113" s="401"/>
      <c r="AC113" s="401"/>
      <c r="AD113" s="157"/>
      <c r="AE113" s="157"/>
      <c r="AF113" s="157"/>
      <c r="AG113" s="157"/>
      <c r="AH113" s="157"/>
      <c r="AI113" s="157"/>
      <c r="AJ113" s="157"/>
      <c r="AK113" s="157"/>
      <c r="AL113" s="157"/>
      <c r="AM113" s="157"/>
      <c r="AN113" s="157"/>
      <c r="AO113" s="157"/>
      <c r="AP113" s="157"/>
      <c r="AQ113" s="157"/>
      <c r="AR113" s="157"/>
      <c r="AS113" s="157"/>
      <c r="AT113" s="157"/>
      <c r="AU113" s="157"/>
      <c r="AV113" s="157"/>
      <c r="AW113" s="157"/>
      <c r="AX113" s="157"/>
      <c r="AY113" s="157"/>
      <c r="AZ113" s="157"/>
      <c r="BA113" s="157"/>
      <c r="BB113" s="157"/>
      <c r="BC113" s="157"/>
      <c r="BD113" s="157"/>
      <c r="BE113" s="157"/>
      <c r="BF113" s="157"/>
      <c r="BG113" s="157"/>
      <c r="BH113" s="157"/>
      <c r="BI113" s="157"/>
    </row>
    <row r="114" spans="5:61" s="257" customFormat="1" hidden="1">
      <c r="E114" s="324"/>
      <c r="F114" s="325"/>
      <c r="G114" s="157"/>
      <c r="H114" s="325"/>
      <c r="I114" s="161"/>
      <c r="J114" s="326"/>
      <c r="L114" s="325"/>
      <c r="M114" s="161"/>
      <c r="N114" s="326"/>
      <c r="P114" s="325"/>
      <c r="Q114" s="326"/>
      <c r="S114" s="325"/>
      <c r="T114" s="326"/>
      <c r="U114" s="160"/>
      <c r="V114" s="160"/>
      <c r="W114" s="160"/>
      <c r="X114" s="741"/>
      <c r="Y114" s="157"/>
      <c r="Z114" s="401"/>
      <c r="AA114" s="401"/>
      <c r="AB114" s="401"/>
      <c r="AC114" s="401"/>
      <c r="AD114" s="157"/>
      <c r="AE114" s="157"/>
      <c r="AF114" s="157"/>
      <c r="AG114" s="157"/>
      <c r="AH114" s="157"/>
      <c r="AI114" s="157"/>
      <c r="AJ114" s="157"/>
      <c r="AK114" s="157"/>
      <c r="AL114" s="157"/>
      <c r="AM114" s="157"/>
      <c r="AN114" s="157"/>
      <c r="AO114" s="157"/>
      <c r="AP114" s="157"/>
      <c r="AQ114" s="157"/>
      <c r="AR114" s="157"/>
      <c r="AS114" s="157"/>
      <c r="AT114" s="157"/>
      <c r="AU114" s="157"/>
      <c r="AV114" s="157"/>
      <c r="AW114" s="157"/>
      <c r="AX114" s="157"/>
      <c r="AY114" s="157"/>
      <c r="AZ114" s="157"/>
      <c r="BA114" s="157"/>
      <c r="BB114" s="157"/>
      <c r="BC114" s="157"/>
      <c r="BD114" s="157"/>
      <c r="BE114" s="157"/>
      <c r="BF114" s="157"/>
      <c r="BG114" s="157"/>
      <c r="BH114" s="157"/>
      <c r="BI114" s="157"/>
    </row>
    <row r="115" spans="5:61" s="257" customFormat="1" hidden="1">
      <c r="E115" s="324"/>
      <c r="F115" s="325"/>
      <c r="G115" s="157"/>
      <c r="H115" s="325"/>
      <c r="I115" s="161"/>
      <c r="J115" s="326"/>
      <c r="L115" s="325"/>
      <c r="M115" s="161"/>
      <c r="N115" s="326"/>
      <c r="P115" s="325"/>
      <c r="Q115" s="326"/>
      <c r="S115" s="325"/>
      <c r="T115" s="326"/>
      <c r="U115" s="160"/>
      <c r="V115" s="160"/>
      <c r="W115" s="160"/>
      <c r="X115" s="741"/>
      <c r="Y115" s="157"/>
      <c r="Z115" s="401"/>
      <c r="AA115" s="401"/>
      <c r="AB115" s="401"/>
      <c r="AC115" s="401"/>
      <c r="AD115" s="157"/>
      <c r="AE115" s="157"/>
      <c r="AF115" s="157"/>
      <c r="AG115" s="157"/>
      <c r="AH115" s="157"/>
      <c r="AI115" s="157"/>
      <c r="AJ115" s="157"/>
      <c r="AK115" s="157"/>
      <c r="AL115" s="157"/>
      <c r="AM115" s="157"/>
      <c r="AN115" s="157"/>
      <c r="AO115" s="157"/>
      <c r="AP115" s="157"/>
      <c r="AQ115" s="157"/>
      <c r="AR115" s="157"/>
      <c r="AS115" s="157"/>
      <c r="AT115" s="157"/>
      <c r="AU115" s="157"/>
      <c r="AV115" s="157"/>
      <c r="AW115" s="157"/>
      <c r="AX115" s="157"/>
      <c r="AY115" s="157"/>
      <c r="AZ115" s="157"/>
      <c r="BA115" s="157"/>
      <c r="BB115" s="157"/>
      <c r="BC115" s="157"/>
      <c r="BD115" s="157"/>
      <c r="BE115" s="157"/>
      <c r="BF115" s="157"/>
      <c r="BG115" s="157"/>
      <c r="BH115" s="157"/>
      <c r="BI115" s="157"/>
    </row>
    <row r="116" spans="5:61" s="257" customFormat="1" hidden="1">
      <c r="E116" s="324"/>
      <c r="F116" s="325"/>
      <c r="G116" s="157"/>
      <c r="H116" s="325"/>
      <c r="I116" s="161"/>
      <c r="J116" s="326"/>
      <c r="L116" s="325"/>
      <c r="M116" s="161"/>
      <c r="N116" s="326"/>
      <c r="P116" s="325"/>
      <c r="Q116" s="326"/>
      <c r="S116" s="325"/>
      <c r="T116" s="326"/>
      <c r="U116" s="160"/>
      <c r="V116" s="160"/>
      <c r="W116" s="160"/>
      <c r="X116" s="741"/>
      <c r="Y116" s="157"/>
      <c r="Z116" s="401"/>
      <c r="AA116" s="401"/>
      <c r="AB116" s="401"/>
      <c r="AC116" s="401"/>
      <c r="AD116" s="157"/>
      <c r="AE116" s="157"/>
      <c r="AF116" s="157"/>
      <c r="AG116" s="157"/>
      <c r="AH116" s="157"/>
      <c r="AI116" s="157"/>
      <c r="AJ116" s="157"/>
      <c r="AK116" s="157"/>
      <c r="AL116" s="157"/>
      <c r="AM116" s="157"/>
      <c r="AN116" s="157"/>
      <c r="AO116" s="157"/>
      <c r="AP116" s="157"/>
      <c r="AQ116" s="157"/>
      <c r="AR116" s="157"/>
      <c r="AS116" s="157"/>
      <c r="AT116" s="157"/>
      <c r="AU116" s="157"/>
      <c r="AV116" s="157"/>
      <c r="AW116" s="157"/>
      <c r="AX116" s="157"/>
      <c r="AY116" s="157"/>
      <c r="AZ116" s="157"/>
      <c r="BA116" s="157"/>
      <c r="BB116" s="157"/>
      <c r="BC116" s="157"/>
      <c r="BD116" s="157"/>
      <c r="BE116" s="157"/>
      <c r="BF116" s="157"/>
      <c r="BG116" s="157"/>
      <c r="BH116" s="157"/>
      <c r="BI116" s="157"/>
    </row>
    <row r="117" spans="5:61" s="257" customFormat="1" hidden="1">
      <c r="E117" s="324"/>
      <c r="F117" s="325"/>
      <c r="G117" s="157"/>
      <c r="H117" s="325"/>
      <c r="I117" s="161"/>
      <c r="J117" s="326"/>
      <c r="L117" s="325"/>
      <c r="M117" s="161"/>
      <c r="N117" s="326"/>
      <c r="P117" s="325"/>
      <c r="Q117" s="326"/>
      <c r="S117" s="325"/>
      <c r="T117" s="326"/>
      <c r="U117" s="160"/>
      <c r="V117" s="160"/>
      <c r="W117" s="160"/>
      <c r="X117" s="741"/>
      <c r="Y117" s="157"/>
      <c r="Z117" s="401"/>
      <c r="AA117" s="401"/>
      <c r="AB117" s="401"/>
      <c r="AC117" s="401"/>
      <c r="AD117" s="157"/>
      <c r="AE117" s="157"/>
      <c r="AF117" s="157"/>
      <c r="AG117" s="157"/>
      <c r="AH117" s="157"/>
      <c r="AI117" s="157"/>
      <c r="AJ117" s="157"/>
      <c r="AK117" s="157"/>
      <c r="AL117" s="157"/>
      <c r="AM117" s="157"/>
      <c r="AN117" s="157"/>
      <c r="AO117" s="157"/>
      <c r="AP117" s="157"/>
      <c r="AQ117" s="157"/>
      <c r="AR117" s="157"/>
      <c r="AS117" s="157"/>
      <c r="AT117" s="157"/>
      <c r="AU117" s="157"/>
      <c r="AV117" s="157"/>
      <c r="AW117" s="157"/>
      <c r="AX117" s="157"/>
      <c r="AY117" s="157"/>
      <c r="AZ117" s="157"/>
      <c r="BA117" s="157"/>
      <c r="BB117" s="157"/>
      <c r="BC117" s="157"/>
      <c r="BD117" s="157"/>
      <c r="BE117" s="157"/>
      <c r="BF117" s="157"/>
      <c r="BG117" s="157"/>
      <c r="BH117" s="157"/>
      <c r="BI117" s="157"/>
    </row>
    <row r="118" spans="5:61" s="257" customFormat="1" hidden="1">
      <c r="E118" s="324"/>
      <c r="F118" s="325"/>
      <c r="G118" s="157"/>
      <c r="H118" s="325"/>
      <c r="I118" s="161"/>
      <c r="J118" s="326"/>
      <c r="L118" s="325"/>
      <c r="M118" s="161"/>
      <c r="N118" s="326"/>
      <c r="P118" s="325"/>
      <c r="Q118" s="326"/>
      <c r="S118" s="325"/>
      <c r="T118" s="326"/>
      <c r="U118" s="160"/>
      <c r="V118" s="160"/>
      <c r="W118" s="160"/>
      <c r="X118" s="741"/>
      <c r="Y118" s="157"/>
      <c r="Z118" s="401"/>
      <c r="AA118" s="401"/>
      <c r="AB118" s="401"/>
      <c r="AC118" s="401"/>
      <c r="AD118" s="157"/>
      <c r="AE118" s="157"/>
      <c r="AF118" s="157"/>
      <c r="AG118" s="157"/>
      <c r="AH118" s="157"/>
      <c r="AI118" s="157"/>
      <c r="AJ118" s="157"/>
      <c r="AK118" s="157"/>
      <c r="AL118" s="157"/>
      <c r="AM118" s="157"/>
      <c r="AN118" s="157"/>
      <c r="AO118" s="157"/>
      <c r="AP118" s="157"/>
      <c r="AQ118" s="157"/>
      <c r="AR118" s="157"/>
      <c r="AS118" s="157"/>
      <c r="AT118" s="157"/>
      <c r="AU118" s="157"/>
      <c r="AV118" s="157"/>
      <c r="AW118" s="157"/>
      <c r="AX118" s="157"/>
      <c r="AY118" s="157"/>
      <c r="AZ118" s="157"/>
      <c r="BA118" s="157"/>
      <c r="BB118" s="157"/>
      <c r="BC118" s="157"/>
      <c r="BD118" s="157"/>
      <c r="BE118" s="157"/>
      <c r="BF118" s="157"/>
      <c r="BG118" s="157"/>
      <c r="BH118" s="157"/>
      <c r="BI118" s="157"/>
    </row>
    <row r="119" spans="5:61" s="257" customFormat="1" hidden="1">
      <c r="E119" s="324"/>
      <c r="F119" s="325"/>
      <c r="G119" s="157"/>
      <c r="H119" s="325"/>
      <c r="I119" s="161"/>
      <c r="J119" s="326"/>
      <c r="L119" s="325"/>
      <c r="M119" s="161"/>
      <c r="N119" s="326"/>
      <c r="P119" s="325"/>
      <c r="Q119" s="326"/>
      <c r="S119" s="325"/>
      <c r="T119" s="326"/>
      <c r="U119" s="160"/>
      <c r="V119" s="160"/>
      <c r="W119" s="160"/>
      <c r="X119" s="741"/>
      <c r="Y119" s="157"/>
      <c r="Z119" s="401"/>
      <c r="AA119" s="401"/>
      <c r="AB119" s="401"/>
      <c r="AC119" s="401"/>
      <c r="AD119" s="157"/>
      <c r="AE119" s="157"/>
      <c r="AF119" s="157"/>
      <c r="AG119" s="157"/>
      <c r="AH119" s="157"/>
      <c r="AI119" s="157"/>
      <c r="AJ119" s="157"/>
      <c r="AK119" s="157"/>
      <c r="AL119" s="157"/>
      <c r="AM119" s="157"/>
      <c r="AN119" s="157"/>
      <c r="AO119" s="157"/>
      <c r="AP119" s="157"/>
      <c r="AQ119" s="157"/>
      <c r="AR119" s="157"/>
      <c r="AS119" s="157"/>
      <c r="AT119" s="157"/>
      <c r="AU119" s="157"/>
      <c r="AV119" s="157"/>
      <c r="AW119" s="157"/>
      <c r="AX119" s="157"/>
      <c r="AY119" s="157"/>
      <c r="AZ119" s="157"/>
      <c r="BA119" s="157"/>
      <c r="BB119" s="157"/>
      <c r="BC119" s="157"/>
      <c r="BD119" s="157"/>
      <c r="BE119" s="157"/>
      <c r="BF119" s="157"/>
      <c r="BG119" s="157"/>
      <c r="BH119" s="157"/>
      <c r="BI119" s="157"/>
    </row>
    <row r="120" spans="5:61" s="257" customFormat="1" hidden="1">
      <c r="E120" s="324"/>
      <c r="F120" s="325"/>
      <c r="G120" s="157"/>
      <c r="H120" s="325"/>
      <c r="I120" s="161"/>
      <c r="J120" s="326"/>
      <c r="L120" s="325"/>
      <c r="M120" s="161"/>
      <c r="N120" s="326"/>
      <c r="P120" s="325"/>
      <c r="Q120" s="326"/>
      <c r="S120" s="325"/>
      <c r="T120" s="326"/>
      <c r="U120" s="160"/>
      <c r="V120" s="160"/>
      <c r="W120" s="160"/>
      <c r="X120" s="741"/>
      <c r="Y120" s="157"/>
      <c r="Z120" s="401"/>
      <c r="AA120" s="401"/>
      <c r="AB120" s="401"/>
      <c r="AC120" s="401"/>
      <c r="AD120" s="157"/>
      <c r="AE120" s="157"/>
      <c r="AF120" s="157"/>
      <c r="AG120" s="157"/>
      <c r="AH120" s="157"/>
      <c r="AI120" s="157"/>
      <c r="AJ120" s="157"/>
      <c r="AK120" s="157"/>
      <c r="AL120" s="157"/>
      <c r="AM120" s="157"/>
      <c r="AN120" s="157"/>
      <c r="AO120" s="157"/>
      <c r="AP120" s="157"/>
      <c r="AQ120" s="157"/>
      <c r="AR120" s="157"/>
      <c r="AS120" s="157"/>
      <c r="AT120" s="157"/>
      <c r="AU120" s="157"/>
      <c r="AV120" s="157"/>
      <c r="AW120" s="157"/>
      <c r="AX120" s="157"/>
      <c r="AY120" s="157"/>
      <c r="AZ120" s="157"/>
      <c r="BA120" s="157"/>
      <c r="BB120" s="157"/>
      <c r="BC120" s="157"/>
      <c r="BD120" s="157"/>
      <c r="BE120" s="157"/>
      <c r="BF120" s="157"/>
      <c r="BG120" s="157"/>
      <c r="BH120" s="157"/>
      <c r="BI120" s="157"/>
    </row>
    <row r="121" spans="5:61" s="257" customFormat="1" hidden="1">
      <c r="E121" s="324"/>
      <c r="F121" s="325"/>
      <c r="G121" s="157"/>
      <c r="H121" s="325"/>
      <c r="I121" s="161"/>
      <c r="J121" s="326"/>
      <c r="L121" s="325"/>
      <c r="M121" s="161"/>
      <c r="N121" s="326"/>
      <c r="P121" s="325"/>
      <c r="Q121" s="326"/>
      <c r="S121" s="325"/>
      <c r="T121" s="326"/>
      <c r="U121" s="160"/>
      <c r="V121" s="160"/>
      <c r="W121" s="160"/>
      <c r="X121" s="741"/>
      <c r="Y121" s="157"/>
      <c r="Z121" s="401"/>
      <c r="AA121" s="401"/>
      <c r="AB121" s="401"/>
      <c r="AC121" s="401"/>
      <c r="AD121" s="157"/>
      <c r="AE121" s="157"/>
      <c r="AF121" s="157"/>
      <c r="AG121" s="157"/>
      <c r="AH121" s="157"/>
      <c r="AI121" s="157"/>
      <c r="AJ121" s="157"/>
      <c r="AK121" s="157"/>
      <c r="AL121" s="157"/>
      <c r="AM121" s="157"/>
      <c r="AN121" s="157"/>
      <c r="AO121" s="157"/>
      <c r="AP121" s="157"/>
      <c r="AQ121" s="157"/>
      <c r="AR121" s="157"/>
      <c r="AS121" s="157"/>
      <c r="AT121" s="157"/>
      <c r="AU121" s="157"/>
      <c r="AV121" s="157"/>
      <c r="AW121" s="157"/>
      <c r="AX121" s="157"/>
      <c r="AY121" s="157"/>
      <c r="AZ121" s="157"/>
      <c r="BA121" s="157"/>
      <c r="BB121" s="157"/>
      <c r="BC121" s="157"/>
      <c r="BD121" s="157"/>
      <c r="BE121" s="157"/>
      <c r="BF121" s="157"/>
      <c r="BG121" s="157"/>
      <c r="BH121" s="157"/>
      <c r="BI121" s="157"/>
    </row>
    <row r="122" spans="5:61" s="257" customFormat="1" hidden="1">
      <c r="E122" s="324"/>
      <c r="F122" s="325"/>
      <c r="G122" s="157"/>
      <c r="H122" s="325"/>
      <c r="I122" s="161"/>
      <c r="J122" s="326"/>
      <c r="L122" s="325"/>
      <c r="M122" s="161"/>
      <c r="N122" s="326"/>
      <c r="P122" s="325"/>
      <c r="Q122" s="326"/>
      <c r="S122" s="325"/>
      <c r="T122" s="326"/>
      <c r="U122" s="160"/>
      <c r="V122" s="160"/>
      <c r="W122" s="160"/>
      <c r="X122" s="741"/>
      <c r="Y122" s="157"/>
      <c r="Z122" s="401"/>
      <c r="AA122" s="401"/>
      <c r="AB122" s="401"/>
      <c r="AC122" s="401"/>
      <c r="AD122" s="157"/>
      <c r="AE122" s="157"/>
      <c r="AF122" s="157"/>
      <c r="AG122" s="157"/>
      <c r="AH122" s="157"/>
      <c r="AI122" s="157"/>
      <c r="AJ122" s="157"/>
      <c r="AK122" s="157"/>
      <c r="AL122" s="157"/>
      <c r="AM122" s="157"/>
      <c r="AN122" s="157"/>
      <c r="AO122" s="157"/>
      <c r="AP122" s="157"/>
      <c r="AQ122" s="157"/>
      <c r="AR122" s="157"/>
      <c r="AS122" s="157"/>
      <c r="AT122" s="157"/>
      <c r="AU122" s="157"/>
      <c r="AV122" s="157"/>
      <c r="AW122" s="157"/>
      <c r="AX122" s="157"/>
      <c r="AY122" s="157"/>
      <c r="AZ122" s="157"/>
      <c r="BA122" s="157"/>
      <c r="BB122" s="157"/>
      <c r="BC122" s="157"/>
      <c r="BD122" s="157"/>
      <c r="BE122" s="157"/>
      <c r="BF122" s="157"/>
      <c r="BG122" s="157"/>
      <c r="BH122" s="157"/>
      <c r="BI122" s="157"/>
    </row>
    <row r="123" spans="5:61" s="257" customFormat="1" hidden="1">
      <c r="E123" s="324"/>
      <c r="F123" s="325"/>
      <c r="G123" s="157"/>
      <c r="H123" s="325"/>
      <c r="I123" s="161"/>
      <c r="J123" s="326"/>
      <c r="L123" s="325"/>
      <c r="M123" s="161"/>
      <c r="N123" s="326"/>
      <c r="P123" s="325"/>
      <c r="Q123" s="326"/>
      <c r="S123" s="325"/>
      <c r="T123" s="326"/>
      <c r="U123" s="160"/>
      <c r="V123" s="160"/>
      <c r="W123" s="160"/>
      <c r="X123" s="741"/>
      <c r="Y123" s="157"/>
      <c r="Z123" s="401"/>
      <c r="AA123" s="401"/>
      <c r="AB123" s="401"/>
      <c r="AC123" s="401"/>
      <c r="AD123" s="157"/>
      <c r="AE123" s="157"/>
      <c r="AF123" s="157"/>
      <c r="AG123" s="157"/>
      <c r="AH123" s="157"/>
      <c r="AI123" s="157"/>
      <c r="AJ123" s="157"/>
      <c r="AK123" s="157"/>
      <c r="AL123" s="157"/>
      <c r="AM123" s="157"/>
      <c r="AN123" s="157"/>
      <c r="AO123" s="157"/>
      <c r="AP123" s="157"/>
      <c r="AQ123" s="157"/>
      <c r="AR123" s="157"/>
      <c r="AS123" s="157"/>
      <c r="AT123" s="157"/>
      <c r="AU123" s="157"/>
      <c r="AV123" s="157"/>
      <c r="AW123" s="157"/>
      <c r="AX123" s="157"/>
      <c r="AY123" s="157"/>
      <c r="AZ123" s="157"/>
      <c r="BA123" s="157"/>
      <c r="BB123" s="157"/>
      <c r="BC123" s="157"/>
      <c r="BD123" s="157"/>
      <c r="BE123" s="157"/>
      <c r="BF123" s="157"/>
      <c r="BG123" s="157"/>
      <c r="BH123" s="157"/>
      <c r="BI123" s="157"/>
    </row>
    <row r="124" spans="5:61" s="257" customFormat="1" hidden="1">
      <c r="E124" s="324"/>
      <c r="F124" s="325"/>
      <c r="G124" s="157"/>
      <c r="H124" s="325"/>
      <c r="I124" s="161"/>
      <c r="J124" s="326"/>
      <c r="L124" s="325"/>
      <c r="M124" s="161"/>
      <c r="N124" s="326"/>
      <c r="P124" s="325"/>
      <c r="Q124" s="326"/>
      <c r="S124" s="325"/>
      <c r="T124" s="326"/>
      <c r="U124" s="160"/>
      <c r="V124" s="160"/>
      <c r="W124" s="160"/>
      <c r="X124" s="741"/>
      <c r="Y124" s="157"/>
      <c r="Z124" s="401"/>
      <c r="AA124" s="401"/>
      <c r="AB124" s="401"/>
      <c r="AC124" s="401"/>
      <c r="AD124" s="157"/>
      <c r="AE124" s="157"/>
      <c r="AF124" s="157"/>
      <c r="AG124" s="157"/>
      <c r="AH124" s="157"/>
      <c r="AI124" s="157"/>
      <c r="AJ124" s="157"/>
      <c r="AK124" s="157"/>
      <c r="AL124" s="157"/>
      <c r="AM124" s="157"/>
      <c r="AN124" s="157"/>
      <c r="AO124" s="157"/>
      <c r="AP124" s="157"/>
      <c r="AQ124" s="157"/>
      <c r="AR124" s="157"/>
      <c r="AS124" s="157"/>
      <c r="AT124" s="157"/>
      <c r="AU124" s="157"/>
      <c r="AV124" s="157"/>
      <c r="AW124" s="157"/>
      <c r="AX124" s="157"/>
      <c r="AY124" s="157"/>
      <c r="AZ124" s="157"/>
      <c r="BA124" s="157"/>
      <c r="BB124" s="157"/>
      <c r="BC124" s="157"/>
      <c r="BD124" s="157"/>
      <c r="BE124" s="157"/>
      <c r="BF124" s="157"/>
      <c r="BG124" s="157"/>
      <c r="BH124" s="157"/>
      <c r="BI124" s="157"/>
    </row>
    <row r="125" spans="5:61" s="257" customFormat="1" hidden="1">
      <c r="E125" s="324"/>
      <c r="F125" s="325"/>
      <c r="G125" s="157"/>
      <c r="H125" s="325"/>
      <c r="I125" s="161"/>
      <c r="J125" s="326"/>
      <c r="L125" s="325"/>
      <c r="M125" s="161"/>
      <c r="N125" s="326"/>
      <c r="P125" s="325"/>
      <c r="Q125" s="326"/>
      <c r="S125" s="325"/>
      <c r="T125" s="326"/>
      <c r="U125" s="160"/>
      <c r="V125" s="160"/>
      <c r="W125" s="160"/>
      <c r="X125" s="741"/>
      <c r="Y125" s="157"/>
      <c r="Z125" s="401"/>
      <c r="AA125" s="401"/>
      <c r="AB125" s="401"/>
      <c r="AC125" s="401"/>
      <c r="AD125" s="157"/>
      <c r="AE125" s="157"/>
      <c r="AF125" s="157"/>
      <c r="AG125" s="157"/>
      <c r="AH125" s="157"/>
      <c r="AI125" s="157"/>
      <c r="AJ125" s="157"/>
      <c r="AK125" s="157"/>
      <c r="AL125" s="157"/>
      <c r="AM125" s="157"/>
      <c r="AN125" s="157"/>
      <c r="AO125" s="157"/>
      <c r="AP125" s="157"/>
      <c r="AQ125" s="157"/>
      <c r="AR125" s="157"/>
      <c r="AS125" s="157"/>
      <c r="AT125" s="157"/>
      <c r="AU125" s="157"/>
      <c r="AV125" s="157"/>
      <c r="AW125" s="157"/>
      <c r="AX125" s="157"/>
      <c r="AY125" s="157"/>
      <c r="AZ125" s="157"/>
      <c r="BA125" s="157"/>
      <c r="BB125" s="157"/>
      <c r="BC125" s="157"/>
      <c r="BD125" s="157"/>
      <c r="BE125" s="157"/>
      <c r="BF125" s="157"/>
      <c r="BG125" s="157"/>
      <c r="BH125" s="157"/>
      <c r="BI125" s="157"/>
    </row>
    <row r="126" spans="5:61" s="257" customFormat="1" hidden="1">
      <c r="E126" s="324"/>
      <c r="F126" s="325"/>
      <c r="G126" s="157"/>
      <c r="H126" s="325"/>
      <c r="I126" s="161"/>
      <c r="J126" s="326"/>
      <c r="L126" s="325"/>
      <c r="M126" s="161"/>
      <c r="N126" s="326"/>
      <c r="P126" s="325"/>
      <c r="Q126" s="326"/>
      <c r="S126" s="325"/>
      <c r="T126" s="326"/>
      <c r="U126" s="160"/>
      <c r="V126" s="160"/>
      <c r="W126" s="160"/>
      <c r="X126" s="741"/>
      <c r="Y126" s="157"/>
      <c r="Z126" s="401"/>
      <c r="AA126" s="401"/>
      <c r="AB126" s="401"/>
      <c r="AC126" s="401"/>
      <c r="AD126" s="157"/>
      <c r="AE126" s="157"/>
      <c r="AF126" s="157"/>
      <c r="AG126" s="157"/>
      <c r="AH126" s="157"/>
      <c r="AI126" s="157"/>
      <c r="AJ126" s="157"/>
      <c r="AK126" s="157"/>
      <c r="AL126" s="157"/>
      <c r="AM126" s="157"/>
      <c r="AN126" s="157"/>
      <c r="AO126" s="157"/>
      <c r="AP126" s="157"/>
      <c r="AQ126" s="157"/>
      <c r="AR126" s="157"/>
      <c r="AS126" s="157"/>
      <c r="AT126" s="157"/>
      <c r="AU126" s="157"/>
      <c r="AV126" s="157"/>
      <c r="AW126" s="157"/>
      <c r="AX126" s="157"/>
      <c r="AY126" s="157"/>
      <c r="AZ126" s="157"/>
      <c r="BA126" s="157"/>
      <c r="BB126" s="157"/>
      <c r="BC126" s="157"/>
      <c r="BD126" s="157"/>
      <c r="BE126" s="157"/>
      <c r="BF126" s="157"/>
      <c r="BG126" s="157"/>
      <c r="BH126" s="157"/>
      <c r="BI126" s="157"/>
    </row>
    <row r="127" spans="5:61" s="257" customFormat="1" hidden="1">
      <c r="E127" s="324"/>
      <c r="F127" s="325"/>
      <c r="G127" s="157"/>
      <c r="H127" s="325"/>
      <c r="I127" s="161"/>
      <c r="J127" s="326"/>
      <c r="L127" s="325"/>
      <c r="M127" s="161"/>
      <c r="N127" s="326"/>
      <c r="P127" s="325"/>
      <c r="Q127" s="326"/>
      <c r="S127" s="325"/>
      <c r="T127" s="326"/>
      <c r="U127" s="160"/>
      <c r="V127" s="160"/>
      <c r="W127" s="160"/>
      <c r="X127" s="741"/>
      <c r="Y127" s="157"/>
      <c r="Z127" s="401"/>
      <c r="AA127" s="401"/>
      <c r="AB127" s="401"/>
      <c r="AC127" s="401"/>
      <c r="AD127" s="157"/>
      <c r="AE127" s="157"/>
      <c r="AF127" s="157"/>
      <c r="AG127" s="157"/>
      <c r="AH127" s="157"/>
      <c r="AI127" s="157"/>
      <c r="AJ127" s="157"/>
      <c r="AK127" s="157"/>
      <c r="AL127" s="157"/>
      <c r="AM127" s="157"/>
      <c r="AN127" s="157"/>
      <c r="AO127" s="157"/>
      <c r="AP127" s="157"/>
      <c r="AQ127" s="157"/>
      <c r="AR127" s="157"/>
      <c r="AS127" s="157"/>
      <c r="AT127" s="157"/>
      <c r="AU127" s="157"/>
      <c r="AV127" s="157"/>
      <c r="AW127" s="157"/>
      <c r="AX127" s="157"/>
      <c r="AY127" s="157"/>
      <c r="AZ127" s="157"/>
      <c r="BA127" s="157"/>
      <c r="BB127" s="157"/>
      <c r="BC127" s="157"/>
      <c r="BD127" s="157"/>
      <c r="BE127" s="157"/>
      <c r="BF127" s="157"/>
      <c r="BG127" s="157"/>
      <c r="BH127" s="157"/>
      <c r="BI127" s="157"/>
    </row>
    <row r="128" spans="5:61" s="257" customFormat="1" hidden="1">
      <c r="E128" s="324"/>
      <c r="F128" s="325"/>
      <c r="G128" s="157"/>
      <c r="H128" s="325"/>
      <c r="I128" s="161"/>
      <c r="J128" s="326"/>
      <c r="L128" s="325"/>
      <c r="M128" s="161"/>
      <c r="N128" s="326"/>
      <c r="P128" s="325"/>
      <c r="Q128" s="326"/>
      <c r="S128" s="325"/>
      <c r="T128" s="326"/>
      <c r="U128" s="160"/>
      <c r="V128" s="160"/>
      <c r="W128" s="160"/>
      <c r="X128" s="741"/>
      <c r="Y128" s="157"/>
      <c r="Z128" s="401"/>
      <c r="AA128" s="401"/>
      <c r="AB128" s="401"/>
      <c r="AC128" s="401"/>
      <c r="AD128" s="157"/>
      <c r="AE128" s="157"/>
      <c r="AF128" s="157"/>
      <c r="AG128" s="157"/>
      <c r="AH128" s="157"/>
      <c r="AI128" s="157"/>
      <c r="AJ128" s="157"/>
      <c r="AK128" s="157"/>
      <c r="AL128" s="157"/>
      <c r="AM128" s="157"/>
      <c r="AN128" s="157"/>
      <c r="AO128" s="157"/>
      <c r="AP128" s="157"/>
      <c r="AQ128" s="157"/>
      <c r="AR128" s="157"/>
      <c r="AS128" s="157"/>
      <c r="AT128" s="157"/>
      <c r="AU128" s="157"/>
      <c r="AV128" s="157"/>
      <c r="AW128" s="157"/>
      <c r="AX128" s="157"/>
      <c r="AY128" s="157"/>
      <c r="AZ128" s="157"/>
      <c r="BA128" s="157"/>
      <c r="BB128" s="157"/>
      <c r="BC128" s="157"/>
      <c r="BD128" s="157"/>
      <c r="BE128" s="157"/>
      <c r="BF128" s="157"/>
      <c r="BG128" s="157"/>
      <c r="BH128" s="157"/>
      <c r="BI128" s="157"/>
    </row>
    <row r="129" spans="5:61" s="257" customFormat="1" hidden="1">
      <c r="E129" s="324"/>
      <c r="F129" s="325"/>
      <c r="G129" s="157"/>
      <c r="H129" s="325"/>
      <c r="I129" s="161"/>
      <c r="J129" s="326"/>
      <c r="L129" s="325"/>
      <c r="M129" s="161"/>
      <c r="N129" s="326"/>
      <c r="P129" s="325"/>
      <c r="Q129" s="326"/>
      <c r="S129" s="325"/>
      <c r="T129" s="326"/>
      <c r="U129" s="160"/>
      <c r="V129" s="160"/>
      <c r="W129" s="160"/>
      <c r="X129" s="741"/>
      <c r="Y129" s="157"/>
      <c r="Z129" s="401"/>
      <c r="AA129" s="401"/>
      <c r="AB129" s="401"/>
      <c r="AC129" s="401"/>
      <c r="AD129" s="157"/>
      <c r="AE129" s="157"/>
      <c r="AF129" s="157"/>
      <c r="AG129" s="157"/>
      <c r="AH129" s="157"/>
      <c r="AI129" s="157"/>
      <c r="AJ129" s="157"/>
      <c r="AK129" s="157"/>
      <c r="AL129" s="157"/>
      <c r="AM129" s="157"/>
      <c r="AN129" s="157"/>
      <c r="AO129" s="157"/>
      <c r="AP129" s="157"/>
      <c r="AQ129" s="157"/>
      <c r="AR129" s="157"/>
      <c r="AS129" s="157"/>
      <c r="AT129" s="157"/>
      <c r="AU129" s="157"/>
      <c r="AV129" s="157"/>
      <c r="AW129" s="157"/>
      <c r="AX129" s="157"/>
      <c r="AY129" s="157"/>
      <c r="AZ129" s="157"/>
      <c r="BA129" s="157"/>
      <c r="BB129" s="157"/>
      <c r="BC129" s="157"/>
      <c r="BD129" s="157"/>
      <c r="BE129" s="157"/>
      <c r="BF129" s="157"/>
      <c r="BG129" s="157"/>
      <c r="BH129" s="157"/>
      <c r="BI129" s="157"/>
    </row>
    <row r="130" spans="5:61" s="257" customFormat="1" hidden="1">
      <c r="E130" s="324"/>
      <c r="F130" s="325"/>
      <c r="G130" s="157"/>
      <c r="H130" s="325"/>
      <c r="I130" s="161"/>
      <c r="J130" s="326"/>
      <c r="L130" s="325"/>
      <c r="M130" s="161"/>
      <c r="N130" s="326"/>
      <c r="P130" s="325"/>
      <c r="Q130" s="326"/>
      <c r="S130" s="325"/>
      <c r="T130" s="326"/>
      <c r="U130" s="160"/>
      <c r="V130" s="160"/>
      <c r="W130" s="160"/>
      <c r="X130" s="741"/>
      <c r="Y130" s="157"/>
      <c r="Z130" s="401"/>
      <c r="AA130" s="401"/>
      <c r="AB130" s="401"/>
      <c r="AC130" s="401"/>
      <c r="AD130" s="157"/>
      <c r="AE130" s="157"/>
      <c r="AF130" s="157"/>
      <c r="AG130" s="157"/>
      <c r="AH130" s="157"/>
      <c r="AI130" s="157"/>
      <c r="AJ130" s="157"/>
      <c r="AK130" s="157"/>
      <c r="AL130" s="157"/>
      <c r="AM130" s="157"/>
      <c r="AN130" s="157"/>
      <c r="AO130" s="157"/>
      <c r="AP130" s="157"/>
      <c r="AQ130" s="157"/>
      <c r="AR130" s="157"/>
      <c r="AS130" s="157"/>
      <c r="AT130" s="157"/>
      <c r="AU130" s="157"/>
      <c r="AV130" s="157"/>
      <c r="AW130" s="157"/>
      <c r="AX130" s="157"/>
      <c r="AY130" s="157"/>
      <c r="AZ130" s="157"/>
      <c r="BA130" s="157"/>
      <c r="BB130" s="157"/>
      <c r="BC130" s="157"/>
      <c r="BD130" s="157"/>
      <c r="BE130" s="157"/>
      <c r="BF130" s="157"/>
      <c r="BG130" s="157"/>
      <c r="BH130" s="157"/>
      <c r="BI130" s="157"/>
    </row>
    <row r="131" spans="5:61" s="257" customFormat="1" hidden="1">
      <c r="E131" s="324"/>
      <c r="F131" s="325"/>
      <c r="G131" s="157"/>
      <c r="H131" s="325"/>
      <c r="I131" s="161"/>
      <c r="J131" s="326"/>
      <c r="L131" s="325"/>
      <c r="M131" s="161"/>
      <c r="N131" s="326"/>
      <c r="P131" s="325"/>
      <c r="Q131" s="326"/>
      <c r="S131" s="325"/>
      <c r="T131" s="326"/>
      <c r="U131" s="160"/>
      <c r="V131" s="160"/>
      <c r="W131" s="160"/>
      <c r="X131" s="741"/>
      <c r="Y131" s="157"/>
      <c r="Z131" s="401"/>
      <c r="AA131" s="401"/>
      <c r="AB131" s="401"/>
      <c r="AC131" s="401"/>
      <c r="AD131" s="157"/>
      <c r="AE131" s="157"/>
      <c r="AF131" s="157"/>
      <c r="AG131" s="157"/>
      <c r="AH131" s="157"/>
      <c r="AI131" s="157"/>
      <c r="AJ131" s="157"/>
      <c r="AK131" s="157"/>
      <c r="AL131" s="157"/>
      <c r="AM131" s="157"/>
      <c r="AN131" s="157"/>
      <c r="AO131" s="157"/>
      <c r="AP131" s="157"/>
      <c r="AQ131" s="157"/>
      <c r="AR131" s="157"/>
      <c r="AS131" s="157"/>
      <c r="AT131" s="157"/>
      <c r="AU131" s="157"/>
      <c r="AV131" s="157"/>
      <c r="AW131" s="157"/>
      <c r="AX131" s="157"/>
      <c r="AY131" s="157"/>
      <c r="AZ131" s="157"/>
      <c r="BA131" s="157"/>
      <c r="BB131" s="157"/>
      <c r="BC131" s="157"/>
      <c r="BD131" s="157"/>
      <c r="BE131" s="157"/>
      <c r="BF131" s="157"/>
      <c r="BG131" s="157"/>
      <c r="BH131" s="157"/>
      <c r="BI131" s="157"/>
    </row>
    <row r="132" spans="5:61" s="257" customFormat="1" hidden="1">
      <c r="E132" s="324"/>
      <c r="F132" s="325"/>
      <c r="G132" s="157"/>
      <c r="H132" s="325"/>
      <c r="I132" s="161"/>
      <c r="J132" s="326"/>
      <c r="L132" s="325"/>
      <c r="M132" s="161"/>
      <c r="N132" s="326"/>
      <c r="P132" s="325"/>
      <c r="Q132" s="326"/>
      <c r="S132" s="325"/>
      <c r="T132" s="326"/>
      <c r="U132" s="160"/>
      <c r="V132" s="160"/>
      <c r="W132" s="160"/>
      <c r="X132" s="741"/>
      <c r="Y132" s="157"/>
      <c r="Z132" s="401"/>
      <c r="AA132" s="401"/>
      <c r="AB132" s="401"/>
      <c r="AC132" s="401"/>
      <c r="AD132" s="157"/>
      <c r="AE132" s="157"/>
      <c r="AF132" s="157"/>
      <c r="AG132" s="157"/>
      <c r="AH132" s="157"/>
      <c r="AI132" s="157"/>
      <c r="AJ132" s="157"/>
      <c r="AK132" s="157"/>
      <c r="AL132" s="157"/>
      <c r="AM132" s="157"/>
      <c r="AN132" s="157"/>
      <c r="AO132" s="157"/>
      <c r="AP132" s="157"/>
      <c r="AQ132" s="157"/>
      <c r="AR132" s="157"/>
      <c r="AS132" s="157"/>
      <c r="AT132" s="157"/>
      <c r="AU132" s="157"/>
      <c r="AV132" s="157"/>
      <c r="AW132" s="157"/>
      <c r="AX132" s="157"/>
      <c r="AY132" s="157"/>
      <c r="AZ132" s="157"/>
      <c r="BA132" s="157"/>
      <c r="BB132" s="157"/>
      <c r="BC132" s="157"/>
      <c r="BD132" s="157"/>
      <c r="BE132" s="157"/>
      <c r="BF132" s="157"/>
      <c r="BG132" s="157"/>
      <c r="BH132" s="157"/>
      <c r="BI132" s="157"/>
    </row>
    <row r="133" spans="5:61" s="257" customFormat="1" hidden="1">
      <c r="E133" s="324"/>
      <c r="F133" s="325"/>
      <c r="G133" s="157"/>
      <c r="H133" s="325"/>
      <c r="I133" s="161"/>
      <c r="J133" s="326"/>
      <c r="L133" s="325"/>
      <c r="M133" s="161"/>
      <c r="N133" s="326"/>
      <c r="P133" s="325"/>
      <c r="Q133" s="326"/>
      <c r="S133" s="325"/>
      <c r="T133" s="326"/>
      <c r="U133" s="160"/>
      <c r="V133" s="160"/>
      <c r="W133" s="160"/>
      <c r="X133" s="741"/>
      <c r="Y133" s="157"/>
      <c r="Z133" s="401"/>
      <c r="AA133" s="401"/>
      <c r="AB133" s="401"/>
      <c r="AC133" s="401"/>
      <c r="AD133" s="157"/>
      <c r="AE133" s="157"/>
      <c r="AF133" s="157"/>
      <c r="AG133" s="157"/>
      <c r="AH133" s="157"/>
      <c r="AI133" s="157"/>
      <c r="AJ133" s="157"/>
      <c r="AK133" s="157"/>
      <c r="AL133" s="157"/>
      <c r="AM133" s="157"/>
      <c r="AN133" s="157"/>
      <c r="AO133" s="157"/>
      <c r="AP133" s="157"/>
      <c r="AQ133" s="157"/>
      <c r="AR133" s="157"/>
      <c r="AS133" s="157"/>
      <c r="AT133" s="157"/>
      <c r="AU133" s="157"/>
      <c r="AV133" s="157"/>
      <c r="AW133" s="157"/>
      <c r="AX133" s="157"/>
      <c r="AY133" s="157"/>
      <c r="AZ133" s="157"/>
      <c r="BA133" s="157"/>
      <c r="BB133" s="157"/>
      <c r="BC133" s="157"/>
      <c r="BD133" s="157"/>
      <c r="BE133" s="157"/>
      <c r="BF133" s="157"/>
      <c r="BG133" s="157"/>
      <c r="BH133" s="157"/>
      <c r="BI133" s="157"/>
    </row>
    <row r="134" spans="5:61" s="257" customFormat="1" hidden="1">
      <c r="E134" s="324"/>
      <c r="F134" s="325"/>
      <c r="G134" s="157"/>
      <c r="H134" s="325"/>
      <c r="I134" s="161"/>
      <c r="J134" s="326"/>
      <c r="L134" s="325"/>
      <c r="M134" s="161"/>
      <c r="N134" s="326"/>
      <c r="P134" s="325"/>
      <c r="Q134" s="326"/>
      <c r="S134" s="325"/>
      <c r="T134" s="326"/>
      <c r="U134" s="160"/>
      <c r="V134" s="160"/>
      <c r="W134" s="160"/>
      <c r="X134" s="741"/>
      <c r="Y134" s="157"/>
      <c r="Z134" s="401"/>
      <c r="AA134" s="401"/>
      <c r="AB134" s="401"/>
      <c r="AC134" s="401"/>
      <c r="AD134" s="157"/>
      <c r="AE134" s="157"/>
      <c r="AF134" s="157"/>
      <c r="AG134" s="157"/>
      <c r="AH134" s="157"/>
      <c r="AI134" s="157"/>
      <c r="AJ134" s="157"/>
      <c r="AK134" s="157"/>
      <c r="AL134" s="157"/>
      <c r="AM134" s="157"/>
      <c r="AN134" s="157"/>
      <c r="AO134" s="157"/>
      <c r="AP134" s="157"/>
      <c r="AQ134" s="157"/>
      <c r="AR134" s="157"/>
      <c r="AS134" s="157"/>
      <c r="AT134" s="157"/>
      <c r="AU134" s="157"/>
      <c r="AV134" s="157"/>
      <c r="AW134" s="157"/>
      <c r="AX134" s="157"/>
      <c r="AY134" s="157"/>
      <c r="AZ134" s="157"/>
      <c r="BA134" s="157"/>
      <c r="BB134" s="157"/>
      <c r="BC134" s="157"/>
      <c r="BD134" s="157"/>
      <c r="BE134" s="157"/>
      <c r="BF134" s="157"/>
      <c r="BG134" s="157"/>
      <c r="BH134" s="157"/>
      <c r="BI134" s="157"/>
    </row>
    <row r="135" spans="5:61" s="257" customFormat="1" hidden="1">
      <c r="E135" s="324"/>
      <c r="F135" s="325"/>
      <c r="G135" s="157"/>
      <c r="H135" s="325"/>
      <c r="I135" s="161"/>
      <c r="J135" s="326"/>
      <c r="L135" s="325"/>
      <c r="M135" s="161"/>
      <c r="N135" s="326"/>
      <c r="P135" s="325"/>
      <c r="Q135" s="326"/>
      <c r="S135" s="325"/>
      <c r="T135" s="326"/>
      <c r="U135" s="160"/>
      <c r="V135" s="160"/>
      <c r="W135" s="160"/>
      <c r="X135" s="741"/>
      <c r="Y135" s="157"/>
      <c r="Z135" s="401"/>
      <c r="AA135" s="401"/>
      <c r="AB135" s="401"/>
      <c r="AC135" s="401"/>
      <c r="AD135" s="157"/>
      <c r="AE135" s="157"/>
      <c r="AF135" s="157"/>
      <c r="AG135" s="157"/>
      <c r="AH135" s="157"/>
      <c r="AI135" s="157"/>
      <c r="AJ135" s="157"/>
      <c r="AK135" s="157"/>
      <c r="AL135" s="157"/>
      <c r="AM135" s="157"/>
      <c r="AN135" s="157"/>
      <c r="AO135" s="157"/>
      <c r="AP135" s="157"/>
      <c r="AQ135" s="157"/>
      <c r="AR135" s="157"/>
      <c r="AS135" s="157"/>
      <c r="AT135" s="157"/>
      <c r="AU135" s="157"/>
      <c r="AV135" s="157"/>
      <c r="AW135" s="157"/>
      <c r="AX135" s="157"/>
      <c r="AY135" s="157"/>
      <c r="AZ135" s="157"/>
      <c r="BA135" s="157"/>
      <c r="BB135" s="157"/>
      <c r="BC135" s="157"/>
      <c r="BD135" s="157"/>
      <c r="BE135" s="157"/>
      <c r="BF135" s="157"/>
      <c r="BG135" s="157"/>
      <c r="BH135" s="157"/>
      <c r="BI135" s="157"/>
    </row>
  </sheetData>
  <mergeCells count="4">
    <mergeCell ref="H7:J7"/>
    <mergeCell ref="L7:N7"/>
    <mergeCell ref="P7:Q7"/>
    <mergeCell ref="S7:T7"/>
  </mergeCells>
  <conditionalFormatting sqref="E10:X59">
    <cfRule type="expression" dxfId="80" priority="1">
      <formula>$B10=3</formula>
    </cfRule>
  </conditionalFormatting>
  <pageMargins left="0.55118110236220474" right="0.55118110236220474" top="0.59055118110236227" bottom="0.78740157480314965" header="0.51181102362204722" footer="0.51181102362204722"/>
  <pageSetup paperSize="9" scale="37" orientation="landscape" horizontalDpi="1200" verticalDpi="1200" r:id="rId1"/>
  <headerFooter alignWithMargins="0">
    <oddHeader>&amp;RResultados del Modelo de Reciclaje Inclusivo</oddHeader>
  </headerFooter>
  <drawing r:id="rId2"/>
  <legacyDrawing r:id="rId3"/>
</worksheet>
</file>

<file path=xl/worksheets/sheet15.xml><?xml version="1.0" encoding="utf-8"?>
<worksheet xmlns="http://schemas.openxmlformats.org/spreadsheetml/2006/main" xmlns:r="http://schemas.openxmlformats.org/officeDocument/2006/relationships">
  <sheetPr codeName="Sheet30">
    <pageSetUpPr fitToPage="1"/>
  </sheetPr>
  <dimension ref="A1:BB88"/>
  <sheetViews>
    <sheetView showGridLines="0" showRowColHeaders="0" zoomScale="80" zoomScaleNormal="80" workbookViewId="0">
      <pane ySplit="3" topLeftCell="A4" activePane="bottomLeft" state="frozen"/>
      <selection pane="bottomLeft"/>
    </sheetView>
  </sheetViews>
  <sheetFormatPr defaultRowHeight="15" zeroHeight="1"/>
  <cols>
    <col min="1" max="1" width="2.7109375" style="82" customWidth="1"/>
    <col min="2" max="2" width="18" style="78" customWidth="1"/>
    <col min="3" max="3" width="12.140625" style="78" customWidth="1"/>
    <col min="4" max="4" width="7.42578125" style="82" customWidth="1"/>
    <col min="5" max="5" width="18" style="78" customWidth="1"/>
    <col min="6" max="6" width="12.140625" style="78" customWidth="1"/>
    <col min="7" max="7" width="7.42578125" style="82" customWidth="1"/>
    <col min="8" max="8" width="18" style="78" customWidth="1"/>
    <col min="9" max="9" width="12.140625" style="78" customWidth="1"/>
    <col min="10" max="10" width="7.42578125" style="82" customWidth="1"/>
    <col min="11" max="11" width="18" style="78" customWidth="1"/>
    <col min="12" max="12" width="12.140625" style="78" customWidth="1"/>
    <col min="13" max="13" width="9.140625" style="78"/>
    <col min="14" max="18" width="2.5703125" style="78" customWidth="1"/>
    <col min="19" max="19" width="7.5703125" style="78" customWidth="1"/>
    <col min="20" max="20" width="6.42578125" style="78" customWidth="1"/>
    <col min="21" max="23" width="9.140625" style="78"/>
    <col min="24" max="24" width="2" style="78" customWidth="1"/>
    <col min="25" max="25" width="7.42578125" style="78" customWidth="1"/>
    <col min="26" max="26" width="4.42578125" style="290" customWidth="1"/>
    <col min="27" max="27" width="6.140625" style="78" customWidth="1"/>
    <col min="28" max="16384" width="9.140625" style="78"/>
  </cols>
  <sheetData>
    <row r="1" spans="1:54"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BA1" s="329">
        <v>1</v>
      </c>
      <c r="BB1" s="329">
        <v>0</v>
      </c>
    </row>
    <row r="2" spans="1:54" s="213" customFormat="1" ht="30" customHeight="1">
      <c r="A2" s="211"/>
      <c r="B2" s="212"/>
      <c r="C2" s="212"/>
      <c r="D2" s="212"/>
      <c r="E2" s="212"/>
      <c r="F2" s="212"/>
      <c r="G2" s="212"/>
      <c r="H2" s="212"/>
      <c r="I2" s="212"/>
      <c r="J2" s="212"/>
      <c r="K2" s="212"/>
      <c r="L2" s="212"/>
      <c r="P2" s="212"/>
      <c r="R2" s="214"/>
      <c r="S2" s="214"/>
      <c r="V2" s="214"/>
      <c r="BA2" s="329"/>
      <c r="BB2" s="329"/>
    </row>
    <row r="3" spans="1:54" s="214" customFormat="1" ht="65.099999999999994" customHeight="1">
      <c r="A3" s="215"/>
      <c r="B3" s="215"/>
      <c r="C3" s="215"/>
      <c r="D3" s="215"/>
      <c r="E3" s="215"/>
      <c r="F3" s="215"/>
      <c r="G3" s="215"/>
      <c r="H3" s="215"/>
      <c r="I3" s="215"/>
      <c r="J3" s="215"/>
      <c r="K3" s="215"/>
      <c r="L3" s="215"/>
      <c r="P3" s="215"/>
    </row>
    <row r="4" spans="1:54" ht="11.25" customHeight="1">
      <c r="J4" s="202"/>
      <c r="K4" s="330"/>
      <c r="L4" s="330"/>
      <c r="M4" s="330"/>
      <c r="O4" s="257"/>
      <c r="Z4" s="331"/>
    </row>
    <row r="5" spans="1:54" ht="20.25" hidden="1" customHeight="1">
      <c r="B5" s="330"/>
      <c r="C5" s="330"/>
      <c r="D5" s="202"/>
      <c r="E5" s="330"/>
      <c r="F5" s="330"/>
      <c r="G5" s="202"/>
      <c r="H5" s="330"/>
      <c r="I5" s="330"/>
      <c r="J5" s="202"/>
      <c r="K5" s="330"/>
      <c r="L5" s="330"/>
      <c r="M5" s="330"/>
      <c r="O5" s="257"/>
      <c r="Z5" s="331"/>
    </row>
    <row r="6" spans="1:54" ht="18" hidden="1" customHeight="1">
      <c r="R6" s="332"/>
      <c r="Z6" s="331"/>
    </row>
    <row r="7" spans="1:54" ht="41.25" customHeight="1">
      <c r="B7" s="780" t="str">
        <f>uxb_works!AA20</f>
        <v>2.1) Asociatividad</v>
      </c>
      <c r="C7" s="780"/>
      <c r="D7" s="780"/>
      <c r="E7" s="780"/>
      <c r="F7" s="780"/>
      <c r="G7" s="780"/>
      <c r="H7" s="780"/>
      <c r="I7" s="780"/>
      <c r="J7" s="780"/>
      <c r="Z7" s="331"/>
    </row>
    <row r="8" spans="1:54" ht="28.5" customHeight="1">
      <c r="B8" s="789" t="str">
        <f>uxb_works!Z20</f>
        <v>2.1.5) 20.¿Cuál es el nivel de representación de las mujeres en las asociaciones?</v>
      </c>
      <c r="C8" s="789"/>
      <c r="D8" s="789"/>
      <c r="E8" s="789"/>
      <c r="F8" s="789"/>
      <c r="G8" s="789"/>
      <c r="H8" s="789"/>
      <c r="I8" s="789"/>
      <c r="J8" s="789"/>
      <c r="K8" s="790" t="str">
        <f>IF(uxb_works!$B$6=1,"No resaltar ninguna ciudad","Ciudad seleccionada")</f>
        <v>No resaltar ninguna ciudad</v>
      </c>
      <c r="L8" s="790"/>
      <c r="W8" s="333"/>
      <c r="Z8" s="331"/>
    </row>
    <row r="9" spans="1:54" ht="15.75">
      <c r="L9" s="334" t="str">
        <f ca="1">iMap_Rank!C9</f>
        <v>&lt;ninguno&gt;</v>
      </c>
      <c r="W9" s="333"/>
      <c r="Z9" s="331"/>
    </row>
    <row r="10" spans="1:54">
      <c r="K10" s="95"/>
      <c r="L10" s="335" t="str">
        <f ca="1">TEXT(iMap_Rank!D9,iMap_Rank!Q2)</f>
        <v/>
      </c>
      <c r="W10" s="333"/>
      <c r="Z10" s="331"/>
    </row>
    <row r="11" spans="1:54">
      <c r="B11" s="336"/>
      <c r="K11" s="95"/>
      <c r="W11" s="333"/>
      <c r="Z11" s="331"/>
    </row>
    <row r="12" spans="1:54">
      <c r="B12" s="337"/>
      <c r="K12" s="95"/>
      <c r="Z12" s="331"/>
    </row>
    <row r="13" spans="1:54">
      <c r="K13" s="95"/>
      <c r="Z13" s="331"/>
    </row>
    <row r="14" spans="1:54">
      <c r="K14" s="95"/>
      <c r="Z14" s="331"/>
    </row>
    <row r="15" spans="1:54">
      <c r="K15" s="95"/>
      <c r="Z15" s="331"/>
    </row>
    <row r="16" spans="1:54">
      <c r="K16" s="95"/>
      <c r="Z16" s="331"/>
    </row>
    <row r="17" spans="11:26">
      <c r="K17" s="95"/>
      <c r="Z17" s="331"/>
    </row>
    <row r="18" spans="11:26">
      <c r="K18" s="95"/>
      <c r="Z18" s="331"/>
    </row>
    <row r="19" spans="11:26">
      <c r="K19" s="95"/>
      <c r="Z19" s="331"/>
    </row>
    <row r="20" spans="11:26">
      <c r="K20" s="95"/>
      <c r="Z20" s="331"/>
    </row>
    <row r="21" spans="11:26">
      <c r="K21" s="95"/>
      <c r="Z21" s="331"/>
    </row>
    <row r="22" spans="11:26">
      <c r="K22" s="95"/>
      <c r="Z22" s="331"/>
    </row>
    <row r="23" spans="11:26">
      <c r="K23" s="95"/>
      <c r="Z23" s="331"/>
    </row>
    <row r="24" spans="11:26">
      <c r="K24" s="95"/>
      <c r="Z24" s="331"/>
    </row>
    <row r="25" spans="11:26">
      <c r="K25" s="95"/>
      <c r="Z25" s="331"/>
    </row>
    <row r="26" spans="11:26">
      <c r="K26" s="95"/>
      <c r="Z26" s="331"/>
    </row>
    <row r="27" spans="11:26">
      <c r="K27" s="95"/>
      <c r="Z27" s="331"/>
    </row>
    <row r="28" spans="11:26">
      <c r="K28" s="95"/>
      <c r="Z28" s="331"/>
    </row>
    <row r="29" spans="11:26">
      <c r="K29" s="95"/>
      <c r="Z29" s="331"/>
    </row>
    <row r="30" spans="11:26">
      <c r="K30" s="95"/>
      <c r="Z30" s="331"/>
    </row>
    <row r="31" spans="11:26">
      <c r="Z31" s="331"/>
    </row>
    <row r="32" spans="11:26">
      <c r="Z32" s="331"/>
    </row>
    <row r="33" spans="1:26">
      <c r="Z33" s="331"/>
    </row>
    <row r="34" spans="1:26">
      <c r="Z34" s="331"/>
    </row>
    <row r="35" spans="1:26">
      <c r="Z35" s="331"/>
    </row>
    <row r="36" spans="1:26">
      <c r="Z36" s="331"/>
    </row>
    <row r="37" spans="1:26">
      <c r="Z37" s="331"/>
    </row>
    <row r="38" spans="1:26">
      <c r="Z38" s="331"/>
    </row>
    <row r="39" spans="1:26">
      <c r="Z39" s="331"/>
    </row>
    <row r="40" spans="1:26" hidden="1">
      <c r="B40" s="783"/>
      <c r="C40" s="783"/>
      <c r="E40" s="785"/>
      <c r="F40" s="785"/>
      <c r="G40" s="338"/>
      <c r="H40" s="787"/>
      <c r="I40" s="787"/>
      <c r="K40" s="781"/>
      <c r="L40" s="781"/>
      <c r="Z40" s="331"/>
    </row>
    <row r="41" spans="1:26" s="315" customFormat="1" ht="19.5" customHeight="1">
      <c r="A41" s="84"/>
      <c r="B41" s="784" t="str">
        <f>iMap_Rank!AN15</f>
        <v>Puntaje 76 to 100</v>
      </c>
      <c r="C41" s="784"/>
      <c r="D41" s="84"/>
      <c r="E41" s="786" t="str">
        <f>iMap_Rank!AQ15</f>
        <v>Puntaje 51 to 75</v>
      </c>
      <c r="F41" s="786"/>
      <c r="G41" s="650"/>
      <c r="H41" s="788" t="str">
        <f>iMap_Rank!AT15</f>
        <v>Puntaje 26 to 50</v>
      </c>
      <c r="I41" s="788"/>
      <c r="J41" s="84"/>
      <c r="K41" s="782" t="str">
        <f>iMap_Rank!AW15</f>
        <v>Puntaje 0 to 25</v>
      </c>
      <c r="L41" s="782"/>
      <c r="Z41" s="651"/>
    </row>
    <row r="42" spans="1:26">
      <c r="A42" s="82">
        <f ca="1">iMap_Rank!AM19</f>
        <v>1</v>
      </c>
      <c r="B42" s="267" t="str">
        <f ca="1">iMap_Rank!AN19</f>
        <v>Bogotá</v>
      </c>
      <c r="C42" s="255">
        <f ca="1">iMap_Rank!AO19</f>
        <v>100</v>
      </c>
      <c r="D42" s="82">
        <f ca="1">iMap_Rank!AP19</f>
        <v>0</v>
      </c>
      <c r="E42" s="267" t="str">
        <f ca="1">iMap_Rank!AQ19</f>
        <v/>
      </c>
      <c r="F42" s="255" t="str">
        <f ca="1">iMap_Rank!AR19</f>
        <v/>
      </c>
      <c r="G42" s="82">
        <f ca="1">iMap_Rank!AS19</f>
        <v>1</v>
      </c>
      <c r="H42" s="267" t="str">
        <f ca="1">iMap_Rank!AT19</f>
        <v>Asunción</v>
      </c>
      <c r="I42" s="255">
        <f ca="1">iMap_Rank!AU19</f>
        <v>50</v>
      </c>
      <c r="J42" s="82">
        <f ca="1">iMap_Rank!AV19</f>
        <v>1</v>
      </c>
      <c r="K42" s="267" t="str">
        <f ca="1">iMap_Rank!AW19</f>
        <v>Ciudad de Belice</v>
      </c>
      <c r="L42" s="255">
        <f ca="1">iMap_Rank!AX19</f>
        <v>0</v>
      </c>
      <c r="Z42" s="331"/>
    </row>
    <row r="43" spans="1:26">
      <c r="A43" s="82">
        <f ca="1">iMap_Rank!AM20</f>
        <v>1</v>
      </c>
      <c r="B43" s="267" t="str">
        <f ca="1">iMap_Rank!AN20</f>
        <v>Quito</v>
      </c>
      <c r="C43" s="255">
        <f ca="1">iMap_Rank!AO20</f>
        <v>100</v>
      </c>
      <c r="D43" s="82">
        <f ca="1">iMap_Rank!AP20</f>
        <v>0</v>
      </c>
      <c r="E43" s="267" t="str">
        <f ca="1">iMap_Rank!AQ20</f>
        <v/>
      </c>
      <c r="F43" s="255" t="str">
        <f ca="1">iMap_Rank!AR20</f>
        <v/>
      </c>
      <c r="G43" s="82">
        <f ca="1">iMap_Rank!AS20</f>
        <v>1</v>
      </c>
      <c r="H43" s="267" t="str">
        <f ca="1">iMap_Rank!AT20</f>
        <v>Buenos Aires</v>
      </c>
      <c r="I43" s="255">
        <f ca="1">iMap_Rank!AU20</f>
        <v>50</v>
      </c>
      <c r="J43" s="82">
        <f ca="1">iMap_Rank!AV20</f>
        <v>1</v>
      </c>
      <c r="K43" s="267" t="str">
        <f ca="1">iMap_Rank!AW20</f>
        <v>Lima</v>
      </c>
      <c r="L43" s="255">
        <f ca="1">iMap_Rank!AX20</f>
        <v>0</v>
      </c>
      <c r="Z43" s="331"/>
    </row>
    <row r="44" spans="1:26">
      <c r="A44" s="82">
        <f ca="1">iMap_Rank!AM21</f>
        <v>1</v>
      </c>
      <c r="B44" s="267" t="str">
        <f ca="1">iMap_Rank!AN21</f>
        <v>San Pablo</v>
      </c>
      <c r="C44" s="255">
        <f ca="1">iMap_Rank!AO21</f>
        <v>100</v>
      </c>
      <c r="D44" s="82">
        <f ca="1">iMap_Rank!AP21</f>
        <v>0</v>
      </c>
      <c r="E44" s="267" t="str">
        <f ca="1">iMap_Rank!AQ21</f>
        <v/>
      </c>
      <c r="F44" s="255" t="str">
        <f ca="1">iMap_Rank!AR21</f>
        <v/>
      </c>
      <c r="G44" s="82">
        <f ca="1">iMap_Rank!AS21</f>
        <v>1</v>
      </c>
      <c r="H44" s="267" t="str">
        <f ca="1">iMap_Rank!AT21</f>
        <v>Ciudad de México</v>
      </c>
      <c r="I44" s="255">
        <f ca="1">iMap_Rank!AU21</f>
        <v>50</v>
      </c>
      <c r="J44" s="82">
        <f ca="1">iMap_Rank!AV21</f>
        <v>1</v>
      </c>
      <c r="K44" s="267" t="str">
        <f ca="1">iMap_Rank!AW21</f>
        <v>San José</v>
      </c>
      <c r="L44" s="255">
        <f ca="1">iMap_Rank!AX21</f>
        <v>0</v>
      </c>
      <c r="Z44" s="331"/>
    </row>
    <row r="45" spans="1:26">
      <c r="A45" s="82">
        <f ca="1">iMap_Rank!AM22</f>
        <v>1</v>
      </c>
      <c r="B45" s="267" t="str">
        <f ca="1">iMap_Rank!AN22</f>
        <v>Santa Cruz</v>
      </c>
      <c r="C45" s="255">
        <f ca="1">iMap_Rank!AO22</f>
        <v>100</v>
      </c>
      <c r="D45" s="82">
        <f ca="1">iMap_Rank!AP22</f>
        <v>0</v>
      </c>
      <c r="E45" s="267" t="str">
        <f ca="1">iMap_Rank!AQ22</f>
        <v/>
      </c>
      <c r="F45" s="255" t="str">
        <f ca="1">iMap_Rank!AR22</f>
        <v/>
      </c>
      <c r="G45" s="82">
        <f ca="1">iMap_Rank!AS22</f>
        <v>1</v>
      </c>
      <c r="H45" s="267" t="str">
        <f ca="1">iMap_Rank!AT22</f>
        <v>Montevideo</v>
      </c>
      <c r="I45" s="255">
        <f ca="1">iMap_Rank!AU22</f>
        <v>50</v>
      </c>
      <c r="J45" s="82">
        <f ca="1">iMap_Rank!AV22</f>
        <v>1</v>
      </c>
      <c r="K45" s="267" t="str">
        <f ca="1">iMap_Rank!AW22</f>
        <v>Santiago de Chile</v>
      </c>
      <c r="L45" s="255">
        <f ca="1">iMap_Rank!AX22</f>
        <v>0</v>
      </c>
      <c r="Z45" s="331"/>
    </row>
    <row r="46" spans="1:26">
      <c r="A46" s="82">
        <f ca="1">iMap_Rank!AM23</f>
        <v>0</v>
      </c>
      <c r="B46" s="267" t="str">
        <f ca="1">iMap_Rank!AN23</f>
        <v/>
      </c>
      <c r="C46" s="255" t="str">
        <f ca="1">iMap_Rank!AO23</f>
        <v/>
      </c>
      <c r="D46" s="82">
        <f ca="1">iMap_Rank!AP23</f>
        <v>0</v>
      </c>
      <c r="E46" s="267" t="str">
        <f ca="1">iMap_Rank!AQ23</f>
        <v/>
      </c>
      <c r="F46" s="255" t="str">
        <f ca="1">iMap_Rank!AR23</f>
        <v/>
      </c>
      <c r="G46" s="82">
        <f ca="1">iMap_Rank!AS23</f>
        <v>0</v>
      </c>
      <c r="H46" s="267" t="str">
        <f ca="1">iMap_Rank!AT23</f>
        <v/>
      </c>
      <c r="I46" s="255" t="str">
        <f ca="1">iMap_Rank!AU23</f>
        <v/>
      </c>
      <c r="J46" s="82">
        <f ca="1">iMap_Rank!AV23</f>
        <v>0</v>
      </c>
      <c r="K46" s="267" t="str">
        <f ca="1">iMap_Rank!AW23</f>
        <v/>
      </c>
      <c r="L46" s="255" t="str">
        <f ca="1">iMap_Rank!AX23</f>
        <v/>
      </c>
      <c r="Z46" s="331"/>
    </row>
    <row r="47" spans="1:26">
      <c r="A47" s="82">
        <f ca="1">iMap_Rank!AM24</f>
        <v>0</v>
      </c>
      <c r="B47" s="267" t="str">
        <f ca="1">iMap_Rank!AN24</f>
        <v/>
      </c>
      <c r="C47" s="255" t="str">
        <f ca="1">iMap_Rank!AO24</f>
        <v/>
      </c>
      <c r="D47" s="82">
        <f ca="1">iMap_Rank!AP24</f>
        <v>0</v>
      </c>
      <c r="E47" s="267" t="str">
        <f ca="1">iMap_Rank!AQ24</f>
        <v/>
      </c>
      <c r="F47" s="255" t="str">
        <f ca="1">iMap_Rank!AR24</f>
        <v/>
      </c>
      <c r="G47" s="82">
        <f ca="1">iMap_Rank!AS24</f>
        <v>0</v>
      </c>
      <c r="H47" s="267" t="str">
        <f ca="1">iMap_Rank!AT24</f>
        <v/>
      </c>
      <c r="I47" s="255" t="str">
        <f ca="1">iMap_Rank!AU24</f>
        <v/>
      </c>
      <c r="J47" s="82">
        <f ca="1">iMap_Rank!AV24</f>
        <v>0</v>
      </c>
      <c r="K47" s="267" t="str">
        <f ca="1">iMap_Rank!AW24</f>
        <v/>
      </c>
      <c r="L47" s="255" t="str">
        <f ca="1">iMap_Rank!AX24</f>
        <v/>
      </c>
      <c r="Z47" s="331"/>
    </row>
    <row r="48" spans="1:26">
      <c r="A48" s="82">
        <f ca="1">iMap_Rank!AM25</f>
        <v>0</v>
      </c>
      <c r="B48" s="267" t="str">
        <f ca="1">iMap_Rank!AN25</f>
        <v/>
      </c>
      <c r="C48" s="255" t="str">
        <f ca="1">iMap_Rank!AO25</f>
        <v/>
      </c>
      <c r="D48" s="82">
        <f ca="1">iMap_Rank!AP25</f>
        <v>0</v>
      </c>
      <c r="E48" s="267" t="str">
        <f ca="1">iMap_Rank!AQ25</f>
        <v/>
      </c>
      <c r="F48" s="255" t="str">
        <f ca="1">iMap_Rank!AR25</f>
        <v/>
      </c>
      <c r="G48" s="82">
        <f ca="1">iMap_Rank!AS25</f>
        <v>0</v>
      </c>
      <c r="H48" s="267" t="str">
        <f ca="1">iMap_Rank!AT25</f>
        <v/>
      </c>
      <c r="I48" s="255" t="str">
        <f ca="1">iMap_Rank!AU25</f>
        <v/>
      </c>
      <c r="J48" s="82">
        <f ca="1">iMap_Rank!AV25</f>
        <v>0</v>
      </c>
      <c r="K48" s="267" t="str">
        <f ca="1">iMap_Rank!AW25</f>
        <v/>
      </c>
      <c r="L48" s="255" t="str">
        <f ca="1">iMap_Rank!AX25</f>
        <v/>
      </c>
      <c r="Z48" s="331"/>
    </row>
    <row r="49" spans="1:26">
      <c r="A49" s="82">
        <f ca="1">iMap_Rank!AM26</f>
        <v>0</v>
      </c>
      <c r="B49" s="267" t="str">
        <f ca="1">iMap_Rank!AN26</f>
        <v/>
      </c>
      <c r="C49" s="255" t="str">
        <f ca="1">iMap_Rank!AO26</f>
        <v/>
      </c>
      <c r="D49" s="82">
        <f ca="1">iMap_Rank!AP26</f>
        <v>0</v>
      </c>
      <c r="E49" s="267" t="str">
        <f ca="1">iMap_Rank!AQ26</f>
        <v/>
      </c>
      <c r="F49" s="255" t="str">
        <f ca="1">iMap_Rank!AR26</f>
        <v/>
      </c>
      <c r="G49" s="82">
        <f ca="1">iMap_Rank!AS26</f>
        <v>0</v>
      </c>
      <c r="H49" s="267" t="str">
        <f ca="1">iMap_Rank!AT26</f>
        <v/>
      </c>
      <c r="I49" s="255" t="str">
        <f ca="1">iMap_Rank!AU26</f>
        <v/>
      </c>
      <c r="J49" s="82">
        <f ca="1">iMap_Rank!AV26</f>
        <v>0</v>
      </c>
      <c r="K49" s="267" t="str">
        <f ca="1">iMap_Rank!AW26</f>
        <v/>
      </c>
      <c r="L49" s="255" t="str">
        <f ca="1">iMap_Rank!AX26</f>
        <v/>
      </c>
      <c r="Z49" s="331"/>
    </row>
    <row r="50" spans="1:26">
      <c r="A50" s="82">
        <f ca="1">iMap_Rank!AM27</f>
        <v>0</v>
      </c>
      <c r="B50" s="267" t="str">
        <f ca="1">iMap_Rank!AN27</f>
        <v/>
      </c>
      <c r="C50" s="255" t="str">
        <f ca="1">iMap_Rank!AO27</f>
        <v/>
      </c>
      <c r="D50" s="82">
        <f ca="1">iMap_Rank!AP27</f>
        <v>0</v>
      </c>
      <c r="E50" s="267" t="str">
        <f ca="1">iMap_Rank!AQ27</f>
        <v/>
      </c>
      <c r="F50" s="255" t="str">
        <f ca="1">iMap_Rank!AR27</f>
        <v/>
      </c>
      <c r="G50" s="82">
        <f ca="1">iMap_Rank!AS27</f>
        <v>0</v>
      </c>
      <c r="H50" s="267" t="str">
        <f ca="1">iMap_Rank!AT27</f>
        <v/>
      </c>
      <c r="I50" s="255" t="str">
        <f ca="1">iMap_Rank!AU27</f>
        <v/>
      </c>
      <c r="J50" s="82">
        <f ca="1">iMap_Rank!AV27</f>
        <v>0</v>
      </c>
      <c r="K50" s="267" t="str">
        <f ca="1">iMap_Rank!AW27</f>
        <v/>
      </c>
      <c r="L50" s="255" t="str">
        <f ca="1">iMap_Rank!AX27</f>
        <v/>
      </c>
      <c r="Z50" s="331"/>
    </row>
    <row r="51" spans="1:26">
      <c r="A51" s="82">
        <f ca="1">iMap_Rank!AM28</f>
        <v>0</v>
      </c>
      <c r="B51" s="267" t="str">
        <f ca="1">iMap_Rank!AN28</f>
        <v/>
      </c>
      <c r="C51" s="255" t="str">
        <f ca="1">iMap_Rank!AO28</f>
        <v/>
      </c>
      <c r="D51" s="82">
        <f ca="1">iMap_Rank!AP28</f>
        <v>0</v>
      </c>
      <c r="E51" s="267" t="str">
        <f ca="1">iMap_Rank!AQ28</f>
        <v/>
      </c>
      <c r="F51" s="255" t="str">
        <f ca="1">iMap_Rank!AR28</f>
        <v/>
      </c>
      <c r="G51" s="82">
        <f ca="1">iMap_Rank!AS28</f>
        <v>0</v>
      </c>
      <c r="H51" s="267" t="str">
        <f ca="1">iMap_Rank!AT28</f>
        <v/>
      </c>
      <c r="I51" s="255" t="str">
        <f ca="1">iMap_Rank!AU28</f>
        <v/>
      </c>
      <c r="J51" s="82">
        <f ca="1">iMap_Rank!AV28</f>
        <v>0</v>
      </c>
      <c r="K51" s="267" t="str">
        <f ca="1">iMap_Rank!AW28</f>
        <v/>
      </c>
      <c r="L51" s="255" t="str">
        <f ca="1">iMap_Rank!AX28</f>
        <v/>
      </c>
      <c r="Z51" s="331"/>
    </row>
    <row r="52" spans="1:26">
      <c r="A52" s="82">
        <f ca="1">iMap_Rank!AM29</f>
        <v>0</v>
      </c>
      <c r="B52" s="267" t="str">
        <f ca="1">iMap_Rank!AN29</f>
        <v/>
      </c>
      <c r="C52" s="255" t="str">
        <f ca="1">iMap_Rank!AO29</f>
        <v/>
      </c>
      <c r="D52" s="82">
        <f ca="1">iMap_Rank!AP29</f>
        <v>0</v>
      </c>
      <c r="E52" s="267" t="str">
        <f ca="1">iMap_Rank!AQ29</f>
        <v/>
      </c>
      <c r="F52" s="255" t="str">
        <f ca="1">iMap_Rank!AR29</f>
        <v/>
      </c>
      <c r="G52" s="82">
        <f ca="1">iMap_Rank!AS29</f>
        <v>0</v>
      </c>
      <c r="H52" s="267" t="str">
        <f ca="1">iMap_Rank!AT29</f>
        <v/>
      </c>
      <c r="I52" s="255" t="str">
        <f ca="1">iMap_Rank!AU29</f>
        <v/>
      </c>
      <c r="J52" s="82">
        <f ca="1">iMap_Rank!AV29</f>
        <v>0</v>
      </c>
      <c r="K52" s="267" t="str">
        <f ca="1">iMap_Rank!AW29</f>
        <v/>
      </c>
      <c r="L52" s="255" t="str">
        <f ca="1">iMap_Rank!AX29</f>
        <v/>
      </c>
      <c r="Z52" s="331"/>
    </row>
    <row r="53" spans="1:26">
      <c r="A53" s="82">
        <f ca="1">iMap_Rank!AM30</f>
        <v>0</v>
      </c>
      <c r="B53" s="267" t="str">
        <f ca="1">iMap_Rank!AN30</f>
        <v/>
      </c>
      <c r="C53" s="255" t="str">
        <f ca="1">iMap_Rank!AO30</f>
        <v/>
      </c>
      <c r="D53" s="82">
        <f ca="1">iMap_Rank!AP30</f>
        <v>0</v>
      </c>
      <c r="E53" s="267" t="str">
        <f ca="1">iMap_Rank!AQ30</f>
        <v/>
      </c>
      <c r="F53" s="255" t="str">
        <f ca="1">iMap_Rank!AR30</f>
        <v/>
      </c>
      <c r="G53" s="82">
        <f ca="1">iMap_Rank!AS30</f>
        <v>0</v>
      </c>
      <c r="H53" s="267" t="str">
        <f ca="1">iMap_Rank!AT30</f>
        <v/>
      </c>
      <c r="I53" s="255" t="str">
        <f ca="1">iMap_Rank!AU30</f>
        <v/>
      </c>
      <c r="J53" s="82">
        <f ca="1">iMap_Rank!AV30</f>
        <v>0</v>
      </c>
      <c r="K53" s="267" t="str">
        <f ca="1">iMap_Rank!AW30</f>
        <v/>
      </c>
      <c r="L53" s="255" t="str">
        <f ca="1">iMap_Rank!AX30</f>
        <v/>
      </c>
      <c r="Z53" s="331"/>
    </row>
    <row r="54" spans="1:26">
      <c r="Z54" s="78"/>
    </row>
    <row r="55" spans="1:26">
      <c r="B55" s="339"/>
      <c r="Z55" s="78"/>
    </row>
    <row r="56" spans="1:26" hidden="1">
      <c r="Z56" s="78"/>
    </row>
    <row r="57" spans="1:26" hidden="1">
      <c r="Z57" s="78"/>
    </row>
    <row r="58" spans="1:26" hidden="1">
      <c r="Z58" s="78"/>
    </row>
    <row r="59" spans="1:26" hidden="1">
      <c r="Z59" s="78"/>
    </row>
    <row r="60" spans="1:26" hidden="1">
      <c r="Z60" s="78"/>
    </row>
    <row r="61" spans="1:26" hidden="1">
      <c r="Z61" s="78"/>
    </row>
    <row r="62" spans="1:26" hidden="1">
      <c r="Z62" s="78"/>
    </row>
    <row r="63" spans="1:26" hidden="1">
      <c r="Z63" s="78"/>
    </row>
    <row r="64" spans="1:26" hidden="1">
      <c r="Z64" s="78"/>
    </row>
    <row r="65" spans="26:26" hidden="1">
      <c r="Z65" s="78"/>
    </row>
    <row r="66" spans="26:26" hidden="1">
      <c r="Z66" s="78"/>
    </row>
    <row r="67" spans="26:26" hidden="1">
      <c r="Z67" s="78"/>
    </row>
    <row r="68" spans="26:26" hidden="1">
      <c r="Z68" s="78"/>
    </row>
    <row r="69" spans="26:26" hidden="1">
      <c r="Z69" s="78"/>
    </row>
    <row r="70" spans="26:26" hidden="1">
      <c r="Z70" s="78"/>
    </row>
    <row r="71" spans="26:26" hidden="1">
      <c r="Z71" s="78"/>
    </row>
    <row r="72" spans="26:26" hidden="1">
      <c r="Z72" s="78"/>
    </row>
    <row r="73" spans="26:26" hidden="1">
      <c r="Z73" s="78"/>
    </row>
    <row r="74" spans="26:26" hidden="1">
      <c r="Z74" s="78"/>
    </row>
    <row r="75" spans="26:26" hidden="1">
      <c r="Z75" s="78"/>
    </row>
    <row r="76" spans="26:26" hidden="1">
      <c r="Z76" s="78"/>
    </row>
    <row r="77" spans="26:26" hidden="1">
      <c r="Z77" s="78"/>
    </row>
    <row r="78" spans="26:26" hidden="1">
      <c r="Z78" s="78"/>
    </row>
    <row r="79" spans="26:26" hidden="1">
      <c r="Z79" s="78"/>
    </row>
    <row r="80" spans="26:26" hidden="1">
      <c r="Z80" s="78"/>
    </row>
    <row r="81" spans="25:27" hidden="1">
      <c r="Z81" s="78"/>
    </row>
    <row r="82" spans="25:27" hidden="1">
      <c r="Z82" s="78"/>
    </row>
    <row r="83" spans="25:27" hidden="1">
      <c r="Z83" s="78"/>
    </row>
    <row r="84" spans="25:27" hidden="1">
      <c r="Z84" s="78"/>
    </row>
    <row r="85" spans="25:27" hidden="1">
      <c r="Y85"/>
      <c r="Z85"/>
      <c r="AA85"/>
    </row>
    <row r="86" spans="25:27" hidden="1">
      <c r="Y86"/>
      <c r="Z86"/>
      <c r="AA86"/>
    </row>
    <row r="87" spans="25:27" hidden="1">
      <c r="Y87"/>
      <c r="Z87"/>
      <c r="AA87"/>
    </row>
    <row r="88" spans="25:27" hidden="1">
      <c r="Y88"/>
      <c r="Z88"/>
      <c r="AA88"/>
    </row>
  </sheetData>
  <mergeCells count="11">
    <mergeCell ref="B7:J7"/>
    <mergeCell ref="K40:L40"/>
    <mergeCell ref="K41:L41"/>
    <mergeCell ref="B40:C40"/>
    <mergeCell ref="B41:C41"/>
    <mergeCell ref="E40:F40"/>
    <mergeCell ref="E41:F41"/>
    <mergeCell ref="H40:I40"/>
    <mergeCell ref="H41:I41"/>
    <mergeCell ref="B8:J8"/>
    <mergeCell ref="K8:L8"/>
  </mergeCells>
  <conditionalFormatting sqref="B42:B53 E42:E53 H42:H53 K42:K53">
    <cfRule type="expression" dxfId="79" priority="46">
      <formula>A42=2</formula>
    </cfRule>
    <cfRule type="expression" dxfId="78" priority="47">
      <formula>A42=3</formula>
    </cfRule>
    <cfRule type="expression" dxfId="77" priority="48">
      <formula>A42=0</formula>
    </cfRule>
  </conditionalFormatting>
  <conditionalFormatting sqref="C42:C53 F42:F53 I42:I53 L42:L53">
    <cfRule type="expression" dxfId="76" priority="43">
      <formula>A42=3</formula>
    </cfRule>
    <cfRule type="expression" dxfId="75" priority="44">
      <formula>A42=2</formula>
    </cfRule>
    <cfRule type="expression" dxfId="74" priority="45">
      <formula>A42=0</formula>
    </cfRule>
  </conditionalFormatting>
  <conditionalFormatting sqref="E42">
    <cfRule type="expression" dxfId="73" priority="34">
      <formula>D42=2</formula>
    </cfRule>
    <cfRule type="expression" dxfId="72" priority="35">
      <formula>D42=3</formula>
    </cfRule>
    <cfRule type="expression" dxfId="71" priority="36">
      <formula>D42=0</formula>
    </cfRule>
  </conditionalFormatting>
  <conditionalFormatting sqref="F42">
    <cfRule type="expression" dxfId="70" priority="31">
      <formula>D42=3</formula>
    </cfRule>
    <cfRule type="expression" dxfId="69" priority="32">
      <formula>D42=2</formula>
    </cfRule>
    <cfRule type="expression" dxfId="68" priority="33">
      <formula>D42=0</formula>
    </cfRule>
  </conditionalFormatting>
  <conditionalFormatting sqref="H42">
    <cfRule type="expression" dxfId="67" priority="22">
      <formula>G42=2</formula>
    </cfRule>
    <cfRule type="expression" dxfId="66" priority="23">
      <formula>G42=3</formula>
    </cfRule>
    <cfRule type="expression" dxfId="65" priority="24">
      <formula>G42=0</formula>
    </cfRule>
  </conditionalFormatting>
  <conditionalFormatting sqref="I42">
    <cfRule type="expression" dxfId="64" priority="19">
      <formula>G42=3</formula>
    </cfRule>
    <cfRule type="expression" dxfId="63" priority="20">
      <formula>G42=2</formula>
    </cfRule>
    <cfRule type="expression" dxfId="62" priority="21">
      <formula>G42=0</formula>
    </cfRule>
  </conditionalFormatting>
  <conditionalFormatting sqref="K42">
    <cfRule type="expression" dxfId="61" priority="10">
      <formula>J42=2</formula>
    </cfRule>
    <cfRule type="expression" dxfId="60" priority="11">
      <formula>J42=3</formula>
    </cfRule>
    <cfRule type="expression" dxfId="59" priority="12">
      <formula>J42=0</formula>
    </cfRule>
  </conditionalFormatting>
  <conditionalFormatting sqref="L42">
    <cfRule type="expression" dxfId="58" priority="7">
      <formula>J42=3</formula>
    </cfRule>
    <cfRule type="expression" dxfId="57" priority="8">
      <formula>J42=2</formula>
    </cfRule>
    <cfRule type="expression" dxfId="56" priority="9">
      <formula>J42=0</formula>
    </cfRule>
  </conditionalFormatting>
  <pageMargins left="0.55118110236220474" right="0.55118110236220474" top="0.59055118110236227" bottom="0.78740157480314965" header="0.51181102362204722" footer="0.51181102362204722"/>
  <pageSetup paperSize="9" scale="28" orientation="landscape" r:id="rId1"/>
  <headerFooter alignWithMargins="0">
    <oddHeader>&amp;RResultados del Modelo de Reciclaje Inclusivo</oddHeader>
  </headerFooter>
  <drawing r:id="rId2"/>
  <legacyDrawing r:id="rId3"/>
</worksheet>
</file>

<file path=xl/worksheets/sheet16.xml><?xml version="1.0" encoding="utf-8"?>
<worksheet xmlns="http://schemas.openxmlformats.org/spreadsheetml/2006/main" xmlns:r="http://schemas.openxmlformats.org/officeDocument/2006/relationships">
  <sheetPr codeName="Sheet31">
    <pageSetUpPr fitToPage="1"/>
  </sheetPr>
  <dimension ref="A1:BB92"/>
  <sheetViews>
    <sheetView showGridLines="0" showRowColHeaders="0" zoomScale="80" zoomScaleNormal="80" workbookViewId="0">
      <pane ySplit="3" topLeftCell="A4" activePane="bottomLeft" state="frozen"/>
      <selection pane="bottomLeft" activeCell="W15" sqref="W15"/>
    </sheetView>
  </sheetViews>
  <sheetFormatPr defaultRowHeight="15" zeroHeight="1"/>
  <cols>
    <col min="1" max="1" width="2.7109375" style="82" customWidth="1"/>
    <col min="2" max="2" width="23.140625" style="78" customWidth="1"/>
    <col min="3" max="3" width="9.140625" style="78"/>
    <col min="4" max="4" width="9.140625" style="82"/>
    <col min="5" max="5" width="23.140625" style="78" customWidth="1"/>
    <col min="6" max="6" width="9.140625" style="78"/>
    <col min="7" max="7" width="9.140625" style="82"/>
    <col min="8" max="8" width="23.140625" style="78" customWidth="1"/>
    <col min="9" max="9" width="15.7109375" style="78" customWidth="1"/>
    <col min="10" max="10" width="9.140625" style="82" customWidth="1"/>
    <col min="11" max="11" width="23.140625" style="78" customWidth="1"/>
    <col min="12" max="12" width="4" style="78" customWidth="1"/>
    <col min="13" max="13" width="9.140625" style="78"/>
    <col min="14" max="18" width="2.5703125" style="78" customWidth="1"/>
    <col min="19" max="19" width="7.5703125" style="78" customWidth="1"/>
    <col min="20" max="20" width="6.42578125" style="78" customWidth="1"/>
    <col min="21" max="21" width="9.140625" style="78"/>
    <col min="22" max="22" width="1.85546875" style="78" customWidth="1"/>
    <col min="23" max="23" width="9.140625" style="78"/>
    <col min="24" max="24" width="2" style="78" customWidth="1"/>
    <col min="25" max="25" width="7.42578125" style="78" customWidth="1"/>
    <col min="26" max="26" width="4.42578125" style="290" customWidth="1"/>
    <col min="27" max="27" width="6.140625" style="78" customWidth="1"/>
    <col min="28" max="16384" width="9.140625" style="78"/>
  </cols>
  <sheetData>
    <row r="1" spans="1:54"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BA1" s="329">
        <v>1</v>
      </c>
      <c r="BB1" s="329">
        <v>1</v>
      </c>
    </row>
    <row r="2" spans="1:54" s="213" customFormat="1" ht="30" customHeight="1">
      <c r="A2" s="211"/>
      <c r="B2" s="212"/>
      <c r="C2" s="212"/>
      <c r="D2" s="212"/>
      <c r="E2" s="212"/>
      <c r="F2" s="212"/>
      <c r="G2" s="212"/>
      <c r="H2" s="212"/>
      <c r="I2" s="212"/>
      <c r="J2" s="212"/>
      <c r="K2" s="212"/>
      <c r="L2" s="212"/>
      <c r="P2" s="212"/>
      <c r="R2" s="214"/>
      <c r="S2" s="214"/>
      <c r="V2" s="214"/>
      <c r="BA2" s="329"/>
      <c r="BB2" s="329"/>
    </row>
    <row r="3" spans="1:54" s="214" customFormat="1" ht="65.099999999999994" customHeight="1">
      <c r="A3" s="215"/>
      <c r="B3" s="215"/>
      <c r="C3" s="215"/>
      <c r="D3" s="215"/>
      <c r="E3" s="215"/>
      <c r="F3" s="215"/>
      <c r="G3" s="215"/>
      <c r="H3" s="215"/>
      <c r="I3" s="215"/>
      <c r="J3" s="215"/>
      <c r="K3" s="215"/>
      <c r="L3" s="215"/>
      <c r="P3" s="215"/>
    </row>
    <row r="4" spans="1:54" ht="26.25" customHeight="1">
      <c r="J4" s="202"/>
      <c r="K4" s="330"/>
      <c r="L4" s="330"/>
      <c r="M4" s="330"/>
      <c r="O4" s="257"/>
      <c r="AA4" s="331"/>
    </row>
    <row r="5" spans="1:54" ht="26.25" customHeight="1">
      <c r="B5" s="330"/>
      <c r="C5" s="330"/>
      <c r="D5" s="202"/>
      <c r="E5" s="330"/>
      <c r="F5" s="330"/>
      <c r="G5" s="202"/>
      <c r="H5" s="330"/>
      <c r="I5" s="330"/>
      <c r="J5" s="202"/>
      <c r="K5" s="330"/>
      <c r="L5" s="330"/>
      <c r="M5" s="330"/>
      <c r="O5" s="257"/>
      <c r="Z5" s="331"/>
    </row>
    <row r="6" spans="1:54" customFormat="1" ht="26.25" customHeight="1"/>
    <row r="7" spans="1:54" customFormat="1"/>
    <row r="8" spans="1:54" customFormat="1"/>
    <row r="9" spans="1:54" customFormat="1"/>
    <row r="10" spans="1:54" customFormat="1"/>
    <row r="11" spans="1:54" customFormat="1"/>
    <row r="12" spans="1:54" customFormat="1"/>
    <row r="13" spans="1:54" customFormat="1"/>
    <row r="14" spans="1:54" customFormat="1"/>
    <row r="15" spans="1:54" customFormat="1">
      <c r="D15">
        <v>10</v>
      </c>
    </row>
    <row r="16" spans="1:54" customFormat="1"/>
    <row r="17" spans="4:11" customFormat="1"/>
    <row r="18" spans="4:11" customFormat="1"/>
    <row r="19" spans="4:11" s="28" customFormat="1"/>
    <row r="20" spans="4:11" s="28" customFormat="1"/>
    <row r="21" spans="4:11" s="28" customFormat="1"/>
    <row r="22" spans="4:11" customFormat="1"/>
    <row r="23" spans="4:11" customFormat="1">
      <c r="D23" t="b">
        <v>0</v>
      </c>
      <c r="K23" s="32"/>
    </row>
    <row r="24" spans="4:11" customFormat="1">
      <c r="K24" s="32"/>
    </row>
    <row r="25" spans="4:11" customFormat="1">
      <c r="K25" s="32"/>
    </row>
    <row r="26" spans="4:11" customFormat="1">
      <c r="K26" s="32"/>
    </row>
    <row r="27" spans="4:11" customFormat="1">
      <c r="K27" s="32"/>
    </row>
    <row r="28" spans="4:11" customFormat="1">
      <c r="K28" s="32"/>
    </row>
    <row r="29" spans="4:11" customFormat="1">
      <c r="K29" s="562"/>
    </row>
    <row r="30" spans="4:11" customFormat="1">
      <c r="K30" s="487"/>
    </row>
    <row r="31" spans="4:11" customFormat="1">
      <c r="K31" s="562"/>
    </row>
    <row r="32" spans="4:11" customFormat="1">
      <c r="K32" s="487"/>
    </row>
    <row r="33" spans="11:11" customFormat="1">
      <c r="K33" s="562"/>
    </row>
    <row r="34" spans="11:11" customFormat="1">
      <c r="K34" s="487"/>
    </row>
    <row r="35" spans="11:11" customFormat="1">
      <c r="K35" s="562"/>
    </row>
    <row r="36" spans="11:11" customFormat="1">
      <c r="K36" s="32"/>
    </row>
    <row r="37" spans="11:11" customFormat="1">
      <c r="K37" s="487"/>
    </row>
    <row r="38" spans="11:11" customFormat="1">
      <c r="K38" s="32"/>
    </row>
    <row r="39" spans="11:11" customFormat="1">
      <c r="K39" s="487"/>
    </row>
    <row r="40" spans="11:11" customFormat="1">
      <c r="K40" s="32"/>
    </row>
    <row r="41" spans="11:11" customFormat="1">
      <c r="K41" s="487"/>
    </row>
    <row r="42" spans="11:11" customFormat="1"/>
    <row r="43" spans="11:11" customFormat="1" ht="21.75" hidden="1" customHeight="1"/>
    <row r="44" spans="11:11" customFormat="1" hidden="1"/>
    <row r="45" spans="11:11" customFormat="1" hidden="1"/>
    <row r="46" spans="11:11" customFormat="1" hidden="1"/>
    <row r="47" spans="11:11" customFormat="1" hidden="1"/>
    <row r="48" spans="11:11" customFormat="1" hidden="1"/>
    <row r="49" customFormat="1" hidden="1"/>
    <row r="50" customFormat="1" hidden="1"/>
    <row r="51" customFormat="1" hidden="1"/>
    <row r="52" customFormat="1" hidden="1"/>
    <row r="53" customFormat="1" hidden="1"/>
    <row r="54" customFormat="1" hidden="1"/>
    <row r="55" customFormat="1" hidden="1"/>
    <row r="56" customFormat="1" hidden="1"/>
    <row r="57" customFormat="1" hidden="1"/>
    <row r="58" customFormat="1" hidden="1"/>
    <row r="59" customFormat="1" hidden="1"/>
    <row r="60" customFormat="1" hidden="1"/>
    <row r="61" customFormat="1" hidden="1"/>
    <row r="62" customFormat="1" hidden="1"/>
    <row r="63" customFormat="1" hidden="1"/>
    <row r="64" customFormat="1" hidden="1"/>
    <row r="65" spans="26:26" customFormat="1" hidden="1"/>
    <row r="66" spans="26:26" customFormat="1" hidden="1"/>
    <row r="67" spans="26:26" customFormat="1" hidden="1"/>
    <row r="68" spans="26:26" customFormat="1" hidden="1"/>
    <row r="69" spans="26:26" customFormat="1" hidden="1"/>
    <row r="70" spans="26:26" customFormat="1" hidden="1"/>
    <row r="71" spans="26:26" customFormat="1" hidden="1"/>
    <row r="72" spans="26:26" customFormat="1" hidden="1"/>
    <row r="73" spans="26:26" customFormat="1" hidden="1"/>
    <row r="74" spans="26:26" customFormat="1" hidden="1"/>
    <row r="75" spans="26:26" customFormat="1" hidden="1"/>
    <row r="76" spans="26:26" customFormat="1" hidden="1"/>
    <row r="77" spans="26:26" hidden="1">
      <c r="Z77" s="78"/>
    </row>
    <row r="78" spans="26:26" hidden="1">
      <c r="Z78" s="78"/>
    </row>
    <row r="79" spans="26:26" hidden="1">
      <c r="Z79" s="78"/>
    </row>
    <row r="80" spans="26:26" hidden="1">
      <c r="Z80" s="78"/>
    </row>
    <row r="81" spans="25:31" hidden="1">
      <c r="Z81" s="78"/>
    </row>
    <row r="82" spans="25:31" hidden="1">
      <c r="Z82" s="78"/>
    </row>
    <row r="83" spans="25:31" hidden="1">
      <c r="Z83" s="78"/>
    </row>
    <row r="84" spans="25:31" hidden="1">
      <c r="Z84" s="78"/>
    </row>
    <row r="85" spans="25:31" hidden="1">
      <c r="Z85" s="78"/>
    </row>
    <row r="86" spans="25:31" hidden="1">
      <c r="Z86" s="78"/>
    </row>
    <row r="87" spans="25:31" hidden="1">
      <c r="Z87" s="78"/>
    </row>
    <row r="88" spans="25:31" hidden="1">
      <c r="Y88"/>
      <c r="Z88"/>
      <c r="AA88"/>
      <c r="AB88"/>
      <c r="AC88"/>
      <c r="AD88"/>
      <c r="AE88"/>
    </row>
    <row r="89" spans="25:31" hidden="1">
      <c r="Y89"/>
      <c r="Z89"/>
      <c r="AA89"/>
      <c r="AB89"/>
      <c r="AC89"/>
      <c r="AD89"/>
      <c r="AE89"/>
    </row>
    <row r="90" spans="25:31" hidden="1">
      <c r="Y90"/>
      <c r="Z90"/>
      <c r="AA90"/>
      <c r="AB90"/>
      <c r="AC90"/>
      <c r="AD90"/>
      <c r="AE90"/>
    </row>
    <row r="91" spans="25:31" hidden="1">
      <c r="Y91"/>
      <c r="Z91"/>
      <c r="AA91"/>
      <c r="AB91"/>
      <c r="AC91"/>
      <c r="AD91"/>
      <c r="AE91"/>
    </row>
    <row r="92" spans="25:31" hidden="1">
      <c r="Y92"/>
      <c r="Z92"/>
      <c r="AA92"/>
      <c r="AB92"/>
      <c r="AC92"/>
      <c r="AD92"/>
      <c r="AE92"/>
    </row>
  </sheetData>
  <pageMargins left="0.55118110236220474" right="0.55118110236220474" top="0.59055118110236227" bottom="0.78740157480314965" header="0.51181102362204722" footer="0.51181102362204722"/>
  <pageSetup paperSize="9" scale="64" orientation="landscape" r:id="rId1"/>
  <headerFooter alignWithMargins="0">
    <oddHeader>&amp;RResultados del Modelo de Reciclaje Inclusivo</oddHeader>
  </headerFooter>
  <drawing r:id="rId2"/>
  <legacyDrawing r:id="rId3"/>
</worksheet>
</file>

<file path=xl/worksheets/sheet17.xml><?xml version="1.0" encoding="utf-8"?>
<worksheet xmlns="http://schemas.openxmlformats.org/spreadsheetml/2006/main" xmlns:r="http://schemas.openxmlformats.org/officeDocument/2006/relationships">
  <sheetPr codeName="Sheet50">
    <pageSetUpPr autoPageBreaks="0" fitToPage="1"/>
  </sheetPr>
  <dimension ref="A1:BB112"/>
  <sheetViews>
    <sheetView showGridLines="0" showRowColHeaders="0" zoomScale="80" zoomScaleNormal="80" workbookViewId="0">
      <pane ySplit="4" topLeftCell="A5" activePane="bottomLeft" state="frozen"/>
      <selection pane="bottomLeft"/>
    </sheetView>
  </sheetViews>
  <sheetFormatPr defaultColWidth="43.7109375" defaultRowHeight="18.75" zeroHeight="1"/>
  <cols>
    <col min="1" max="1" width="2.7109375" style="229" customWidth="1"/>
    <col min="2" max="2" width="4" style="229" hidden="1" customWidth="1"/>
    <col min="3" max="3" width="100.42578125" style="157" customWidth="1"/>
    <col min="4" max="4" width="100.42578125" style="229" customWidth="1"/>
    <col min="5" max="5" width="3" style="229" customWidth="1"/>
    <col min="6" max="6" width="180.7109375" style="538" customWidth="1"/>
    <col min="7" max="13" width="7.140625" style="229" customWidth="1"/>
    <col min="14" max="15" width="7.140625" style="222" customWidth="1"/>
    <col min="16" max="52" width="7.140625" style="229" customWidth="1"/>
    <col min="53" max="427" width="5.7109375" style="229" customWidth="1"/>
    <col min="428" max="16384" width="43.7109375" style="229"/>
  </cols>
  <sheetData>
    <row r="1" spans="1:54" s="213" customFormat="1" ht="26.1" customHeight="1">
      <c r="A1" s="564" t="str">
        <f>lang!C3</f>
        <v>Reciclaje Inclusivo: Modelo Interactivo de Excel</v>
      </c>
      <c r="B1" s="212"/>
      <c r="C1" s="212"/>
      <c r="D1" s="212"/>
      <c r="E1" s="212"/>
      <c r="F1" s="575"/>
      <c r="G1" s="212"/>
      <c r="H1" s="212"/>
      <c r="I1" s="212"/>
      <c r="J1" s="212"/>
      <c r="K1" s="212"/>
      <c r="L1" s="212"/>
      <c r="P1" s="212"/>
      <c r="R1" s="214"/>
      <c r="S1" s="214"/>
      <c r="V1" s="214"/>
      <c r="BA1" s="329">
        <v>3</v>
      </c>
      <c r="BB1" s="329">
        <v>0</v>
      </c>
    </row>
    <row r="2" spans="1:54" s="213" customFormat="1" ht="30" customHeight="1">
      <c r="A2" s="211"/>
      <c r="B2" s="212"/>
      <c r="C2" s="212"/>
      <c r="D2" s="212"/>
      <c r="E2" s="212"/>
      <c r="F2" s="575"/>
      <c r="G2" s="212"/>
      <c r="H2" s="212"/>
      <c r="I2" s="212"/>
      <c r="J2" s="212"/>
      <c r="K2" s="212"/>
      <c r="L2" s="212"/>
      <c r="P2" s="212"/>
      <c r="R2" s="214"/>
      <c r="S2" s="214"/>
      <c r="V2" s="214"/>
      <c r="BA2" s="329"/>
      <c r="BB2" s="329"/>
    </row>
    <row r="3" spans="1:54" s="214" customFormat="1" ht="64.5" customHeight="1">
      <c r="A3" s="215"/>
      <c r="B3" s="215"/>
      <c r="C3" s="215"/>
      <c r="D3" s="215"/>
      <c r="E3" s="215"/>
      <c r="F3" s="576"/>
      <c r="G3" s="215"/>
      <c r="H3" s="215"/>
      <c r="I3" s="215"/>
      <c r="J3" s="215"/>
      <c r="K3" s="215"/>
      <c r="L3" s="215"/>
      <c r="P3" s="215"/>
    </row>
    <row r="4" spans="1:54" s="28" customFormat="1" ht="15" hidden="1" customHeight="1">
      <c r="C4" s="257"/>
      <c r="D4" s="229"/>
      <c r="F4" s="538"/>
    </row>
    <row r="5" spans="1:54" s="28" customFormat="1" ht="23.25" customHeight="1">
      <c r="C5" s="537" t="str">
        <f ca="1">iCity_Description!C2&amp;", "&amp;iCity_Description!F2</f>
        <v>Asunción,  Paraguay</v>
      </c>
      <c r="F5" s="538"/>
    </row>
    <row r="6" spans="1:54" s="28" customFormat="1" ht="23.25" hidden="1" customHeight="1">
      <c r="C6" s="537"/>
      <c r="F6" s="538"/>
    </row>
    <row r="7" spans="1:54" s="28" customFormat="1" ht="11.25" customHeight="1">
      <c r="C7" s="257"/>
      <c r="F7" s="538"/>
    </row>
    <row r="8" spans="1:54" s="567" customFormat="1">
      <c r="B8" s="567">
        <f t="shared" ref="B8:B12" si="0">IF(C8="",0,1)</f>
        <v>1</v>
      </c>
      <c r="C8" s="728" t="s">
        <v>2434</v>
      </c>
      <c r="D8" s="729"/>
      <c r="E8" s="730"/>
      <c r="F8" s="568" t="str">
        <f t="shared" ref="F8:F12" si="1">C8</f>
        <v>Definición;</v>
      </c>
      <c r="G8" s="730"/>
      <c r="H8" s="730"/>
      <c r="I8" s="730"/>
      <c r="J8" s="730"/>
      <c r="K8" s="730"/>
      <c r="L8" s="730"/>
      <c r="M8" s="730"/>
      <c r="N8" s="730"/>
      <c r="O8" s="730"/>
      <c r="P8" s="730"/>
      <c r="Q8" s="730"/>
      <c r="R8" s="730"/>
      <c r="S8" s="730"/>
      <c r="T8" s="730"/>
      <c r="U8" s="730"/>
      <c r="V8" s="730"/>
      <c r="W8" s="730"/>
      <c r="X8" s="730"/>
      <c r="Y8" s="730"/>
      <c r="Z8" s="730"/>
      <c r="AA8" s="730"/>
      <c r="AB8" s="730"/>
      <c r="AC8" s="730"/>
      <c r="AD8" s="730"/>
      <c r="AE8" s="730"/>
      <c r="AF8" s="730"/>
      <c r="AG8" s="730"/>
    </row>
    <row r="9" spans="1:54" s="535" customFormat="1" ht="56.25">
      <c r="B9" s="535">
        <f t="shared" si="0"/>
        <v>1</v>
      </c>
      <c r="C9" s="789" t="str">
        <f>iCity_Definitions!G3</f>
        <v>Asunción se encuentra ubicada a la margen este del río Paraguay, frente a la confluencia del mismo con el río Pilcomayo. La ciudad, conformada por 6 distritos y 68 barríos, limita al noroeste con la ciudad de Mariano Roque Alonso, al este con las ciudades de Luque y Fernando de la Mora y al sur con las ciudades de Lambaré y Villa Elisa. Asunción es un municipio autónomo, no adscrito a ningún departamento.</v>
      </c>
      <c r="D9" s="789"/>
      <c r="F9" s="538" t="str">
        <f t="shared" si="1"/>
        <v>Asunción se encuentra ubicada a la margen este del río Paraguay, frente a la confluencia del mismo con el río Pilcomayo. La ciudad, conformada por 6 distritos y 68 barríos, limita al noroeste con la ciudad de Mariano Roque Alonso, al este con las ciudades de Luque y Fernando de la Mora y al sur con las ciudades de Lambaré y Villa Elisa. Asunción es un municipio autónomo, no adscrito a ningún departamento.</v>
      </c>
    </row>
    <row r="10" spans="1:54" s="28" customFormat="1" hidden="1">
      <c r="B10" s="28">
        <v>0</v>
      </c>
      <c r="C10" s="257"/>
      <c r="F10" s="538">
        <f t="shared" si="1"/>
        <v>0</v>
      </c>
    </row>
    <row r="11" spans="1:54" s="567" customFormat="1">
      <c r="B11" s="567">
        <f t="shared" si="0"/>
        <v>1</v>
      </c>
      <c r="C11" s="728" t="s">
        <v>2435</v>
      </c>
      <c r="D11" s="731"/>
      <c r="F11" s="568" t="str">
        <f t="shared" si="1"/>
        <v>Fuentes:</v>
      </c>
    </row>
    <row r="12" spans="1:54" s="28" customFormat="1" ht="37.5">
      <c r="B12" s="28">
        <f t="shared" si="0"/>
        <v>1</v>
      </c>
      <c r="C12" s="791" t="str">
        <f>iCity_Definitions!G4</f>
        <v>Municipalidad de Asunción. 2016. Plan Regulador, Dirección General de Desarrollo Urbano [http://sig.mca.gov.py/] Programa de las Naciones Unidas para el Medio Ambiente, Secretaría del Ambiente y Municipalidad de Asunción (Paraguay). 2008. "Perspectivas del Medio Ambiente Urbano. GEO Asunción". Programa de las Naciones Unidas para el Medio Ambiente</v>
      </c>
      <c r="D12" s="791"/>
      <c r="F12" s="538" t="str">
        <f t="shared" si="1"/>
        <v>Municipalidad de Asunción. 2016. Plan Regulador, Dirección General de Desarrollo Urbano [http://sig.mca.gov.py/] Programa de las Naciones Unidas para el Medio Ambiente, Secretaría del Ambiente y Municipalidad de Asunción (Paraguay). 2008. "Perspectivas del Medio Ambiente Urbano. GEO Asunción". Programa de las Naciones Unidas para el Medio Ambiente</v>
      </c>
    </row>
    <row r="13" spans="1:54" s="28" customFormat="1" hidden="1">
      <c r="B13" s="28">
        <v>0</v>
      </c>
      <c r="C13" s="257"/>
      <c r="F13" s="538"/>
    </row>
    <row r="14" spans="1:54" s="28" customFormat="1" hidden="1">
      <c r="B14" s="28">
        <v>0</v>
      </c>
      <c r="C14" s="257"/>
      <c r="F14" s="538"/>
    </row>
    <row r="15" spans="1:54" s="28" customFormat="1" hidden="1">
      <c r="B15" s="28">
        <v>0</v>
      </c>
      <c r="C15" s="257"/>
      <c r="F15" s="538"/>
    </row>
    <row r="16" spans="1:54" s="28" customFormat="1" hidden="1">
      <c r="B16" s="28">
        <v>0</v>
      </c>
      <c r="C16" s="257"/>
      <c r="F16" s="538"/>
    </row>
    <row r="17" spans="1:15" s="28" customFormat="1" hidden="1">
      <c r="B17" s="28">
        <v>0</v>
      </c>
      <c r="C17" s="257"/>
      <c r="F17" s="538"/>
    </row>
    <row r="18" spans="1:15" s="28" customFormat="1" hidden="1">
      <c r="B18" s="28">
        <v>0</v>
      </c>
      <c r="C18" s="257"/>
      <c r="F18" s="538"/>
    </row>
    <row r="19" spans="1:15" s="28" customFormat="1" hidden="1">
      <c r="B19" s="28">
        <v>0</v>
      </c>
      <c r="C19" s="257"/>
      <c r="F19" s="538"/>
    </row>
    <row r="20" spans="1:15" s="28" customFormat="1" hidden="1">
      <c r="B20" s="28">
        <v>0</v>
      </c>
      <c r="C20" s="257"/>
      <c r="F20" s="538"/>
    </row>
    <row r="21" spans="1:15" s="28" customFormat="1" hidden="1">
      <c r="B21" s="28">
        <v>0</v>
      </c>
      <c r="C21" s="257"/>
      <c r="F21" s="538"/>
    </row>
    <row r="22" spans="1:15" s="28" customFormat="1">
      <c r="B22" s="28">
        <v>0</v>
      </c>
      <c r="C22" s="257"/>
      <c r="F22" s="538"/>
    </row>
    <row r="23" spans="1:15" s="28" customFormat="1">
      <c r="B23" s="28">
        <v>0</v>
      </c>
      <c r="C23" s="257"/>
      <c r="F23" s="538"/>
    </row>
    <row r="24" spans="1:15" s="261" customFormat="1">
      <c r="B24" s="28">
        <v>0</v>
      </c>
      <c r="C24" s="157"/>
      <c r="F24" s="538"/>
      <c r="N24" s="264"/>
      <c r="O24" s="264"/>
    </row>
    <row r="25" spans="1:15" s="261" customFormat="1">
      <c r="B25" s="28">
        <v>0</v>
      </c>
      <c r="C25" s="157"/>
      <c r="F25" s="538"/>
      <c r="N25" s="264"/>
      <c r="O25" s="264"/>
    </row>
    <row r="26" spans="1:15" s="261" customFormat="1">
      <c r="B26" s="28">
        <v>0</v>
      </c>
      <c r="C26" s="157"/>
      <c r="F26" s="538"/>
      <c r="N26" s="264"/>
      <c r="O26" s="264"/>
    </row>
    <row r="27" spans="1:15" s="261" customFormat="1">
      <c r="B27" s="28">
        <v>0</v>
      </c>
      <c r="C27" s="157"/>
      <c r="F27" s="538"/>
      <c r="N27" s="264"/>
      <c r="O27" s="264"/>
    </row>
    <row r="28" spans="1:15" s="261" customFormat="1">
      <c r="B28" s="28">
        <v>0</v>
      </c>
      <c r="C28" s="157"/>
      <c r="F28" s="538"/>
      <c r="N28" s="264"/>
      <c r="O28" s="264"/>
    </row>
    <row r="29" spans="1:15" s="261" customFormat="1">
      <c r="B29" s="28">
        <v>0</v>
      </c>
      <c r="C29" s="157"/>
      <c r="F29" s="538"/>
      <c r="N29" s="264"/>
      <c r="O29" s="264"/>
    </row>
    <row r="30" spans="1:15">
      <c r="A30" s="261"/>
      <c r="B30" s="28">
        <v>0</v>
      </c>
    </row>
    <row r="31" spans="1:15">
      <c r="B31" s="28">
        <v>0</v>
      </c>
    </row>
    <row r="32" spans="1:15">
      <c r="A32" s="261"/>
      <c r="B32" s="28">
        <v>0</v>
      </c>
    </row>
    <row r="33" spans="1:2">
      <c r="B33" s="261"/>
    </row>
    <row r="34" spans="1:2"/>
    <row r="35" spans="1:2">
      <c r="A35" s="261"/>
    </row>
    <row r="36" spans="1:2" hidden="1">
      <c r="A36" s="261"/>
    </row>
    <row r="37" spans="1:2" hidden="1"/>
    <row r="38" spans="1:2" hidden="1"/>
    <row r="39" spans="1:2" hidden="1"/>
    <row r="40" spans="1:2" hidden="1"/>
    <row r="41" spans="1:2" hidden="1"/>
    <row r="42" spans="1:2" hidden="1"/>
    <row r="43" spans="1:2" hidden="1"/>
    <row r="44" spans="1:2" hidden="1"/>
    <row r="45" spans="1:2" hidden="1"/>
    <row r="46" spans="1:2" hidden="1"/>
    <row r="47" spans="1:2" hidden="1"/>
    <row r="48" spans="1:2"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1:1" hidden="1"/>
    <row r="98" spans="1:1" hidden="1"/>
    <row r="99" spans="1:1" hidden="1"/>
    <row r="100" spans="1:1" hidden="1"/>
    <row r="101" spans="1:1" hidden="1"/>
    <row r="102" spans="1:1" hidden="1"/>
    <row r="103" spans="1:1" hidden="1"/>
    <row r="104" spans="1:1" hidden="1"/>
    <row r="105" spans="1:1" hidden="1"/>
    <row r="106" spans="1:1" hidden="1"/>
    <row r="107" spans="1:1" hidden="1"/>
    <row r="108" spans="1:1" hidden="1"/>
    <row r="109" spans="1:1" hidden="1"/>
    <row r="110" spans="1:1" hidden="1"/>
    <row r="111" spans="1:1" hidden="1"/>
    <row r="112" spans="1:1" hidden="1">
      <c r="A112" s="261"/>
    </row>
  </sheetData>
  <sheetProtection password="BF31" sheet="1" objects="1" scenarios="1"/>
  <mergeCells count="2">
    <mergeCell ref="C9:D9"/>
    <mergeCell ref="C12:D12"/>
  </mergeCells>
  <pageMargins left="0.55118110236220474" right="0.55118110236220474" top="0.59055118110236227" bottom="0.78740157480314965" header="0.51181102362204722" footer="0.51181102362204722"/>
  <pageSetup paperSize="9" orientation="landscape" horizontalDpi="1200" verticalDpi="1200" r:id="rId1"/>
  <headerFooter alignWithMargins="0">
    <oddHeader>&amp;RResultados del Modelo de Reciclaje Inclusivo</oddHeader>
  </headerFooter>
  <drawing r:id="rId2"/>
  <legacyDrawing r:id="rId3"/>
</worksheet>
</file>

<file path=xl/worksheets/sheet18.xml><?xml version="1.0" encoding="utf-8"?>
<worksheet xmlns="http://schemas.openxmlformats.org/spreadsheetml/2006/main" xmlns:r="http://schemas.openxmlformats.org/officeDocument/2006/relationships">
  <sheetPr codeName="Sheet26">
    <pageSetUpPr fitToPage="1"/>
  </sheetPr>
  <dimension ref="A1:BB135"/>
  <sheetViews>
    <sheetView showGridLines="0" showRowColHeaders="0" zoomScale="80" zoomScaleNormal="80" workbookViewId="0">
      <pane ySplit="3" topLeftCell="A4" activePane="bottomLeft" state="frozen"/>
      <selection pane="bottomLeft"/>
    </sheetView>
  </sheetViews>
  <sheetFormatPr defaultRowHeight="15" zeroHeight="1"/>
  <cols>
    <col min="1" max="1" width="2.7109375" style="78" customWidth="1"/>
    <col min="2" max="4" width="4.28515625" style="78" hidden="1" customWidth="1"/>
    <col min="5" max="5" width="61.5703125" style="324" customWidth="1"/>
    <col min="6" max="6" width="3.140625" style="327" hidden="1" customWidth="1"/>
    <col min="7" max="7" width="1.42578125" style="80" customWidth="1"/>
    <col min="8" max="8" width="8.28515625" style="327" customWidth="1"/>
    <col min="9" max="9" width="2.5703125" style="96" hidden="1" customWidth="1"/>
    <col min="10" max="10" width="8.28515625" style="328" customWidth="1"/>
    <col min="11" max="11" width="1" style="78" customWidth="1"/>
    <col min="12" max="12" width="15.7109375" style="327" customWidth="1"/>
    <col min="13" max="13" width="2.140625" style="397" customWidth="1"/>
    <col min="14" max="14" width="2.140625" style="397" bestFit="1" customWidth="1"/>
    <col min="15" max="15" width="10.85546875" style="80" customWidth="1"/>
    <col min="16" max="16" width="14.28515625" style="80" customWidth="1"/>
    <col min="17" max="17" width="1.5703125" style="80" customWidth="1"/>
    <col min="18" max="25" width="11.42578125" style="80" customWidth="1"/>
    <col min="26" max="26" width="60.7109375" style="741" customWidth="1"/>
    <col min="27" max="28" width="11.42578125" style="80" customWidth="1"/>
    <col min="29" max="46" width="9.140625" style="80"/>
    <col min="47" max="16384" width="9.140625" style="78"/>
  </cols>
  <sheetData>
    <row r="1" spans="1:54" s="213" customFormat="1" ht="26.1" customHeight="1">
      <c r="A1" s="564" t="str">
        <f>lang!C3</f>
        <v>Reciclaje Inclusivo: Modelo Interactivo de Excel</v>
      </c>
      <c r="B1" s="212"/>
      <c r="C1" s="212"/>
      <c r="D1" s="212"/>
      <c r="E1" s="212"/>
      <c r="F1" s="212"/>
      <c r="G1" s="212"/>
      <c r="H1" s="212"/>
      <c r="I1" s="212"/>
      <c r="J1" s="212"/>
      <c r="K1" s="212"/>
      <c r="L1" s="212"/>
      <c r="Z1" s="739"/>
      <c r="AL1" s="329">
        <v>2</v>
      </c>
      <c r="AM1" s="329">
        <v>1</v>
      </c>
      <c r="BA1" s="329">
        <v>3</v>
      </c>
      <c r="BB1" s="329">
        <v>1</v>
      </c>
    </row>
    <row r="2" spans="1:54" s="213" customFormat="1" ht="30" customHeight="1">
      <c r="A2" s="211"/>
      <c r="B2" s="212"/>
      <c r="C2" s="212"/>
      <c r="D2" s="212"/>
      <c r="E2" s="212"/>
      <c r="F2" s="212"/>
      <c r="G2" s="212"/>
      <c r="H2" s="212"/>
      <c r="I2" s="212"/>
      <c r="J2" s="212"/>
      <c r="K2" s="212"/>
      <c r="L2" s="212"/>
      <c r="Z2" s="739"/>
      <c r="AL2" s="329"/>
      <c r="AM2" s="329"/>
    </row>
    <row r="3" spans="1:54" s="214" customFormat="1" ht="65.099999999999994" customHeight="1">
      <c r="A3" s="215"/>
      <c r="B3" s="215"/>
      <c r="C3" s="215"/>
      <c r="D3" s="215"/>
      <c r="E3" s="215"/>
      <c r="F3" s="215"/>
      <c r="G3" s="215"/>
      <c r="H3" s="215"/>
      <c r="I3" s="215"/>
      <c r="J3" s="215"/>
      <c r="K3" s="215"/>
      <c r="L3" s="215"/>
      <c r="Z3" s="740"/>
    </row>
    <row r="4" spans="1:54" s="82" customFormat="1" ht="23.25" customHeight="1">
      <c r="A4" s="82" t="s">
        <v>2436</v>
      </c>
      <c r="E4" s="711" t="str">
        <f ca="1">uxb_works!C24</f>
        <v>Asunción</v>
      </c>
      <c r="F4" s="303"/>
      <c r="H4" s="303"/>
      <c r="I4" s="196"/>
      <c r="J4" s="196"/>
      <c r="L4" s="303"/>
      <c r="M4" s="397"/>
      <c r="N4" s="397"/>
      <c r="O4" s="80"/>
      <c r="P4" s="80"/>
      <c r="Q4" s="80"/>
      <c r="R4" s="80"/>
      <c r="S4" s="80"/>
      <c r="T4" s="80"/>
      <c r="U4" s="80"/>
      <c r="V4" s="80"/>
      <c r="W4" s="80"/>
      <c r="X4" s="80"/>
      <c r="Y4" s="80"/>
      <c r="Z4" s="741"/>
      <c r="AA4" s="80"/>
      <c r="AB4" s="80"/>
      <c r="AC4" s="80"/>
      <c r="AD4" s="80"/>
      <c r="AE4" s="80"/>
      <c r="AF4" s="80"/>
      <c r="AG4" s="80"/>
      <c r="AH4" s="80"/>
      <c r="AI4" s="80"/>
      <c r="AJ4" s="80"/>
      <c r="AK4" s="80"/>
      <c r="AL4" s="80"/>
      <c r="AM4" s="80"/>
      <c r="AN4" s="80"/>
      <c r="AO4" s="80"/>
      <c r="AP4" s="80"/>
      <c r="AQ4" s="80"/>
      <c r="AR4" s="80"/>
      <c r="AS4" s="80"/>
      <c r="AT4" s="80"/>
    </row>
    <row r="5" spans="1:54">
      <c r="E5" s="305" t="str">
        <f>lang!C79</f>
        <v>Seleccione rango del indicador</v>
      </c>
      <c r="F5" s="306"/>
      <c r="H5" s="306"/>
      <c r="I5" s="307"/>
      <c r="J5" s="86"/>
      <c r="L5" s="306"/>
    </row>
    <row r="6" spans="1:54" ht="7.5" customHeight="1">
      <c r="E6" s="309"/>
      <c r="F6" s="306"/>
      <c r="H6" s="306"/>
      <c r="I6" s="307"/>
      <c r="J6" s="86"/>
      <c r="L6" s="306"/>
    </row>
    <row r="7" spans="1:54" s="142" customFormat="1" ht="39.75" customHeight="1">
      <c r="E7" s="659"/>
      <c r="G7" s="80"/>
      <c r="H7" s="770" t="str">
        <f>iCCompare!G2</f>
        <v>Asunción</v>
      </c>
      <c r="I7" s="771"/>
      <c r="J7" s="772"/>
      <c r="K7" s="78"/>
      <c r="L7" s="726" t="s">
        <v>862</v>
      </c>
      <c r="M7" s="398"/>
      <c r="N7" s="398"/>
      <c r="O7" s="198"/>
      <c r="P7" s="198"/>
      <c r="Q7" s="198"/>
      <c r="R7" s="198"/>
      <c r="S7" s="198"/>
      <c r="T7" s="198"/>
      <c r="U7" s="198"/>
      <c r="V7" s="198"/>
      <c r="W7" s="198"/>
      <c r="X7" s="198"/>
      <c r="Y7" s="198"/>
      <c r="Z7" s="742"/>
      <c r="AA7" s="198"/>
      <c r="AB7" s="198"/>
      <c r="AC7" s="198"/>
      <c r="AD7" s="198"/>
      <c r="AE7" s="198"/>
      <c r="AF7" s="198"/>
      <c r="AG7" s="198"/>
      <c r="AH7" s="198"/>
      <c r="AI7" s="198"/>
      <c r="AJ7" s="198"/>
      <c r="AK7" s="198"/>
      <c r="AL7" s="198"/>
      <c r="AM7" s="198"/>
      <c r="AN7" s="198"/>
      <c r="AO7" s="198"/>
      <c r="AP7" s="198"/>
      <c r="AQ7" s="198"/>
      <c r="AR7" s="198"/>
      <c r="AS7" s="198"/>
      <c r="AT7" s="198"/>
    </row>
    <row r="8" spans="1:54" ht="15.75">
      <c r="E8" s="310"/>
      <c r="F8" s="311"/>
      <c r="H8" s="584" t="s">
        <v>2437</v>
      </c>
      <c r="I8" s="585" t="s">
        <v>64</v>
      </c>
      <c r="J8" s="586" t="s">
        <v>2442</v>
      </c>
      <c r="K8" s="314"/>
      <c r="L8" s="721" t="s">
        <v>2437</v>
      </c>
    </row>
    <row r="9" spans="1:54" s="28" customFormat="1" ht="6" customHeight="1">
      <c r="Z9" s="741"/>
    </row>
    <row r="10" spans="1:54" s="712" customFormat="1">
      <c r="B10" s="712">
        <f>iCCompare!AI10</f>
        <v>1</v>
      </c>
      <c r="C10" s="712" t="str">
        <f>IF(D10="","0","1")</f>
        <v>1</v>
      </c>
      <c r="D10" s="712">
        <f>iCCompare!T10</f>
        <v>1</v>
      </c>
      <c r="E10" s="737" t="str">
        <f>IF(ISERROR(REPT(" ",(B10-1)*2)&amp;iCCompare!Y10),"",REPT(" ",(B10-1)*2)&amp;iCCompare!Y10)</f>
        <v>1) NORMATIVA</v>
      </c>
      <c r="F10" s="714" t="e">
        <f ca="1">IF($J10&gt;#REF!,1,IF($J10&lt;#REF!,2,0))</f>
        <v>#REF!</v>
      </c>
      <c r="G10" s="715">
        <v>0</v>
      </c>
      <c r="H10" s="716">
        <f ca="1">iCCompare!Z10</f>
        <v>32.8125</v>
      </c>
      <c r="I10" s="717" t="str">
        <f>TEXT(iCCompare!AA10,iCCompare!AV10)</f>
        <v/>
      </c>
      <c r="J10" s="718" t="str">
        <f ca="1">iCCompare!AJ10</f>
        <v>10</v>
      </c>
      <c r="L10" s="723">
        <f ca="1">iCCompare!AH10</f>
        <v>45.441666666666663</v>
      </c>
      <c r="M10" s="720"/>
      <c r="N10" s="720"/>
      <c r="O10" s="715"/>
      <c r="P10" s="715"/>
      <c r="Q10" s="715"/>
      <c r="R10" s="715"/>
      <c r="S10" s="715"/>
      <c r="T10" s="715"/>
      <c r="U10" s="715"/>
      <c r="V10" s="715"/>
      <c r="W10" s="715"/>
      <c r="X10" s="715"/>
      <c r="Y10" s="715"/>
      <c r="Z10" s="743" t="str">
        <f>E10</f>
        <v>1) NORMATIVA</v>
      </c>
      <c r="AA10" s="715"/>
      <c r="AB10" s="715"/>
      <c r="AC10" s="715"/>
      <c r="AD10" s="715"/>
      <c r="AE10" s="715"/>
      <c r="AF10" s="715"/>
      <c r="AG10" s="715"/>
      <c r="AH10" s="715"/>
      <c r="AI10" s="715"/>
      <c r="AJ10" s="715"/>
      <c r="AK10" s="715"/>
      <c r="AL10" s="715"/>
      <c r="AM10" s="715"/>
      <c r="AN10" s="715"/>
      <c r="AO10" s="715"/>
      <c r="AP10" s="715"/>
      <c r="AQ10" s="715"/>
      <c r="AR10" s="715"/>
      <c r="AS10" s="715"/>
      <c r="AT10" s="715"/>
    </row>
    <row r="11" spans="1:54" s="315" customFormat="1">
      <c r="B11" s="712">
        <f>iCCompare!AI11</f>
        <v>2</v>
      </c>
      <c r="C11" s="315" t="str">
        <f t="shared" ref="C11:C58" si="0">IF(D11="","0","1")</f>
        <v>1</v>
      </c>
      <c r="D11" s="315">
        <f>iCCompare!T11</f>
        <v>2</v>
      </c>
      <c r="E11" s="738" t="str">
        <f>IF(ISERROR(REPT(" ",(B11-1)*2)&amp;iCCompare!Y11),"",REPT(" ",(B11-1)*2)&amp;iCCompare!Y11)</f>
        <v xml:space="preserve">  1.1) Normativa sobre gestión de residuos</v>
      </c>
      <c r="F11" s="317" t="e">
        <f ca="1">IF($J11&gt;#REF!,1,IF($J11&lt;#REF!,2,0))</f>
        <v>#REF!</v>
      </c>
      <c r="G11" s="199">
        <v>0</v>
      </c>
      <c r="H11" s="318">
        <f ca="1">iCCompare!Z11</f>
        <v>25</v>
      </c>
      <c r="I11" s="319" t="str">
        <f>TEXT(iCCompare!AA11,iCCompare!AV11)</f>
        <v/>
      </c>
      <c r="J11" s="320" t="str">
        <f ca="1">iCCompare!AJ11</f>
        <v>=7</v>
      </c>
      <c r="L11" s="724">
        <f ca="1">iCCompare!AH11</f>
        <v>43.75</v>
      </c>
      <c r="M11" s="399"/>
      <c r="N11" s="399"/>
      <c r="O11" s="199"/>
      <c r="P11" s="199"/>
      <c r="Q11" s="199"/>
      <c r="R11" s="199"/>
      <c r="S11" s="199"/>
      <c r="T11" s="199"/>
      <c r="U11" s="199"/>
      <c r="V11" s="199"/>
      <c r="W11" s="199"/>
      <c r="X11" s="199"/>
      <c r="Y11" s="199"/>
      <c r="Z11" s="743" t="str">
        <f t="shared" ref="Z11:Z59" si="1">E11</f>
        <v xml:space="preserve">  1.1) Normativa sobre gestión de residuos</v>
      </c>
      <c r="AA11" s="199"/>
      <c r="AB11" s="199"/>
      <c r="AC11" s="199"/>
      <c r="AD11" s="199"/>
      <c r="AE11" s="199"/>
      <c r="AF11" s="199"/>
      <c r="AG11" s="199"/>
      <c r="AH11" s="199"/>
      <c r="AI11" s="199"/>
      <c r="AJ11" s="199"/>
      <c r="AK11" s="199"/>
      <c r="AL11" s="199"/>
      <c r="AM11" s="199"/>
      <c r="AN11" s="199"/>
      <c r="AO11" s="199"/>
      <c r="AP11" s="199"/>
      <c r="AQ11" s="199"/>
      <c r="AR11" s="199"/>
      <c r="AS11" s="199"/>
      <c r="AT11" s="199"/>
    </row>
    <row r="12" spans="1:54" s="315" customFormat="1" ht="28.5">
      <c r="B12" s="712">
        <f>iCCompare!AI12</f>
        <v>3</v>
      </c>
      <c r="C12" s="315" t="str">
        <f t="shared" si="0"/>
        <v>1</v>
      </c>
      <c r="D12" s="315">
        <f>iCCompare!T12</f>
        <v>3</v>
      </c>
      <c r="E12" s="738" t="str">
        <f>IF(ISERROR(REPT(" ",(B12-1)*2)&amp;iCCompare!Y12),"",REPT(" ",(B12-1)*2)&amp;iCCompare!Y12)</f>
        <v xml:space="preserve">    1.1.1) 1.¿ Existe un marco legal nacional para la gestión de residuos orientado al reciclaje con la inclusión de actores informales?</v>
      </c>
      <c r="F12" s="317" t="e">
        <f ca="1">IF($J12&gt;#REF!,1,IF($J12&lt;#REF!,2,0))</f>
        <v>#REF!</v>
      </c>
      <c r="G12" s="199">
        <v>0</v>
      </c>
      <c r="H12" s="318">
        <f ca="1">iCCompare!Z12</f>
        <v>0</v>
      </c>
      <c r="I12" s="319" t="str">
        <f>TEXT(iCCompare!AA12,iCCompare!AV12)</f>
        <v>0</v>
      </c>
      <c r="J12" s="320" t="str">
        <f ca="1">iCCompare!AJ12</f>
        <v>=8</v>
      </c>
      <c r="L12" s="724">
        <f ca="1">iCCompare!AH12</f>
        <v>37.5</v>
      </c>
      <c r="M12" s="399"/>
      <c r="N12" s="399"/>
      <c r="O12" s="199"/>
      <c r="P12" s="199"/>
      <c r="Q12" s="199"/>
      <c r="R12" s="199"/>
      <c r="S12" s="199"/>
      <c r="T12" s="199"/>
      <c r="U12" s="199"/>
      <c r="V12" s="199"/>
      <c r="W12" s="199"/>
      <c r="X12" s="199"/>
      <c r="Y12" s="199"/>
      <c r="Z12" s="743" t="str">
        <f t="shared" si="1"/>
        <v xml:space="preserve">    1.1.1) 1.¿ Existe un marco legal nacional para la gestión de residuos orientado al reciclaje con la inclusión de actores informales?</v>
      </c>
      <c r="AA12" s="199"/>
      <c r="AB12" s="199"/>
      <c r="AC12" s="199"/>
      <c r="AD12" s="199"/>
      <c r="AE12" s="199"/>
      <c r="AF12" s="199"/>
      <c r="AG12" s="199"/>
      <c r="AH12" s="199"/>
      <c r="AI12" s="199"/>
      <c r="AJ12" s="199"/>
      <c r="AK12" s="199"/>
      <c r="AL12" s="199"/>
      <c r="AM12" s="199"/>
      <c r="AN12" s="199"/>
      <c r="AO12" s="199"/>
      <c r="AP12" s="199"/>
      <c r="AQ12" s="199"/>
      <c r="AR12" s="199"/>
      <c r="AS12" s="199"/>
      <c r="AT12" s="199"/>
    </row>
    <row r="13" spans="1:54" s="315" customFormat="1" ht="28.5">
      <c r="B13" s="712">
        <f>iCCompare!AI13</f>
        <v>3</v>
      </c>
      <c r="C13" s="315" t="str">
        <f t="shared" si="0"/>
        <v>1</v>
      </c>
      <c r="D13" s="315">
        <f>iCCompare!T13</f>
        <v>4</v>
      </c>
      <c r="E13" s="738" t="str">
        <f>IF(ISERROR(REPT(" ",(B13-1)*2)&amp;iCCompare!Y13),"",REPT(" ",(B13-1)*2)&amp;iCCompare!Y13)</f>
        <v xml:space="preserve">    1.1.2) 2.¿Existe un marco legal municipal para la gestión de residuos orientado al reciclaje y la inclusión de actores informales?</v>
      </c>
      <c r="F13" s="317" t="e">
        <f ca="1">IF($J13&gt;#REF!,1,IF($J13&lt;#REF!,2,0))</f>
        <v>#REF!</v>
      </c>
      <c r="G13" s="199">
        <v>0</v>
      </c>
      <c r="H13" s="318">
        <f ca="1">iCCompare!Z13</f>
        <v>50</v>
      </c>
      <c r="I13" s="319" t="str">
        <f>TEXT(iCCompare!AA13,iCCompare!AV13)</f>
        <v>1</v>
      </c>
      <c r="J13" s="320" t="str">
        <f ca="1">iCCompare!AJ13</f>
        <v>=6</v>
      </c>
      <c r="L13" s="724">
        <f ca="1">iCCompare!AH13</f>
        <v>54.166666666666664</v>
      </c>
      <c r="M13" s="399"/>
      <c r="N13" s="399"/>
      <c r="O13" s="199"/>
      <c r="P13" s="199"/>
      <c r="Q13" s="199"/>
      <c r="R13" s="199"/>
      <c r="S13" s="199"/>
      <c r="T13" s="199"/>
      <c r="U13" s="199"/>
      <c r="V13" s="199"/>
      <c r="W13" s="199"/>
      <c r="X13" s="199"/>
      <c r="Y13" s="199"/>
      <c r="Z13" s="743" t="str">
        <f t="shared" si="1"/>
        <v xml:space="preserve">    1.1.2) 2.¿Existe un marco legal municipal para la gestión de residuos orientado al reciclaje y la inclusión de actores informales?</v>
      </c>
      <c r="AA13" s="199"/>
      <c r="AB13" s="199"/>
      <c r="AC13" s="199"/>
      <c r="AD13" s="199"/>
      <c r="AE13" s="199"/>
      <c r="AF13" s="199"/>
      <c r="AG13" s="199"/>
      <c r="AH13" s="199"/>
      <c r="AI13" s="199"/>
      <c r="AJ13" s="199"/>
      <c r="AK13" s="199"/>
      <c r="AL13" s="199"/>
      <c r="AM13" s="199"/>
      <c r="AN13" s="199"/>
      <c r="AO13" s="199"/>
      <c r="AP13" s="199"/>
      <c r="AQ13" s="199"/>
      <c r="AR13" s="199"/>
      <c r="AS13" s="199"/>
      <c r="AT13" s="199"/>
    </row>
    <row r="14" spans="1:54" s="315" customFormat="1" ht="28.5">
      <c r="B14" s="712">
        <f>iCCompare!AI14</f>
        <v>3</v>
      </c>
      <c r="C14" s="315" t="str">
        <f t="shared" si="0"/>
        <v>1</v>
      </c>
      <c r="D14" s="315">
        <f>iCCompare!T14</f>
        <v>5</v>
      </c>
      <c r="E14" s="738" t="str">
        <f>IF(ISERROR(REPT(" ",(B14-1)*2)&amp;iCCompare!Y14),"",REPT(" ",(B14-1)*2)&amp;iCCompare!Y14)</f>
        <v xml:space="preserve">    1.1.3) 3.¿Son las políticas municipales suficientemente estables para garantizar la continuidad en materia de políticas de reciclaje inclusivo?</v>
      </c>
      <c r="F14" s="317" t="e">
        <f ca="1">IF($J14&gt;#REF!,1,IF($J14&lt;#REF!,2,0))</f>
        <v>#REF!</v>
      </c>
      <c r="G14" s="199">
        <v>0</v>
      </c>
      <c r="H14" s="318">
        <f ca="1">iCCompare!Z14</f>
        <v>50</v>
      </c>
      <c r="I14" s="319" t="str">
        <f>TEXT(iCCompare!AA14,iCCompare!AV14)</f>
        <v>1</v>
      </c>
      <c r="J14" s="320" t="str">
        <f ca="1">iCCompare!AJ14</f>
        <v>=3</v>
      </c>
      <c r="L14" s="724">
        <f ca="1">iCCompare!AH14</f>
        <v>33.333333333333336</v>
      </c>
      <c r="M14" s="399"/>
      <c r="N14" s="399"/>
      <c r="O14" s="199"/>
      <c r="P14" s="199"/>
      <c r="Q14" s="199"/>
      <c r="R14" s="199"/>
      <c r="S14" s="199"/>
      <c r="T14" s="199"/>
      <c r="U14" s="199"/>
      <c r="V14" s="199"/>
      <c r="W14" s="199"/>
      <c r="X14" s="199"/>
      <c r="Y14" s="199"/>
      <c r="Z14" s="743" t="str">
        <f t="shared" si="1"/>
        <v xml:space="preserve">    1.1.3) 3.¿Son las políticas municipales suficientemente estables para garantizar la continuidad en materia de políticas de reciclaje inclusivo?</v>
      </c>
      <c r="AA14" s="199"/>
      <c r="AB14" s="199"/>
      <c r="AC14" s="199"/>
      <c r="AD14" s="199"/>
      <c r="AE14" s="199"/>
      <c r="AF14" s="199"/>
      <c r="AG14" s="199"/>
      <c r="AH14" s="199"/>
      <c r="AI14" s="199"/>
      <c r="AJ14" s="199"/>
      <c r="AK14" s="199"/>
      <c r="AL14" s="199"/>
      <c r="AM14" s="199"/>
      <c r="AN14" s="199"/>
      <c r="AO14" s="199"/>
      <c r="AP14" s="199"/>
      <c r="AQ14" s="199"/>
      <c r="AR14" s="199"/>
      <c r="AS14" s="199"/>
      <c r="AT14" s="199"/>
    </row>
    <row r="15" spans="1:54" s="315" customFormat="1" ht="28.5">
      <c r="B15" s="712">
        <f>iCCompare!AI15</f>
        <v>3</v>
      </c>
      <c r="C15" s="315" t="str">
        <f t="shared" si="0"/>
        <v>1</v>
      </c>
      <c r="D15" s="315">
        <f>iCCompare!T15</f>
        <v>6</v>
      </c>
      <c r="E15" s="738" t="str">
        <f>IF(ISERROR(REPT(" ",(B15-1)*2)&amp;iCCompare!Y15),"",REPT(" ",(B15-1)*2)&amp;iCCompare!Y15)</f>
        <v xml:space="preserve">    1.1.4) 4.¿Existe un presupuesto (o mecanismo de financiación) municipal asignado para el reciclaje inclusivo?</v>
      </c>
      <c r="F15" s="317" t="e">
        <f ca="1">IF($J15&gt;#REF!,1,IF($J15&lt;#REF!,2,0))</f>
        <v>#REF!</v>
      </c>
      <c r="G15" s="199">
        <v>0</v>
      </c>
      <c r="H15" s="318">
        <f ca="1">iCCompare!Z15</f>
        <v>0</v>
      </c>
      <c r="I15" s="319" t="str">
        <f>TEXT(iCCompare!AA15,iCCompare!AV15)</f>
        <v>0</v>
      </c>
      <c r="J15" s="320" t="str">
        <f ca="1">iCCompare!AJ15</f>
        <v>=7</v>
      </c>
      <c r="L15" s="724">
        <f ca="1">iCCompare!AH15</f>
        <v>50</v>
      </c>
      <c r="M15" s="399"/>
      <c r="N15" s="399"/>
      <c r="O15" s="199"/>
      <c r="P15" s="199"/>
      <c r="Q15" s="199"/>
      <c r="R15" s="199"/>
      <c r="S15" s="199"/>
      <c r="T15" s="199"/>
      <c r="U15" s="199"/>
      <c r="V15" s="199"/>
      <c r="W15" s="199"/>
      <c r="X15" s="199"/>
      <c r="Y15" s="199"/>
      <c r="Z15" s="743" t="str">
        <f t="shared" si="1"/>
        <v xml:space="preserve">    1.1.4) 4.¿Existe un presupuesto (o mecanismo de financiación) municipal asignado para el reciclaje inclusivo?</v>
      </c>
      <c r="AA15" s="199"/>
      <c r="AB15" s="199"/>
      <c r="AC15" s="199"/>
      <c r="AD15" s="199"/>
      <c r="AE15" s="199"/>
      <c r="AF15" s="199"/>
      <c r="AG15" s="199"/>
      <c r="AH15" s="199"/>
      <c r="AI15" s="199"/>
      <c r="AJ15" s="199"/>
      <c r="AK15" s="199"/>
      <c r="AL15" s="199"/>
      <c r="AM15" s="199"/>
      <c r="AN15" s="199"/>
      <c r="AO15" s="199"/>
      <c r="AP15" s="199"/>
      <c r="AQ15" s="199"/>
      <c r="AR15" s="199"/>
      <c r="AS15" s="199"/>
      <c r="AT15" s="199"/>
    </row>
    <row r="16" spans="1:54" s="315" customFormat="1">
      <c r="B16" s="712">
        <f>iCCompare!AI16</f>
        <v>2</v>
      </c>
      <c r="C16" s="315" t="str">
        <f t="shared" si="0"/>
        <v>1</v>
      </c>
      <c r="D16" s="315">
        <f>iCCompare!T16</f>
        <v>7</v>
      </c>
      <c r="E16" s="738" t="str">
        <f>IF(ISERROR(REPT(" ",(B16-1)*2)&amp;iCCompare!Y16),"",REPT(" ",(B16-1)*2)&amp;iCCompare!Y16)</f>
        <v xml:space="preserve">  1.2) Integración del reciclador de base</v>
      </c>
      <c r="F16" s="317" t="e">
        <f ca="1">IF($J16&gt;#REF!,1,IF($J16&lt;#REF!,2,0))</f>
        <v>#REF!</v>
      </c>
      <c r="G16" s="199">
        <v>0</v>
      </c>
      <c r="H16" s="318">
        <f ca="1">iCCompare!Z16</f>
        <v>31.25</v>
      </c>
      <c r="I16" s="319" t="str">
        <f>TEXT(iCCompare!AA16,iCCompare!AV16)</f>
        <v/>
      </c>
      <c r="J16" s="320" t="str">
        <f ca="1">iCCompare!AJ16</f>
        <v>=7</v>
      </c>
      <c r="L16" s="724">
        <f ca="1">iCCompare!AH16</f>
        <v>40.116666666666667</v>
      </c>
      <c r="M16" s="399"/>
      <c r="N16" s="399"/>
      <c r="O16" s="199"/>
      <c r="P16" s="199"/>
      <c r="Q16" s="199"/>
      <c r="R16" s="199"/>
      <c r="S16" s="199"/>
      <c r="T16" s="199"/>
      <c r="U16" s="199"/>
      <c r="V16" s="199"/>
      <c r="W16" s="199"/>
      <c r="X16" s="199"/>
      <c r="Y16" s="199"/>
      <c r="Z16" s="743" t="str">
        <f t="shared" si="1"/>
        <v xml:space="preserve">  1.2) Integración del reciclador de base</v>
      </c>
      <c r="AA16" s="199"/>
      <c r="AB16" s="199"/>
      <c r="AC16" s="199"/>
      <c r="AD16" s="199"/>
      <c r="AE16" s="199"/>
      <c r="AF16" s="199"/>
      <c r="AG16" s="199"/>
      <c r="AH16" s="199"/>
      <c r="AI16" s="199"/>
      <c r="AJ16" s="199"/>
      <c r="AK16" s="199"/>
      <c r="AL16" s="199"/>
      <c r="AM16" s="199"/>
      <c r="AN16" s="199"/>
      <c r="AO16" s="199"/>
      <c r="AP16" s="199"/>
      <c r="AQ16" s="199"/>
      <c r="AR16" s="199"/>
      <c r="AS16" s="199"/>
      <c r="AT16" s="199"/>
    </row>
    <row r="17" spans="2:46" s="315" customFormat="1" ht="28.5">
      <c r="B17" s="712">
        <f>iCCompare!AI17</f>
        <v>3</v>
      </c>
      <c r="C17" s="315" t="str">
        <f t="shared" si="0"/>
        <v>1</v>
      </c>
      <c r="D17" s="315">
        <f>iCCompare!T17</f>
        <v>8</v>
      </c>
      <c r="E17" s="738" t="str">
        <f>IF(ISERROR(REPT(" ",(B17-1)*2)&amp;iCCompare!Y17),"",REPT(" ",(B17-1)*2)&amp;iCCompare!Y17)</f>
        <v xml:space="preserve">    1.2.1) 5.¿Existe reconocimiento legal de la ocupación de reciclador de base?</v>
      </c>
      <c r="F17" s="317" t="e">
        <f ca="1">IF($J17&gt;#REF!,1,IF($J17&lt;#REF!,2,0))</f>
        <v>#REF!</v>
      </c>
      <c r="G17" s="199">
        <v>0</v>
      </c>
      <c r="H17" s="318">
        <f ca="1">iCCompare!Z17</f>
        <v>0</v>
      </c>
      <c r="I17" s="319" t="str">
        <f>TEXT(iCCompare!AA17,iCCompare!AV17)</f>
        <v>0</v>
      </c>
      <c r="J17" s="320" t="str">
        <f ca="1">iCCompare!AJ17</f>
        <v>=5</v>
      </c>
      <c r="L17" s="724">
        <f ca="1">iCCompare!AH17</f>
        <v>33.333333333333336</v>
      </c>
      <c r="M17" s="399"/>
      <c r="N17" s="399"/>
      <c r="O17" s="199"/>
      <c r="P17" s="199"/>
      <c r="Q17" s="199"/>
      <c r="R17" s="199"/>
      <c r="S17" s="199"/>
      <c r="T17" s="199"/>
      <c r="U17" s="199"/>
      <c r="V17" s="199"/>
      <c r="W17" s="199"/>
      <c r="X17" s="199"/>
      <c r="Y17" s="199"/>
      <c r="Z17" s="743" t="str">
        <f t="shared" si="1"/>
        <v xml:space="preserve">    1.2.1) 5.¿Existe reconocimiento legal de la ocupación de reciclador de base?</v>
      </c>
      <c r="AA17" s="199"/>
      <c r="AB17" s="199"/>
      <c r="AC17" s="199"/>
      <c r="AD17" s="199"/>
      <c r="AE17" s="199"/>
      <c r="AF17" s="199"/>
      <c r="AG17" s="199"/>
      <c r="AH17" s="199"/>
      <c r="AI17" s="199"/>
      <c r="AJ17" s="199"/>
      <c r="AK17" s="199"/>
      <c r="AL17" s="199"/>
      <c r="AM17" s="199"/>
      <c r="AN17" s="199"/>
      <c r="AO17" s="199"/>
      <c r="AP17" s="199"/>
      <c r="AQ17" s="199"/>
      <c r="AR17" s="199"/>
      <c r="AS17" s="199"/>
      <c r="AT17" s="199"/>
    </row>
    <row r="18" spans="2:46" s="315" customFormat="1" ht="28.5">
      <c r="B18" s="712">
        <f>iCCompare!AI18</f>
        <v>3</v>
      </c>
      <c r="C18" s="315" t="str">
        <f t="shared" si="0"/>
        <v>1</v>
      </c>
      <c r="D18" s="315">
        <f>iCCompare!T18</f>
        <v>9</v>
      </c>
      <c r="E18" s="738" t="str">
        <f>IF(ISERROR(REPT(" ",(B18-1)*2)&amp;iCCompare!Y18),"",REPT(" ",(B18-1)*2)&amp;iCCompare!Y18)</f>
        <v xml:space="preserve">    1.2.2) 6.¿Se reconoce a los recicladores de base como prestadores de servicio en la gestión de residuos?</v>
      </c>
      <c r="F18" s="317" t="e">
        <f ca="1">IF($J18&gt;#REF!,1,IF($J18&lt;#REF!,2,0))</f>
        <v>#REF!</v>
      </c>
      <c r="G18" s="199">
        <v>0</v>
      </c>
      <c r="H18" s="318">
        <f ca="1">iCCompare!Z18</f>
        <v>50</v>
      </c>
      <c r="I18" s="319" t="str">
        <f>TEXT(iCCompare!AA18,iCCompare!AV18)</f>
        <v>1</v>
      </c>
      <c r="J18" s="320" t="str">
        <f ca="1">iCCompare!AJ18</f>
        <v>=4</v>
      </c>
      <c r="L18" s="724">
        <f ca="1">iCCompare!AH18</f>
        <v>45.833333333333336</v>
      </c>
      <c r="M18" s="399"/>
      <c r="N18" s="399"/>
      <c r="O18" s="199"/>
      <c r="P18" s="199"/>
      <c r="Q18" s="199"/>
      <c r="R18" s="199"/>
      <c r="S18" s="199"/>
      <c r="T18" s="199"/>
      <c r="U18" s="199"/>
      <c r="V18" s="199"/>
      <c r="W18" s="199"/>
      <c r="X18" s="199"/>
      <c r="Y18" s="199"/>
      <c r="Z18" s="743" t="str">
        <f t="shared" si="1"/>
        <v xml:space="preserve">    1.2.2) 6.¿Se reconoce a los recicladores de base como prestadores de servicio en la gestión de residuos?</v>
      </c>
      <c r="AA18" s="199"/>
      <c r="AB18" s="199"/>
      <c r="AC18" s="199"/>
      <c r="AD18" s="199"/>
      <c r="AE18" s="199"/>
      <c r="AF18" s="199"/>
      <c r="AG18" s="199"/>
      <c r="AH18" s="199"/>
      <c r="AI18" s="199"/>
      <c r="AJ18" s="199"/>
      <c r="AK18" s="199"/>
      <c r="AL18" s="199"/>
      <c r="AM18" s="199"/>
      <c r="AN18" s="199"/>
      <c r="AO18" s="199"/>
      <c r="AP18" s="199"/>
      <c r="AQ18" s="199"/>
      <c r="AR18" s="199"/>
      <c r="AS18" s="199"/>
      <c r="AT18" s="199"/>
    </row>
    <row r="19" spans="2:46" s="315" customFormat="1" ht="28.5">
      <c r="B19" s="712">
        <f>iCCompare!AI19</f>
        <v>3</v>
      </c>
      <c r="C19" s="315" t="str">
        <f t="shared" si="0"/>
        <v>1</v>
      </c>
      <c r="D19" s="315">
        <f>iCCompare!T19</f>
        <v>10</v>
      </c>
      <c r="E19" s="738" t="str">
        <f>IF(ISERROR(REPT(" ",(B19-1)*2)&amp;iCCompare!Y19),"",REPT(" ",(B19-1)*2)&amp;iCCompare!Y19)</f>
        <v xml:space="preserve">    1.2.3) 7.¿Se ha identificado la población de recicladores de base a través de un censo?</v>
      </c>
      <c r="F19" s="317" t="e">
        <f ca="1">IF($J19&gt;#REF!,1,IF($J19&lt;#REF!,2,0))</f>
        <v>#REF!</v>
      </c>
      <c r="G19" s="199">
        <v>0</v>
      </c>
      <c r="H19" s="318">
        <f ca="1">iCCompare!Z19</f>
        <v>0</v>
      </c>
      <c r="I19" s="319" t="str">
        <f>TEXT(iCCompare!AA19,iCCompare!AV19)</f>
        <v>0</v>
      </c>
      <c r="J19" s="320" t="str">
        <f ca="1">iCCompare!AJ19</f>
        <v>=6</v>
      </c>
      <c r="L19" s="724">
        <f ca="1">iCCompare!AH19</f>
        <v>41.666666666666664</v>
      </c>
      <c r="M19" s="399"/>
      <c r="N19" s="399"/>
      <c r="O19" s="199"/>
      <c r="P19" s="199"/>
      <c r="Q19" s="199"/>
      <c r="R19" s="199"/>
      <c r="S19" s="199"/>
      <c r="T19" s="199"/>
      <c r="U19" s="199"/>
      <c r="V19" s="199"/>
      <c r="W19" s="199"/>
      <c r="X19" s="199"/>
      <c r="Y19" s="199"/>
      <c r="Z19" s="743" t="str">
        <f t="shared" si="1"/>
        <v xml:space="preserve">    1.2.3) 7.¿Se ha identificado la población de recicladores de base a través de un censo?</v>
      </c>
      <c r="AA19" s="199"/>
      <c r="AB19" s="199"/>
      <c r="AC19" s="199"/>
      <c r="AD19" s="199"/>
      <c r="AE19" s="199"/>
      <c r="AF19" s="199"/>
      <c r="AG19" s="199"/>
      <c r="AH19" s="199"/>
      <c r="AI19" s="199"/>
      <c r="AJ19" s="199"/>
      <c r="AK19" s="199"/>
      <c r="AL19" s="199"/>
      <c r="AM19" s="199"/>
      <c r="AN19" s="199"/>
      <c r="AO19" s="199"/>
      <c r="AP19" s="199"/>
      <c r="AQ19" s="199"/>
      <c r="AR19" s="199"/>
      <c r="AS19" s="199"/>
      <c r="AT19" s="199"/>
    </row>
    <row r="20" spans="2:46" s="315" customFormat="1" ht="28.5">
      <c r="B20" s="712">
        <f>iCCompare!AI20</f>
        <v>3</v>
      </c>
      <c r="C20" s="315" t="str">
        <f t="shared" si="0"/>
        <v>1</v>
      </c>
      <c r="D20" s="315">
        <f>iCCompare!T20</f>
        <v>11</v>
      </c>
      <c r="E20" s="738" t="str">
        <f>IF(ISERROR(REPT(" ",(B20-1)*2)&amp;iCCompare!Y20),"",REPT(" ",(B20-1)*2)&amp;iCCompare!Y20)</f>
        <v xml:space="preserve">    1.2.4) 8.¿Cuál es el grado de transparencia e inclusión en los procesos de licitación para el reciclaje?</v>
      </c>
      <c r="F20" s="317" t="e">
        <f ca="1">IF($J20&gt;#REF!,1,IF($J20&lt;#REF!,2,0))</f>
        <v>#REF!</v>
      </c>
      <c r="G20" s="199">
        <v>0</v>
      </c>
      <c r="H20" s="318">
        <f ca="1">iCCompare!Z20</f>
        <v>50</v>
      </c>
      <c r="I20" s="319" t="str">
        <f>TEXT(iCCompare!AA20,iCCompare!AV20)</f>
        <v>1</v>
      </c>
      <c r="J20" s="320" t="str">
        <f ca="1">iCCompare!AJ20</f>
        <v>=1</v>
      </c>
      <c r="L20" s="724">
        <f ca="1">iCCompare!AH20</f>
        <v>25</v>
      </c>
      <c r="M20" s="399"/>
      <c r="N20" s="399"/>
      <c r="O20" s="199"/>
      <c r="P20" s="199"/>
      <c r="Q20" s="199"/>
      <c r="R20" s="199"/>
      <c r="S20" s="199"/>
      <c r="T20" s="199"/>
      <c r="U20" s="199"/>
      <c r="V20" s="199"/>
      <c r="W20" s="199"/>
      <c r="X20" s="199"/>
      <c r="Y20" s="199"/>
      <c r="Z20" s="743" t="str">
        <f t="shared" si="1"/>
        <v xml:space="preserve">    1.2.4) 8.¿Cuál es el grado de transparencia e inclusión en los procesos de licitación para el reciclaje?</v>
      </c>
      <c r="AA20" s="199"/>
      <c r="AB20" s="199"/>
      <c r="AC20" s="199"/>
      <c r="AD20" s="199"/>
      <c r="AE20" s="199"/>
      <c r="AF20" s="199"/>
      <c r="AG20" s="199"/>
      <c r="AH20" s="199"/>
      <c r="AI20" s="199"/>
      <c r="AJ20" s="199"/>
      <c r="AK20" s="199"/>
      <c r="AL20" s="199"/>
      <c r="AM20" s="199"/>
      <c r="AN20" s="199"/>
      <c r="AO20" s="199"/>
      <c r="AP20" s="199"/>
      <c r="AQ20" s="199"/>
      <c r="AR20" s="199"/>
      <c r="AS20" s="199"/>
      <c r="AT20" s="199"/>
    </row>
    <row r="21" spans="2:46" s="315" customFormat="1" ht="28.5">
      <c r="B21" s="712">
        <f>iCCompare!AI21</f>
        <v>3</v>
      </c>
      <c r="C21" s="315" t="str">
        <f t="shared" si="0"/>
        <v>1</v>
      </c>
      <c r="D21" s="315">
        <f>iCCompare!T21</f>
        <v>12</v>
      </c>
      <c r="E21" s="738" t="str">
        <f>IF(ISERROR(REPT(" ",(B21-1)*2)&amp;iCCompare!Y21),"",REPT(" ",(B21-1)*2)&amp;iCCompare!Y21)</f>
        <v xml:space="preserve">    1.2.5) 9.¿La normativa/ estrategia municipal de residuos sólidos: fue desarrollada de manera participativa?</v>
      </c>
      <c r="F21" s="317" t="e">
        <f ca="1">IF($J21&gt;#REF!,1,IF($J21&lt;#REF!,2,0))</f>
        <v>#REF!</v>
      </c>
      <c r="G21" s="199">
        <v>0</v>
      </c>
      <c r="H21" s="318">
        <f ca="1">iCCompare!Z21</f>
        <v>100</v>
      </c>
      <c r="I21" s="319" t="str">
        <f>TEXT(iCCompare!AA21,iCCompare!AV21)</f>
        <v>2</v>
      </c>
      <c r="J21" s="320" t="str">
        <f ca="1">iCCompare!AJ21</f>
        <v>=1</v>
      </c>
      <c r="L21" s="724">
        <f ca="1">iCCompare!AH21</f>
        <v>45.833333333333336</v>
      </c>
      <c r="M21" s="399"/>
      <c r="N21" s="399"/>
      <c r="O21" s="199"/>
      <c r="P21" s="199"/>
      <c r="Q21" s="199"/>
      <c r="R21" s="199"/>
      <c r="S21" s="199"/>
      <c r="T21" s="199"/>
      <c r="U21" s="199"/>
      <c r="V21" s="199"/>
      <c r="W21" s="199"/>
      <c r="X21" s="199"/>
      <c r="Y21" s="199"/>
      <c r="Z21" s="743" t="str">
        <f t="shared" si="1"/>
        <v xml:space="preserve">    1.2.5) 9.¿La normativa/ estrategia municipal de residuos sólidos: fue desarrollada de manera participativa?</v>
      </c>
      <c r="AA21" s="199"/>
      <c r="AB21" s="199"/>
      <c r="AC21" s="199"/>
      <c r="AD21" s="199"/>
      <c r="AE21" s="199"/>
      <c r="AF21" s="199"/>
      <c r="AG21" s="199"/>
      <c r="AH21" s="199"/>
      <c r="AI21" s="199"/>
      <c r="AJ21" s="199"/>
      <c r="AK21" s="199"/>
      <c r="AL21" s="199"/>
      <c r="AM21" s="199"/>
      <c r="AN21" s="199"/>
      <c r="AO21" s="199"/>
      <c r="AP21" s="199"/>
      <c r="AQ21" s="199"/>
      <c r="AR21" s="199"/>
      <c r="AS21" s="199"/>
      <c r="AT21" s="199"/>
    </row>
    <row r="22" spans="2:46" s="315" customFormat="1" ht="28.5">
      <c r="B22" s="712">
        <f>iCCompare!AI22</f>
        <v>3</v>
      </c>
      <c r="C22" s="315" t="str">
        <f t="shared" si="0"/>
        <v>1</v>
      </c>
      <c r="D22" s="315">
        <f>iCCompare!T22</f>
        <v>13</v>
      </c>
      <c r="E22" s="738" t="str">
        <f>IF(ISERROR(REPT(" ",(B22-1)*2)&amp;iCCompare!Y22),"",REPT(" ",(B22-1)*2)&amp;iCCompare!Y22)</f>
        <v xml:space="preserve">    1.2.6) 10.¿Hay programas de formación/capacitación a nivel municipal?</v>
      </c>
      <c r="F22" s="317" t="e">
        <f ca="1">IF($J22&gt;#REF!,1,IF($J22&lt;#REF!,2,0))</f>
        <v>#REF!</v>
      </c>
      <c r="G22" s="199">
        <v>0</v>
      </c>
      <c r="H22" s="318">
        <f ca="1">iCCompare!Z22</f>
        <v>0</v>
      </c>
      <c r="I22" s="319" t="str">
        <f>TEXT(iCCompare!AA22,iCCompare!AV22)</f>
        <v>0</v>
      </c>
      <c r="J22" s="320" t="str">
        <f ca="1">iCCompare!AJ22</f>
        <v>=10</v>
      </c>
      <c r="L22" s="724">
        <f ca="1">iCCompare!AH22</f>
        <v>49.991666666666674</v>
      </c>
      <c r="M22" s="399"/>
      <c r="N22" s="399"/>
      <c r="O22" s="199"/>
      <c r="P22" s="199"/>
      <c r="Q22" s="199"/>
      <c r="R22" s="199"/>
      <c r="S22" s="199"/>
      <c r="T22" s="199"/>
      <c r="U22" s="199"/>
      <c r="V22" s="199"/>
      <c r="W22" s="199"/>
      <c r="X22" s="199"/>
      <c r="Y22" s="199"/>
      <c r="Z22" s="743" t="str">
        <f t="shared" si="1"/>
        <v xml:space="preserve">    1.2.6) 10.¿Hay programas de formación/capacitación a nivel municipal?</v>
      </c>
      <c r="AA22" s="199"/>
      <c r="AB22" s="199"/>
      <c r="AC22" s="199"/>
      <c r="AD22" s="199"/>
      <c r="AE22" s="199"/>
      <c r="AF22" s="199"/>
      <c r="AG22" s="199"/>
      <c r="AH22" s="199"/>
      <c r="AI22" s="199"/>
      <c r="AJ22" s="199"/>
      <c r="AK22" s="199"/>
      <c r="AL22" s="199"/>
      <c r="AM22" s="199"/>
      <c r="AN22" s="199"/>
      <c r="AO22" s="199"/>
      <c r="AP22" s="199"/>
      <c r="AQ22" s="199"/>
      <c r="AR22" s="199"/>
      <c r="AS22" s="199"/>
      <c r="AT22" s="199"/>
    </row>
    <row r="23" spans="2:46" s="315" customFormat="1" ht="28.5">
      <c r="B23" s="712">
        <f>iCCompare!AI23</f>
        <v>3</v>
      </c>
      <c r="C23" s="315" t="str">
        <f t="shared" si="0"/>
        <v>1</v>
      </c>
      <c r="D23" s="315">
        <f>iCCompare!T23</f>
        <v>14</v>
      </c>
      <c r="E23" s="738" t="str">
        <f>IF(ISERROR(REPT(" ",(B23-1)*2)&amp;iCCompare!Y23),"",REPT(" ",(B23-1)*2)&amp;iCCompare!Y23)</f>
        <v xml:space="preserve">    1.2.7) 11.¿Existen incentivos, programas y/o acciones concretas para el fortalecimiento de la ocupación del reciclador de base?</v>
      </c>
      <c r="F23" s="317" t="e">
        <f ca="1">IF($J23&gt;#REF!,1,IF($J23&lt;#REF!,2,0))</f>
        <v>#REF!</v>
      </c>
      <c r="G23" s="199">
        <v>0</v>
      </c>
      <c r="H23" s="318">
        <f ca="1">iCCompare!Z23</f>
        <v>50</v>
      </c>
      <c r="I23" s="319" t="str">
        <f>TEXT(iCCompare!AA23,iCCompare!AV23)</f>
        <v>1</v>
      </c>
      <c r="J23" s="320" t="str">
        <f ca="1">iCCompare!AJ23</f>
        <v>=5</v>
      </c>
      <c r="L23" s="724">
        <f ca="1">iCCompare!AH23</f>
        <v>58.333333333333336</v>
      </c>
      <c r="M23" s="399"/>
      <c r="N23" s="399"/>
      <c r="O23" s="199"/>
      <c r="P23" s="199"/>
      <c r="Q23" s="199"/>
      <c r="R23" s="199"/>
      <c r="S23" s="199"/>
      <c r="T23" s="199"/>
      <c r="U23" s="199"/>
      <c r="V23" s="199"/>
      <c r="W23" s="199"/>
      <c r="X23" s="199"/>
      <c r="Y23" s="199"/>
      <c r="Z23" s="743" t="str">
        <f t="shared" si="1"/>
        <v xml:space="preserve">    1.2.7) 11.¿Existen incentivos, programas y/o acciones concretas para el fortalecimiento de la ocupación del reciclador de base?</v>
      </c>
      <c r="AA23" s="199"/>
      <c r="AB23" s="199"/>
      <c r="AC23" s="199"/>
      <c r="AD23" s="199"/>
      <c r="AE23" s="199"/>
      <c r="AF23" s="199"/>
      <c r="AG23" s="199"/>
      <c r="AH23" s="199"/>
      <c r="AI23" s="199"/>
      <c r="AJ23" s="199"/>
      <c r="AK23" s="199"/>
      <c r="AL23" s="199"/>
      <c r="AM23" s="199"/>
      <c r="AN23" s="199"/>
      <c r="AO23" s="199"/>
      <c r="AP23" s="199"/>
      <c r="AQ23" s="199"/>
      <c r="AR23" s="199"/>
      <c r="AS23" s="199"/>
      <c r="AT23" s="199"/>
    </row>
    <row r="24" spans="2:46" s="315" customFormat="1">
      <c r="B24" s="712">
        <f>iCCompare!AI24</f>
        <v>3</v>
      </c>
      <c r="C24" s="315" t="str">
        <f t="shared" si="0"/>
        <v>1</v>
      </c>
      <c r="D24" s="315">
        <f>iCCompare!T24</f>
        <v>15</v>
      </c>
      <c r="E24" s="738" t="str">
        <f>IF(ISERROR(REPT(" ",(B24-1)*2)&amp;iCCompare!Y24),"",REPT(" ",(B24-1)*2)&amp;iCCompare!Y24)</f>
        <v xml:space="preserve">    1.2.8) 12.¿Existen incentivos de reciclaje para los usuarios? </v>
      </c>
      <c r="F24" s="317" t="e">
        <f ca="1">IF($J24&gt;#REF!,1,IF($J24&lt;#REF!,2,0))</f>
        <v>#REF!</v>
      </c>
      <c r="G24" s="199">
        <v>0</v>
      </c>
      <c r="H24" s="318">
        <f ca="1">iCCompare!Z24</f>
        <v>0</v>
      </c>
      <c r="I24" s="319" t="str">
        <f>TEXT(iCCompare!AA24,iCCompare!AV24)</f>
        <v>0</v>
      </c>
      <c r="J24" s="320" t="str">
        <f ca="1">iCCompare!AJ24</f>
        <v>=6</v>
      </c>
      <c r="L24" s="724">
        <f ca="1">iCCompare!AH24</f>
        <v>20.833333333333332</v>
      </c>
      <c r="M24" s="399"/>
      <c r="N24" s="399"/>
      <c r="O24" s="199"/>
      <c r="P24" s="199"/>
      <c r="Q24" s="199"/>
      <c r="R24" s="199"/>
      <c r="S24" s="199"/>
      <c r="T24" s="199"/>
      <c r="U24" s="199"/>
      <c r="V24" s="199"/>
      <c r="W24" s="199"/>
      <c r="X24" s="199"/>
      <c r="Y24" s="199"/>
      <c r="Z24" s="743" t="str">
        <f t="shared" si="1"/>
        <v xml:space="preserve">    1.2.8) 12.¿Existen incentivos de reciclaje para los usuarios? </v>
      </c>
      <c r="AA24" s="199"/>
      <c r="AB24" s="199"/>
      <c r="AC24" s="199"/>
      <c r="AD24" s="199"/>
      <c r="AE24" s="199"/>
      <c r="AF24" s="199"/>
      <c r="AG24" s="199"/>
      <c r="AH24" s="199"/>
      <c r="AI24" s="199"/>
      <c r="AJ24" s="199"/>
      <c r="AK24" s="199"/>
      <c r="AL24" s="199"/>
      <c r="AM24" s="199"/>
      <c r="AN24" s="199"/>
      <c r="AO24" s="199"/>
      <c r="AP24" s="199"/>
      <c r="AQ24" s="199"/>
      <c r="AR24" s="199"/>
      <c r="AS24" s="199"/>
      <c r="AT24" s="199"/>
    </row>
    <row r="25" spans="2:46" s="315" customFormat="1">
      <c r="B25" s="712">
        <f>iCCompare!AI25</f>
        <v>2</v>
      </c>
      <c r="C25" s="315" t="str">
        <f t="shared" si="0"/>
        <v>1</v>
      </c>
      <c r="D25" s="315">
        <f>iCCompare!T25</f>
        <v>16</v>
      </c>
      <c r="E25" s="738" t="str">
        <f>IF(ISERROR(REPT(" ",(B25-1)*2)&amp;iCCompare!Y25),"",REPT(" ",(B25-1)*2)&amp;iCCompare!Y25)</f>
        <v xml:space="preserve">  1.3) Generación de información</v>
      </c>
      <c r="F25" s="317" t="e">
        <f ca="1">IF($J25&gt;#REF!,1,IF($J25&lt;#REF!,2,0))</f>
        <v>#REF!</v>
      </c>
      <c r="G25" s="199">
        <v>0</v>
      </c>
      <c r="H25" s="318">
        <f ca="1">iCCompare!Z25</f>
        <v>25</v>
      </c>
      <c r="I25" s="319" t="str">
        <f>TEXT(iCCompare!AA25,iCCompare!AV25)</f>
        <v/>
      </c>
      <c r="J25" s="320" t="str">
        <f ca="1">iCCompare!AJ25</f>
        <v>=5</v>
      </c>
      <c r="L25" s="724">
        <f ca="1">iCCompare!AH25</f>
        <v>31.25</v>
      </c>
      <c r="M25" s="399"/>
      <c r="N25" s="399"/>
      <c r="O25" s="199"/>
      <c r="P25" s="199"/>
      <c r="Q25" s="199"/>
      <c r="R25" s="199"/>
      <c r="S25" s="199"/>
      <c r="T25" s="199"/>
      <c r="U25" s="199"/>
      <c r="V25" s="199"/>
      <c r="W25" s="199"/>
      <c r="X25" s="199"/>
      <c r="Y25" s="199"/>
      <c r="Z25" s="743" t="str">
        <f t="shared" si="1"/>
        <v xml:space="preserve">  1.3) Generación de información</v>
      </c>
      <c r="AA25" s="199"/>
      <c r="AB25" s="199"/>
      <c r="AC25" s="199"/>
      <c r="AD25" s="199"/>
      <c r="AE25" s="199"/>
      <c r="AF25" s="199"/>
      <c r="AG25" s="199"/>
      <c r="AH25" s="199"/>
      <c r="AI25" s="199"/>
      <c r="AJ25" s="199"/>
      <c r="AK25" s="199"/>
      <c r="AL25" s="199"/>
      <c r="AM25" s="199"/>
      <c r="AN25" s="199"/>
      <c r="AO25" s="199"/>
      <c r="AP25" s="199"/>
      <c r="AQ25" s="199"/>
      <c r="AR25" s="199"/>
      <c r="AS25" s="199"/>
      <c r="AT25" s="199"/>
    </row>
    <row r="26" spans="2:46" s="315" customFormat="1" ht="28.5">
      <c r="B26" s="712">
        <f>iCCompare!AI26</f>
        <v>3</v>
      </c>
      <c r="C26" s="315" t="str">
        <f t="shared" si="0"/>
        <v>1</v>
      </c>
      <c r="D26" s="315">
        <f>iCCompare!T26</f>
        <v>17</v>
      </c>
      <c r="E26" s="738" t="str">
        <f>IF(ISERROR(REPT(" ",(B26-1)*2)&amp;iCCompare!Y26),"",REPT(" ",(B26-1)*2)&amp;iCCompare!Y26)</f>
        <v xml:space="preserve">    1.3.1) 13.¿Hay un sistema municipal de recolección de información de reciclaje inclusivo?</v>
      </c>
      <c r="F26" s="317" t="e">
        <f ca="1">IF($J26&gt;#REF!,1,IF($J26&lt;#REF!,2,0))</f>
        <v>#REF!</v>
      </c>
      <c r="G26" s="199">
        <v>0</v>
      </c>
      <c r="H26" s="318">
        <f ca="1">iCCompare!Z26</f>
        <v>0</v>
      </c>
      <c r="I26" s="319" t="str">
        <f>TEXT(iCCompare!AA26,iCCompare!AV26)</f>
        <v>0</v>
      </c>
      <c r="J26" s="320" t="str">
        <f ca="1">iCCompare!AJ26</f>
        <v>=4</v>
      </c>
      <c r="L26" s="724">
        <f ca="1">iCCompare!AH26</f>
        <v>12.5</v>
      </c>
      <c r="M26" s="399"/>
      <c r="N26" s="399"/>
      <c r="O26" s="199"/>
      <c r="P26" s="199"/>
      <c r="Q26" s="199"/>
      <c r="R26" s="199"/>
      <c r="S26" s="199"/>
      <c r="T26" s="199"/>
      <c r="U26" s="199"/>
      <c r="V26" s="199"/>
      <c r="W26" s="199"/>
      <c r="X26" s="199"/>
      <c r="Y26" s="199"/>
      <c r="Z26" s="743" t="str">
        <f t="shared" si="1"/>
        <v xml:space="preserve">    1.3.1) 13.¿Hay un sistema municipal de recolección de información de reciclaje inclusivo?</v>
      </c>
      <c r="AA26" s="199"/>
      <c r="AB26" s="199"/>
      <c r="AC26" s="199"/>
      <c r="AD26" s="199"/>
      <c r="AE26" s="199"/>
      <c r="AF26" s="199"/>
      <c r="AG26" s="199"/>
      <c r="AH26" s="199"/>
      <c r="AI26" s="199"/>
      <c r="AJ26" s="199"/>
      <c r="AK26" s="199"/>
      <c r="AL26" s="199"/>
      <c r="AM26" s="199"/>
      <c r="AN26" s="199"/>
      <c r="AO26" s="199"/>
      <c r="AP26" s="199"/>
      <c r="AQ26" s="199"/>
      <c r="AR26" s="199"/>
      <c r="AS26" s="199"/>
      <c r="AT26" s="199"/>
    </row>
    <row r="27" spans="2:46" s="315" customFormat="1" ht="28.5">
      <c r="B27" s="712">
        <f>iCCompare!AI27</f>
        <v>3</v>
      </c>
      <c r="C27" s="315" t="str">
        <f t="shared" si="0"/>
        <v>1</v>
      </c>
      <c r="D27" s="315">
        <f>iCCompare!T27</f>
        <v>18</v>
      </c>
      <c r="E27" s="738" t="str">
        <f>IF(ISERROR(REPT(" ",(B27-1)*2)&amp;iCCompare!Y27),"",REPT(" ",(B27-1)*2)&amp;iCCompare!Y27)</f>
        <v xml:space="preserve">    1.3.2) 14.¿Hay campañas de comunicación para fomentar el reciclaje inclusivo con difusión en el municipio?</v>
      </c>
      <c r="F27" s="317" t="e">
        <f ca="1">IF($J27&gt;#REF!,1,IF($J27&lt;#REF!,2,0))</f>
        <v>#REF!</v>
      </c>
      <c r="G27" s="199">
        <v>0</v>
      </c>
      <c r="H27" s="318">
        <f ca="1">iCCompare!Z27</f>
        <v>50</v>
      </c>
      <c r="I27" s="319" t="str">
        <f>TEXT(iCCompare!AA27,iCCompare!AV27)</f>
        <v>1</v>
      </c>
      <c r="J27" s="320" t="str">
        <f ca="1">iCCompare!AJ27</f>
        <v>=2</v>
      </c>
      <c r="L27" s="724">
        <f ca="1">iCCompare!AH27</f>
        <v>50</v>
      </c>
      <c r="M27" s="399"/>
      <c r="N27" s="399"/>
      <c r="O27" s="199"/>
      <c r="P27" s="199"/>
      <c r="Q27" s="199"/>
      <c r="R27" s="199"/>
      <c r="S27" s="199"/>
      <c r="T27" s="199"/>
      <c r="U27" s="199"/>
      <c r="V27" s="199"/>
      <c r="W27" s="199"/>
      <c r="X27" s="199"/>
      <c r="Y27" s="199"/>
      <c r="Z27" s="743" t="str">
        <f t="shared" si="1"/>
        <v xml:space="preserve">    1.3.2) 14.¿Hay campañas de comunicación para fomentar el reciclaje inclusivo con difusión en el municipio?</v>
      </c>
      <c r="AA27" s="199"/>
      <c r="AB27" s="199"/>
      <c r="AC27" s="199"/>
      <c r="AD27" s="199"/>
      <c r="AE27" s="199"/>
      <c r="AF27" s="199"/>
      <c r="AG27" s="199"/>
      <c r="AH27" s="199"/>
      <c r="AI27" s="199"/>
      <c r="AJ27" s="199"/>
      <c r="AK27" s="199"/>
      <c r="AL27" s="199"/>
      <c r="AM27" s="199"/>
      <c r="AN27" s="199"/>
      <c r="AO27" s="199"/>
      <c r="AP27" s="199"/>
      <c r="AQ27" s="199"/>
      <c r="AR27" s="199"/>
      <c r="AS27" s="199"/>
      <c r="AT27" s="199"/>
    </row>
    <row r="28" spans="2:46" s="315" customFormat="1">
      <c r="B28" s="712">
        <f>iCCompare!AI28</f>
        <v>2</v>
      </c>
      <c r="C28" s="315" t="str">
        <f t="shared" si="0"/>
        <v>1</v>
      </c>
      <c r="D28" s="315">
        <f>iCCompare!T28</f>
        <v>19</v>
      </c>
      <c r="E28" s="738" t="str">
        <f>IF(ISERROR(REPT(" ",(B28-1)*2)&amp;iCCompare!Y28),"",REPT(" ",(B28-1)*2)&amp;iCCompare!Y28)</f>
        <v xml:space="preserve">  1.4) Salud pública y el medioambiente</v>
      </c>
      <c r="F28" s="317" t="e">
        <f ca="1">IF($J28&gt;#REF!,1,IF($J28&lt;#REF!,2,0))</f>
        <v>#REF!</v>
      </c>
      <c r="G28" s="199">
        <v>0</v>
      </c>
      <c r="H28" s="318">
        <f ca="1">iCCompare!Z28</f>
        <v>50</v>
      </c>
      <c r="I28" s="319" t="str">
        <f>TEXT(iCCompare!AA28,iCCompare!AV28)</f>
        <v/>
      </c>
      <c r="J28" s="320" t="str">
        <f ca="1">iCCompare!AJ28</f>
        <v>=5</v>
      </c>
      <c r="L28" s="724">
        <f ca="1">iCCompare!AH28</f>
        <v>66.666666666666671</v>
      </c>
      <c r="M28" s="399"/>
      <c r="N28" s="399"/>
      <c r="O28" s="199"/>
      <c r="P28" s="199"/>
      <c r="Q28" s="199"/>
      <c r="R28" s="199"/>
      <c r="S28" s="199"/>
      <c r="T28" s="199"/>
      <c r="U28" s="199"/>
      <c r="V28" s="199"/>
      <c r="W28" s="199"/>
      <c r="X28" s="199"/>
      <c r="Y28" s="199"/>
      <c r="Z28" s="743" t="str">
        <f t="shared" si="1"/>
        <v xml:space="preserve">  1.4) Salud pública y el medioambiente</v>
      </c>
      <c r="AA28" s="199"/>
      <c r="AB28" s="199"/>
      <c r="AC28" s="199"/>
      <c r="AD28" s="199"/>
      <c r="AE28" s="199"/>
      <c r="AF28" s="199"/>
      <c r="AG28" s="199"/>
      <c r="AH28" s="199"/>
      <c r="AI28" s="199"/>
      <c r="AJ28" s="199"/>
      <c r="AK28" s="199"/>
      <c r="AL28" s="199"/>
      <c r="AM28" s="199"/>
      <c r="AN28" s="199"/>
      <c r="AO28" s="199"/>
      <c r="AP28" s="199"/>
      <c r="AQ28" s="199"/>
      <c r="AR28" s="199"/>
      <c r="AS28" s="199"/>
      <c r="AT28" s="199"/>
    </row>
    <row r="29" spans="2:46" s="315" customFormat="1" ht="42.75">
      <c r="B29" s="712">
        <f>iCCompare!AI29</f>
        <v>3</v>
      </c>
      <c r="C29" s="315" t="str">
        <f t="shared" si="0"/>
        <v>1</v>
      </c>
      <c r="D29" s="315">
        <f>iCCompare!T29</f>
        <v>20</v>
      </c>
      <c r="E29" s="738" t="str">
        <f>IF(ISERROR(REPT(" ",(B29-1)*2)&amp;iCCompare!Y29),"",REPT(" ",(B29-1)*2)&amp;iCCompare!Y29)</f>
        <v xml:space="preserve">    1.4.1) 15.¿Existe adecuada regulación y control sobre clasificación y manejo de desechos especiales y/o  peligrosos y sobre clasificación en la calle?</v>
      </c>
      <c r="F29" s="317" t="e">
        <f ca="1">IF($J29&gt;#REF!,1,IF($J29&lt;#REF!,2,0))</f>
        <v>#REF!</v>
      </c>
      <c r="G29" s="199">
        <v>0</v>
      </c>
      <c r="H29" s="318">
        <f ca="1">iCCompare!Z29</f>
        <v>50</v>
      </c>
      <c r="I29" s="319" t="str">
        <f>TEXT(iCCompare!AA29,iCCompare!AV29)</f>
        <v>1</v>
      </c>
      <c r="J29" s="320" t="str">
        <f ca="1">iCCompare!AJ29</f>
        <v>=5</v>
      </c>
      <c r="L29" s="724">
        <f ca="1">iCCompare!AH29</f>
        <v>66.666666666666671</v>
      </c>
      <c r="M29" s="399"/>
      <c r="N29" s="399"/>
      <c r="O29" s="199"/>
      <c r="P29" s="199"/>
      <c r="Q29" s="199"/>
      <c r="R29" s="199"/>
      <c r="S29" s="199"/>
      <c r="T29" s="199"/>
      <c r="U29" s="199"/>
      <c r="V29" s="199"/>
      <c r="W29" s="199"/>
      <c r="X29" s="199"/>
      <c r="Y29" s="199"/>
      <c r="Z29" s="743" t="str">
        <f t="shared" si="1"/>
        <v xml:space="preserve">    1.4.1) 15.¿Existe adecuada regulación y control sobre clasificación y manejo de desechos especiales y/o  peligrosos y sobre clasificación en la calle?</v>
      </c>
      <c r="AA29" s="199"/>
      <c r="AB29" s="199"/>
      <c r="AC29" s="199"/>
      <c r="AD29" s="199"/>
      <c r="AE29" s="199"/>
      <c r="AF29" s="199"/>
      <c r="AG29" s="199"/>
      <c r="AH29" s="199"/>
      <c r="AI29" s="199"/>
      <c r="AJ29" s="199"/>
      <c r="AK29" s="199"/>
      <c r="AL29" s="199"/>
      <c r="AM29" s="199"/>
      <c r="AN29" s="199"/>
      <c r="AO29" s="199"/>
      <c r="AP29" s="199"/>
      <c r="AQ29" s="199"/>
      <c r="AR29" s="199"/>
      <c r="AS29" s="199"/>
      <c r="AT29" s="199"/>
    </row>
    <row r="30" spans="2:46" s="712" customFormat="1" hidden="1">
      <c r="B30" s="712" t="str">
        <f>iCCompare!AI30</f>
        <v/>
      </c>
      <c r="C30" s="712" t="str">
        <f t="shared" si="0"/>
        <v>0</v>
      </c>
      <c r="D30" s="712" t="str">
        <f>iCCompare!T30</f>
        <v/>
      </c>
      <c r="E30" s="737" t="str">
        <f>IF(ISERROR(REPT(" ",(B30-1)*2)&amp;iCCompare!Y30),"",REPT(" ",(B30-1)*2)&amp;iCCompare!Y30)</f>
        <v/>
      </c>
      <c r="F30" s="714" t="e">
        <f>IF($J30&gt;#REF!,1,IF($J30&lt;#REF!,2,0))</f>
        <v>#REF!</v>
      </c>
      <c r="G30" s="715">
        <v>0</v>
      </c>
      <c r="H30" s="716" t="str">
        <f>iCCompare!Z30</f>
        <v/>
      </c>
      <c r="I30" s="717" t="str">
        <f>TEXT(iCCompare!AA30,iCCompare!AV30)</f>
        <v/>
      </c>
      <c r="J30" s="718" t="str">
        <f>iCCompare!AJ30</f>
        <v/>
      </c>
      <c r="L30" s="723" t="str">
        <f>iCCompare!AH30</f>
        <v/>
      </c>
      <c r="M30" s="720"/>
      <c r="N30" s="720"/>
      <c r="O30" s="715"/>
      <c r="P30" s="715"/>
      <c r="Q30" s="715"/>
      <c r="R30" s="715"/>
      <c r="S30" s="715"/>
      <c r="T30" s="715"/>
      <c r="U30" s="715"/>
      <c r="V30" s="715"/>
      <c r="W30" s="715"/>
      <c r="X30" s="715"/>
      <c r="Y30" s="715"/>
      <c r="Z30" s="743" t="str">
        <f t="shared" si="1"/>
        <v/>
      </c>
      <c r="AA30" s="715"/>
      <c r="AB30" s="715"/>
      <c r="AC30" s="715"/>
      <c r="AD30" s="715"/>
      <c r="AE30" s="715"/>
      <c r="AF30" s="715"/>
      <c r="AG30" s="715"/>
      <c r="AH30" s="715"/>
      <c r="AI30" s="715"/>
      <c r="AJ30" s="715"/>
      <c r="AK30" s="715"/>
      <c r="AL30" s="715"/>
      <c r="AM30" s="715"/>
      <c r="AN30" s="715"/>
      <c r="AO30" s="715"/>
      <c r="AP30" s="715"/>
      <c r="AQ30" s="715"/>
      <c r="AR30" s="715"/>
      <c r="AS30" s="715"/>
      <c r="AT30" s="715"/>
    </row>
    <row r="31" spans="2:46" s="315" customFormat="1" hidden="1">
      <c r="B31" s="712" t="str">
        <f>iCCompare!AI31</f>
        <v/>
      </c>
      <c r="C31" s="315" t="str">
        <f t="shared" si="0"/>
        <v>0</v>
      </c>
      <c r="D31" s="315" t="str">
        <f>iCCompare!T31</f>
        <v/>
      </c>
      <c r="E31" s="738" t="str">
        <f>IF(ISERROR(REPT(" ",(B31-1)*2)&amp;iCCompare!Y31),"",REPT(" ",(B31-1)*2)&amp;iCCompare!Y31)</f>
        <v/>
      </c>
      <c r="F31" s="317" t="e">
        <f>IF($J31&gt;#REF!,1,IF($J31&lt;#REF!,2,0))</f>
        <v>#REF!</v>
      </c>
      <c r="G31" s="199">
        <v>0</v>
      </c>
      <c r="H31" s="318" t="str">
        <f>iCCompare!Z31</f>
        <v/>
      </c>
      <c r="I31" s="319" t="str">
        <f>TEXT(iCCompare!AA31,iCCompare!AV31)</f>
        <v/>
      </c>
      <c r="J31" s="320" t="str">
        <f>iCCompare!AJ31</f>
        <v/>
      </c>
      <c r="L31" s="724" t="str">
        <f>iCCompare!AH31</f>
        <v/>
      </c>
      <c r="M31" s="399"/>
      <c r="N31" s="399"/>
      <c r="O31" s="199"/>
      <c r="P31" s="199"/>
      <c r="Q31" s="199"/>
      <c r="R31" s="199"/>
      <c r="S31" s="199"/>
      <c r="T31" s="199"/>
      <c r="U31" s="199"/>
      <c r="V31" s="199"/>
      <c r="W31" s="199"/>
      <c r="X31" s="199"/>
      <c r="Y31" s="199"/>
      <c r="Z31" s="743" t="str">
        <f t="shared" si="1"/>
        <v/>
      </c>
      <c r="AA31" s="199"/>
      <c r="AB31" s="199"/>
      <c r="AC31" s="199"/>
      <c r="AD31" s="199"/>
      <c r="AE31" s="199"/>
      <c r="AF31" s="199"/>
      <c r="AG31" s="199"/>
      <c r="AH31" s="199"/>
      <c r="AI31" s="199"/>
      <c r="AJ31" s="199"/>
      <c r="AK31" s="199"/>
      <c r="AL31" s="199"/>
      <c r="AM31" s="199"/>
      <c r="AN31" s="199"/>
      <c r="AO31" s="199"/>
      <c r="AP31" s="199"/>
      <c r="AQ31" s="199"/>
      <c r="AR31" s="199"/>
      <c r="AS31" s="199"/>
      <c r="AT31" s="199"/>
    </row>
    <row r="32" spans="2:46" s="315" customFormat="1" hidden="1">
      <c r="B32" s="712" t="str">
        <f>iCCompare!AI32</f>
        <v/>
      </c>
      <c r="C32" s="315" t="str">
        <f t="shared" si="0"/>
        <v>0</v>
      </c>
      <c r="D32" s="315" t="str">
        <f>iCCompare!T32</f>
        <v/>
      </c>
      <c r="E32" s="738" t="str">
        <f>IF(ISERROR(REPT(" ",(B32-1)*2)&amp;iCCompare!Y32),"",REPT(" ",(B32-1)*2)&amp;iCCompare!Y32)</f>
        <v/>
      </c>
      <c r="F32" s="317" t="e">
        <f>IF($J32&gt;#REF!,1,IF($J32&lt;#REF!,2,0))</f>
        <v>#REF!</v>
      </c>
      <c r="G32" s="199">
        <v>0</v>
      </c>
      <c r="H32" s="318" t="str">
        <f>iCCompare!Z32</f>
        <v/>
      </c>
      <c r="I32" s="319" t="str">
        <f>TEXT(iCCompare!AA32,iCCompare!AV32)</f>
        <v/>
      </c>
      <c r="J32" s="320" t="str">
        <f>iCCompare!AJ32</f>
        <v/>
      </c>
      <c r="L32" s="724" t="str">
        <f>iCCompare!AH32</f>
        <v/>
      </c>
      <c r="M32" s="399"/>
      <c r="N32" s="399"/>
      <c r="O32" s="199"/>
      <c r="P32" s="199"/>
      <c r="Q32" s="199"/>
      <c r="R32" s="199"/>
      <c r="S32" s="199"/>
      <c r="T32" s="199"/>
      <c r="U32" s="199"/>
      <c r="V32" s="199"/>
      <c r="W32" s="199"/>
      <c r="X32" s="199"/>
      <c r="Y32" s="199"/>
      <c r="Z32" s="743" t="str">
        <f t="shared" si="1"/>
        <v/>
      </c>
      <c r="AA32" s="199"/>
      <c r="AB32" s="199"/>
      <c r="AC32" s="199"/>
      <c r="AD32" s="199"/>
      <c r="AE32" s="199"/>
      <c r="AF32" s="199"/>
      <c r="AG32" s="199"/>
      <c r="AH32" s="199"/>
      <c r="AI32" s="199"/>
      <c r="AJ32" s="199"/>
      <c r="AK32" s="199"/>
      <c r="AL32" s="199"/>
      <c r="AM32" s="199"/>
      <c r="AN32" s="199"/>
      <c r="AO32" s="199"/>
      <c r="AP32" s="199"/>
      <c r="AQ32" s="199"/>
      <c r="AR32" s="199"/>
      <c r="AS32" s="199"/>
      <c r="AT32" s="199"/>
    </row>
    <row r="33" spans="2:46" s="315" customFormat="1" hidden="1">
      <c r="B33" s="712" t="str">
        <f>iCCompare!AI33</f>
        <v/>
      </c>
      <c r="C33" s="315" t="str">
        <f t="shared" si="0"/>
        <v>0</v>
      </c>
      <c r="D33" s="315" t="str">
        <f>iCCompare!T33</f>
        <v/>
      </c>
      <c r="E33" s="738" t="str">
        <f>IF(ISERROR(REPT(" ",(B33-1)*2)&amp;iCCompare!Y33),"",REPT(" ",(B33-1)*2)&amp;iCCompare!Y33)</f>
        <v/>
      </c>
      <c r="F33" s="317" t="e">
        <f>IF($J33&gt;#REF!,1,IF($J33&lt;#REF!,2,0))</f>
        <v>#REF!</v>
      </c>
      <c r="G33" s="199">
        <v>0</v>
      </c>
      <c r="H33" s="318" t="str">
        <f>iCCompare!Z33</f>
        <v/>
      </c>
      <c r="I33" s="319" t="str">
        <f>TEXT(iCCompare!AA33,iCCompare!AV33)</f>
        <v/>
      </c>
      <c r="J33" s="320" t="str">
        <f>iCCompare!AJ33</f>
        <v/>
      </c>
      <c r="L33" s="724" t="str">
        <f>iCCompare!AH33</f>
        <v/>
      </c>
      <c r="M33" s="399"/>
      <c r="N33" s="399"/>
      <c r="O33" s="199"/>
      <c r="P33" s="199"/>
      <c r="Q33" s="199"/>
      <c r="R33" s="199"/>
      <c r="S33" s="199"/>
      <c r="T33" s="199"/>
      <c r="U33" s="199"/>
      <c r="V33" s="199"/>
      <c r="W33" s="199"/>
      <c r="X33" s="199"/>
      <c r="Y33" s="199"/>
      <c r="Z33" s="743" t="str">
        <f t="shared" si="1"/>
        <v/>
      </c>
      <c r="AA33" s="199"/>
      <c r="AB33" s="199"/>
      <c r="AC33" s="199"/>
      <c r="AD33" s="199"/>
      <c r="AE33" s="199"/>
      <c r="AF33" s="199"/>
      <c r="AG33" s="199"/>
      <c r="AH33" s="199"/>
      <c r="AI33" s="199"/>
      <c r="AJ33" s="199"/>
      <c r="AK33" s="199"/>
      <c r="AL33" s="199"/>
      <c r="AM33" s="199"/>
      <c r="AN33" s="199"/>
      <c r="AO33" s="199"/>
      <c r="AP33" s="199"/>
      <c r="AQ33" s="199"/>
      <c r="AR33" s="199"/>
      <c r="AS33" s="199"/>
      <c r="AT33" s="199"/>
    </row>
    <row r="34" spans="2:46" s="315" customFormat="1" hidden="1">
      <c r="B34" s="712" t="str">
        <f>iCCompare!AI34</f>
        <v/>
      </c>
      <c r="C34" s="315" t="str">
        <f t="shared" si="0"/>
        <v>0</v>
      </c>
      <c r="D34" s="315" t="str">
        <f>iCCompare!T34</f>
        <v/>
      </c>
      <c r="E34" s="738" t="str">
        <f>IF(ISERROR(REPT(" ",(B34-1)*2)&amp;iCCompare!Y34),"",REPT(" ",(B34-1)*2)&amp;iCCompare!Y34)</f>
        <v/>
      </c>
      <c r="F34" s="317" t="e">
        <f>IF($J34&gt;#REF!,1,IF($J34&lt;#REF!,2,0))</f>
        <v>#REF!</v>
      </c>
      <c r="G34" s="199">
        <v>0</v>
      </c>
      <c r="H34" s="318" t="str">
        <f>iCCompare!Z34</f>
        <v/>
      </c>
      <c r="I34" s="319" t="str">
        <f>TEXT(iCCompare!AA34,iCCompare!AV34)</f>
        <v/>
      </c>
      <c r="J34" s="320" t="str">
        <f>iCCompare!AJ34</f>
        <v/>
      </c>
      <c r="L34" s="724" t="str">
        <f>iCCompare!AH34</f>
        <v/>
      </c>
      <c r="M34" s="399"/>
      <c r="N34" s="399"/>
      <c r="O34" s="199"/>
      <c r="P34" s="199"/>
      <c r="Q34" s="199"/>
      <c r="R34" s="199"/>
      <c r="S34" s="199"/>
      <c r="T34" s="199"/>
      <c r="U34" s="199"/>
      <c r="V34" s="199"/>
      <c r="W34" s="199"/>
      <c r="X34" s="199"/>
      <c r="Y34" s="199"/>
      <c r="Z34" s="743" t="str">
        <f t="shared" si="1"/>
        <v/>
      </c>
      <c r="AA34" s="199"/>
      <c r="AB34" s="199"/>
      <c r="AC34" s="199"/>
      <c r="AD34" s="199"/>
      <c r="AE34" s="199"/>
      <c r="AF34" s="199"/>
      <c r="AG34" s="199"/>
      <c r="AH34" s="199"/>
      <c r="AI34" s="199"/>
      <c r="AJ34" s="199"/>
      <c r="AK34" s="199"/>
      <c r="AL34" s="199"/>
      <c r="AM34" s="199"/>
      <c r="AN34" s="199"/>
      <c r="AO34" s="199"/>
      <c r="AP34" s="199"/>
      <c r="AQ34" s="199"/>
      <c r="AR34" s="199"/>
      <c r="AS34" s="199"/>
      <c r="AT34" s="199"/>
    </row>
    <row r="35" spans="2:46" s="315" customFormat="1" hidden="1">
      <c r="B35" s="712" t="str">
        <f>iCCompare!AI35</f>
        <v/>
      </c>
      <c r="C35" s="315" t="str">
        <f t="shared" si="0"/>
        <v>0</v>
      </c>
      <c r="D35" s="315" t="str">
        <f>iCCompare!T35</f>
        <v/>
      </c>
      <c r="E35" s="738" t="str">
        <f>IF(ISERROR(REPT(" ",(B35-1)*2)&amp;iCCompare!Y35),"",REPT(" ",(B35-1)*2)&amp;iCCompare!Y35)</f>
        <v/>
      </c>
      <c r="F35" s="317" t="e">
        <f>IF($J35&gt;#REF!,1,IF($J35&lt;#REF!,2,0))</f>
        <v>#REF!</v>
      </c>
      <c r="G35" s="199">
        <v>0</v>
      </c>
      <c r="H35" s="318" t="str">
        <f>iCCompare!Z35</f>
        <v/>
      </c>
      <c r="I35" s="319" t="str">
        <f>TEXT(iCCompare!AA35,iCCompare!AV35)</f>
        <v/>
      </c>
      <c r="J35" s="320" t="str">
        <f>iCCompare!AJ35</f>
        <v/>
      </c>
      <c r="L35" s="724" t="str">
        <f>iCCompare!AH35</f>
        <v/>
      </c>
      <c r="M35" s="399"/>
      <c r="N35" s="399"/>
      <c r="O35" s="199"/>
      <c r="P35" s="199"/>
      <c r="Q35" s="199"/>
      <c r="R35" s="199"/>
      <c r="S35" s="199"/>
      <c r="T35" s="199"/>
      <c r="U35" s="199"/>
      <c r="V35" s="199"/>
      <c r="W35" s="199"/>
      <c r="X35" s="199"/>
      <c r="Y35" s="199"/>
      <c r="Z35" s="743" t="str">
        <f t="shared" si="1"/>
        <v/>
      </c>
      <c r="AA35" s="199"/>
      <c r="AB35" s="199"/>
      <c r="AC35" s="199"/>
      <c r="AD35" s="199"/>
      <c r="AE35" s="199"/>
      <c r="AF35" s="199"/>
      <c r="AG35" s="199"/>
      <c r="AH35" s="199"/>
      <c r="AI35" s="199"/>
      <c r="AJ35" s="199"/>
      <c r="AK35" s="199"/>
      <c r="AL35" s="199"/>
      <c r="AM35" s="199"/>
      <c r="AN35" s="199"/>
      <c r="AO35" s="199"/>
      <c r="AP35" s="199"/>
      <c r="AQ35" s="199"/>
      <c r="AR35" s="199"/>
      <c r="AS35" s="199"/>
      <c r="AT35" s="199"/>
    </row>
    <row r="36" spans="2:46" s="315" customFormat="1" hidden="1">
      <c r="B36" s="712" t="str">
        <f>iCCompare!AI36</f>
        <v/>
      </c>
      <c r="C36" s="315" t="str">
        <f t="shared" si="0"/>
        <v>0</v>
      </c>
      <c r="D36" s="315" t="str">
        <f>iCCompare!T36</f>
        <v/>
      </c>
      <c r="E36" s="738" t="str">
        <f>IF(ISERROR(REPT(" ",(B36-1)*2)&amp;iCCompare!Y36),"",REPT(" ",(B36-1)*2)&amp;iCCompare!Y36)</f>
        <v/>
      </c>
      <c r="F36" s="317" t="e">
        <f>IF($J36&gt;#REF!,1,IF($J36&lt;#REF!,2,0))</f>
        <v>#REF!</v>
      </c>
      <c r="G36" s="199">
        <v>0</v>
      </c>
      <c r="H36" s="318" t="str">
        <f>iCCompare!Z36</f>
        <v/>
      </c>
      <c r="I36" s="319" t="str">
        <f>TEXT(iCCompare!AA36,iCCompare!AV36)</f>
        <v/>
      </c>
      <c r="J36" s="320" t="str">
        <f>iCCompare!AJ36</f>
        <v/>
      </c>
      <c r="L36" s="724" t="str">
        <f>iCCompare!AH36</f>
        <v/>
      </c>
      <c r="M36" s="399"/>
      <c r="N36" s="399"/>
      <c r="O36" s="199"/>
      <c r="P36" s="199"/>
      <c r="Q36" s="199"/>
      <c r="R36" s="199"/>
      <c r="S36" s="199"/>
      <c r="T36" s="199"/>
      <c r="U36" s="199"/>
      <c r="V36" s="199"/>
      <c r="W36" s="199"/>
      <c r="X36" s="199"/>
      <c r="Y36" s="199"/>
      <c r="Z36" s="743" t="str">
        <f t="shared" si="1"/>
        <v/>
      </c>
      <c r="AA36" s="199"/>
      <c r="AB36" s="199"/>
      <c r="AC36" s="199"/>
      <c r="AD36" s="199"/>
      <c r="AE36" s="199"/>
      <c r="AF36" s="199"/>
      <c r="AG36" s="199"/>
      <c r="AH36" s="199"/>
      <c r="AI36" s="199"/>
      <c r="AJ36" s="199"/>
      <c r="AK36" s="199"/>
      <c r="AL36" s="199"/>
      <c r="AM36" s="199"/>
      <c r="AN36" s="199"/>
      <c r="AO36" s="199"/>
      <c r="AP36" s="199"/>
      <c r="AQ36" s="199"/>
      <c r="AR36" s="199"/>
      <c r="AS36" s="199"/>
      <c r="AT36" s="199"/>
    </row>
    <row r="37" spans="2:46" s="315" customFormat="1" hidden="1">
      <c r="B37" s="712" t="str">
        <f>iCCompare!AI37</f>
        <v/>
      </c>
      <c r="C37" s="315" t="str">
        <f t="shared" si="0"/>
        <v>0</v>
      </c>
      <c r="D37" s="315" t="str">
        <f>iCCompare!T37</f>
        <v/>
      </c>
      <c r="E37" s="738" t="str">
        <f>IF(ISERROR(REPT(" ",(B37-1)*2)&amp;iCCompare!Y37),"",REPT(" ",(B37-1)*2)&amp;iCCompare!Y37)</f>
        <v/>
      </c>
      <c r="F37" s="317" t="e">
        <f>IF($J37&gt;#REF!,1,IF($J37&lt;#REF!,2,0))</f>
        <v>#REF!</v>
      </c>
      <c r="G37" s="199">
        <v>0</v>
      </c>
      <c r="H37" s="318" t="str">
        <f>iCCompare!Z37</f>
        <v/>
      </c>
      <c r="I37" s="319" t="str">
        <f>TEXT(iCCompare!AA37,iCCompare!AV37)</f>
        <v/>
      </c>
      <c r="J37" s="320" t="str">
        <f>iCCompare!AJ37</f>
        <v/>
      </c>
      <c r="L37" s="724" t="str">
        <f>iCCompare!AH37</f>
        <v/>
      </c>
      <c r="M37" s="399"/>
      <c r="N37" s="399"/>
      <c r="O37" s="199"/>
      <c r="P37" s="199"/>
      <c r="Q37" s="199"/>
      <c r="R37" s="199"/>
      <c r="S37" s="199"/>
      <c r="T37" s="199"/>
      <c r="U37" s="199"/>
      <c r="V37" s="199"/>
      <c r="W37" s="199"/>
      <c r="X37" s="199"/>
      <c r="Y37" s="199"/>
      <c r="Z37" s="743" t="str">
        <f t="shared" si="1"/>
        <v/>
      </c>
      <c r="AA37" s="199"/>
      <c r="AB37" s="199"/>
      <c r="AC37" s="199"/>
      <c r="AD37" s="199"/>
      <c r="AE37" s="199"/>
      <c r="AF37" s="199"/>
      <c r="AG37" s="199"/>
      <c r="AH37" s="199"/>
      <c r="AI37" s="199"/>
      <c r="AJ37" s="199"/>
      <c r="AK37" s="199"/>
      <c r="AL37" s="199"/>
      <c r="AM37" s="199"/>
      <c r="AN37" s="199"/>
      <c r="AO37" s="199"/>
      <c r="AP37" s="199"/>
      <c r="AQ37" s="199"/>
      <c r="AR37" s="199"/>
      <c r="AS37" s="199"/>
      <c r="AT37" s="199"/>
    </row>
    <row r="38" spans="2:46" s="315" customFormat="1" hidden="1">
      <c r="B38" s="712" t="str">
        <f>iCCompare!AI38</f>
        <v/>
      </c>
      <c r="C38" s="315" t="str">
        <f t="shared" si="0"/>
        <v>0</v>
      </c>
      <c r="D38" s="315" t="str">
        <f>iCCompare!T38</f>
        <v/>
      </c>
      <c r="E38" s="738" t="str">
        <f>IF(ISERROR(REPT(" ",(B38-1)*2)&amp;iCCompare!Y38),"",REPT(" ",(B38-1)*2)&amp;iCCompare!Y38)</f>
        <v/>
      </c>
      <c r="F38" s="317" t="e">
        <f>IF($J38&gt;#REF!,1,IF($J38&lt;#REF!,2,0))</f>
        <v>#REF!</v>
      </c>
      <c r="G38" s="199">
        <v>0</v>
      </c>
      <c r="H38" s="318" t="str">
        <f>iCCompare!Z38</f>
        <v/>
      </c>
      <c r="I38" s="319" t="str">
        <f>TEXT(iCCompare!AA38,iCCompare!AV38)</f>
        <v/>
      </c>
      <c r="J38" s="320" t="str">
        <f>iCCompare!AJ38</f>
        <v/>
      </c>
      <c r="L38" s="724" t="str">
        <f>iCCompare!AH38</f>
        <v/>
      </c>
      <c r="M38" s="399"/>
      <c r="N38" s="399"/>
      <c r="O38" s="199"/>
      <c r="P38" s="199"/>
      <c r="Q38" s="199"/>
      <c r="R38" s="199"/>
      <c r="S38" s="199"/>
      <c r="T38" s="199"/>
      <c r="U38" s="199"/>
      <c r="V38" s="199"/>
      <c r="W38" s="199"/>
      <c r="X38" s="199"/>
      <c r="Y38" s="199"/>
      <c r="Z38" s="743" t="str">
        <f t="shared" si="1"/>
        <v/>
      </c>
      <c r="AA38" s="199"/>
      <c r="AB38" s="199"/>
      <c r="AC38" s="199"/>
      <c r="AD38" s="199"/>
      <c r="AE38" s="199"/>
      <c r="AF38" s="199"/>
      <c r="AG38" s="199"/>
      <c r="AH38" s="199"/>
      <c r="AI38" s="199"/>
      <c r="AJ38" s="199"/>
      <c r="AK38" s="199"/>
      <c r="AL38" s="199"/>
      <c r="AM38" s="199"/>
      <c r="AN38" s="199"/>
      <c r="AO38" s="199"/>
      <c r="AP38" s="199"/>
      <c r="AQ38" s="199"/>
      <c r="AR38" s="199"/>
      <c r="AS38" s="199"/>
      <c r="AT38" s="199"/>
    </row>
    <row r="39" spans="2:46" s="315" customFormat="1" hidden="1">
      <c r="B39" s="712" t="str">
        <f>iCCompare!AI39</f>
        <v/>
      </c>
      <c r="C39" s="315" t="str">
        <f t="shared" si="0"/>
        <v>0</v>
      </c>
      <c r="D39" s="315" t="str">
        <f>iCCompare!T39</f>
        <v/>
      </c>
      <c r="E39" s="738" t="str">
        <f>IF(ISERROR(REPT(" ",(B39-1)*2)&amp;iCCompare!Y39),"",REPT(" ",(B39-1)*2)&amp;iCCompare!Y39)</f>
        <v/>
      </c>
      <c r="F39" s="317" t="e">
        <f>IF($J39&gt;#REF!,1,IF($J39&lt;#REF!,2,0))</f>
        <v>#REF!</v>
      </c>
      <c r="G39" s="199">
        <v>0</v>
      </c>
      <c r="H39" s="318" t="str">
        <f>iCCompare!Z39</f>
        <v/>
      </c>
      <c r="I39" s="319" t="str">
        <f>TEXT(iCCompare!AA39,iCCompare!AV39)</f>
        <v/>
      </c>
      <c r="J39" s="320" t="str">
        <f>iCCompare!AJ39</f>
        <v/>
      </c>
      <c r="L39" s="724" t="str">
        <f>iCCompare!AH39</f>
        <v/>
      </c>
      <c r="M39" s="399"/>
      <c r="N39" s="399"/>
      <c r="O39" s="199"/>
      <c r="P39" s="199"/>
      <c r="Q39" s="199"/>
      <c r="R39" s="199"/>
      <c r="S39" s="199"/>
      <c r="T39" s="199"/>
      <c r="U39" s="199"/>
      <c r="V39" s="199"/>
      <c r="W39" s="199"/>
      <c r="X39" s="199"/>
      <c r="Y39" s="199"/>
      <c r="Z39" s="743" t="str">
        <f t="shared" si="1"/>
        <v/>
      </c>
      <c r="AA39" s="199"/>
      <c r="AB39" s="199"/>
      <c r="AC39" s="199"/>
      <c r="AD39" s="199"/>
      <c r="AE39" s="199"/>
      <c r="AF39" s="199"/>
      <c r="AG39" s="199"/>
      <c r="AH39" s="199"/>
      <c r="AI39" s="199"/>
      <c r="AJ39" s="199"/>
      <c r="AK39" s="199"/>
      <c r="AL39" s="199"/>
      <c r="AM39" s="199"/>
      <c r="AN39" s="199"/>
      <c r="AO39" s="199"/>
      <c r="AP39" s="199"/>
      <c r="AQ39" s="199"/>
      <c r="AR39" s="199"/>
      <c r="AS39" s="199"/>
      <c r="AT39" s="199"/>
    </row>
    <row r="40" spans="2:46" s="315" customFormat="1" hidden="1">
      <c r="B40" s="712" t="str">
        <f>iCCompare!AI40</f>
        <v/>
      </c>
      <c r="C40" s="315" t="str">
        <f t="shared" si="0"/>
        <v>0</v>
      </c>
      <c r="D40" s="315" t="str">
        <f>iCCompare!T40</f>
        <v/>
      </c>
      <c r="E40" s="738" t="str">
        <f>IF(ISERROR(REPT(" ",(B40-1)*2)&amp;iCCompare!Y40),"",REPT(" ",(B40-1)*2)&amp;iCCompare!Y40)</f>
        <v/>
      </c>
      <c r="F40" s="317" t="e">
        <f>IF($J40&gt;#REF!,1,IF($J40&lt;#REF!,2,0))</f>
        <v>#REF!</v>
      </c>
      <c r="G40" s="199">
        <v>0</v>
      </c>
      <c r="H40" s="318" t="str">
        <f>iCCompare!Z40</f>
        <v/>
      </c>
      <c r="I40" s="319" t="str">
        <f>TEXT(iCCompare!AA40,iCCompare!AV40)</f>
        <v/>
      </c>
      <c r="J40" s="320" t="str">
        <f>iCCompare!AJ40</f>
        <v/>
      </c>
      <c r="L40" s="724" t="str">
        <f>iCCompare!AH40</f>
        <v/>
      </c>
      <c r="M40" s="399"/>
      <c r="N40" s="399"/>
      <c r="O40" s="199"/>
      <c r="P40" s="199"/>
      <c r="Q40" s="199"/>
      <c r="R40" s="199"/>
      <c r="S40" s="199"/>
      <c r="T40" s="199"/>
      <c r="U40" s="199"/>
      <c r="V40" s="199"/>
      <c r="W40" s="199"/>
      <c r="X40" s="199"/>
      <c r="Y40" s="199"/>
      <c r="Z40" s="743" t="str">
        <f t="shared" si="1"/>
        <v/>
      </c>
      <c r="AA40" s="199"/>
      <c r="AB40" s="199"/>
      <c r="AC40" s="199"/>
      <c r="AD40" s="199"/>
      <c r="AE40" s="199"/>
      <c r="AF40" s="199"/>
      <c r="AG40" s="199"/>
      <c r="AH40" s="199"/>
      <c r="AI40" s="199"/>
      <c r="AJ40" s="199"/>
      <c r="AK40" s="199"/>
      <c r="AL40" s="199"/>
      <c r="AM40" s="199"/>
      <c r="AN40" s="199"/>
      <c r="AO40" s="199"/>
      <c r="AP40" s="199"/>
      <c r="AQ40" s="199"/>
      <c r="AR40" s="199"/>
      <c r="AS40" s="199"/>
      <c r="AT40" s="199"/>
    </row>
    <row r="41" spans="2:46" s="712" customFormat="1" hidden="1">
      <c r="B41" s="712" t="str">
        <f>iCCompare!AI41</f>
        <v/>
      </c>
      <c r="C41" s="712" t="str">
        <f t="shared" si="0"/>
        <v>0</v>
      </c>
      <c r="D41" s="712" t="str">
        <f>iCCompare!T41</f>
        <v/>
      </c>
      <c r="E41" s="737" t="str">
        <f>IF(ISERROR(REPT(" ",(B41-1)*2)&amp;iCCompare!Y41),"",REPT(" ",(B41-1)*2)&amp;iCCompare!Y41)</f>
        <v/>
      </c>
      <c r="F41" s="714" t="e">
        <f>IF($J41&gt;#REF!,1,IF($J41&lt;#REF!,2,0))</f>
        <v>#REF!</v>
      </c>
      <c r="G41" s="715">
        <v>0</v>
      </c>
      <c r="H41" s="716" t="str">
        <f>iCCompare!Z41</f>
        <v/>
      </c>
      <c r="I41" s="717" t="str">
        <f>TEXT(iCCompare!AA41,iCCompare!AV41)</f>
        <v/>
      </c>
      <c r="J41" s="718" t="str">
        <f>iCCompare!AJ41</f>
        <v/>
      </c>
      <c r="L41" s="723" t="str">
        <f>iCCompare!AH41</f>
        <v/>
      </c>
      <c r="M41" s="720"/>
      <c r="N41" s="720"/>
      <c r="O41" s="715"/>
      <c r="P41" s="715"/>
      <c r="Q41" s="715"/>
      <c r="R41" s="715"/>
      <c r="S41" s="715"/>
      <c r="T41" s="715"/>
      <c r="U41" s="715"/>
      <c r="V41" s="715"/>
      <c r="W41" s="715"/>
      <c r="X41" s="715"/>
      <c r="Y41" s="715"/>
      <c r="Z41" s="743" t="str">
        <f t="shared" si="1"/>
        <v/>
      </c>
      <c r="AA41" s="715"/>
      <c r="AB41" s="715"/>
      <c r="AC41" s="715"/>
      <c r="AD41" s="715"/>
      <c r="AE41" s="715"/>
      <c r="AF41" s="715"/>
      <c r="AG41" s="715"/>
      <c r="AH41" s="715"/>
      <c r="AI41" s="715"/>
      <c r="AJ41" s="715"/>
      <c r="AK41" s="715"/>
      <c r="AL41" s="715"/>
      <c r="AM41" s="715"/>
      <c r="AN41" s="715"/>
      <c r="AO41" s="715"/>
      <c r="AP41" s="715"/>
      <c r="AQ41" s="715"/>
      <c r="AR41" s="715"/>
      <c r="AS41" s="715"/>
      <c r="AT41" s="715"/>
    </row>
    <row r="42" spans="2:46" s="315" customFormat="1" hidden="1">
      <c r="B42" s="712" t="str">
        <f>iCCompare!AI42</f>
        <v/>
      </c>
      <c r="C42" s="315" t="str">
        <f t="shared" si="0"/>
        <v>0</v>
      </c>
      <c r="D42" s="315" t="str">
        <f>iCCompare!T42</f>
        <v/>
      </c>
      <c r="E42" s="738" t="str">
        <f>IF(ISERROR(REPT(" ",(B42-1)*2)&amp;iCCompare!Y42),"",REPT(" ",(B42-1)*2)&amp;iCCompare!Y42)</f>
        <v/>
      </c>
      <c r="F42" s="317" t="e">
        <f>IF($J42&gt;#REF!,1,IF($J42&lt;#REF!,2,0))</f>
        <v>#REF!</v>
      </c>
      <c r="G42" s="199">
        <v>0</v>
      </c>
      <c r="H42" s="318" t="str">
        <f>iCCompare!Z42</f>
        <v/>
      </c>
      <c r="I42" s="319" t="str">
        <f>TEXT(iCCompare!AA42,iCCompare!AV42)</f>
        <v/>
      </c>
      <c r="J42" s="320" t="str">
        <f>iCCompare!AJ42</f>
        <v/>
      </c>
      <c r="L42" s="724" t="str">
        <f>iCCompare!AH42</f>
        <v/>
      </c>
      <c r="M42" s="399"/>
      <c r="N42" s="399"/>
      <c r="O42" s="199"/>
      <c r="P42" s="199"/>
      <c r="Q42" s="199"/>
      <c r="R42" s="199"/>
      <c r="S42" s="199"/>
      <c r="T42" s="199"/>
      <c r="U42" s="199"/>
      <c r="V42" s="199"/>
      <c r="W42" s="199"/>
      <c r="X42" s="199"/>
      <c r="Y42" s="199"/>
      <c r="Z42" s="743" t="str">
        <f t="shared" si="1"/>
        <v/>
      </c>
      <c r="AA42" s="199"/>
      <c r="AB42" s="199"/>
      <c r="AC42" s="199"/>
      <c r="AD42" s="199"/>
      <c r="AE42" s="199"/>
      <c r="AF42" s="199"/>
      <c r="AG42" s="199"/>
      <c r="AH42" s="199"/>
      <c r="AI42" s="199"/>
      <c r="AJ42" s="199"/>
      <c r="AK42" s="199"/>
      <c r="AL42" s="199"/>
      <c r="AM42" s="199"/>
      <c r="AN42" s="199"/>
      <c r="AO42" s="199"/>
      <c r="AP42" s="199"/>
      <c r="AQ42" s="199"/>
      <c r="AR42" s="199"/>
      <c r="AS42" s="199"/>
      <c r="AT42" s="199"/>
    </row>
    <row r="43" spans="2:46" s="315" customFormat="1" hidden="1">
      <c r="B43" s="712" t="str">
        <f>iCCompare!AI43</f>
        <v/>
      </c>
      <c r="C43" s="315" t="str">
        <f t="shared" si="0"/>
        <v>0</v>
      </c>
      <c r="D43" s="315" t="str">
        <f>iCCompare!T43</f>
        <v/>
      </c>
      <c r="E43" s="738" t="str">
        <f>IF(ISERROR(REPT(" ",(B43-1)*2)&amp;iCCompare!Y43),"",REPT(" ",(B43-1)*2)&amp;iCCompare!Y43)</f>
        <v/>
      </c>
      <c r="F43" s="317" t="e">
        <f>IF($J43&gt;#REF!,1,IF($J43&lt;#REF!,2,0))</f>
        <v>#REF!</v>
      </c>
      <c r="G43" s="199">
        <v>0</v>
      </c>
      <c r="H43" s="318" t="str">
        <f>iCCompare!Z43</f>
        <v/>
      </c>
      <c r="I43" s="319" t="str">
        <f>TEXT(iCCompare!AA43,iCCompare!AV43)</f>
        <v/>
      </c>
      <c r="J43" s="320" t="str">
        <f>iCCompare!AJ43</f>
        <v/>
      </c>
      <c r="L43" s="724" t="str">
        <f>iCCompare!AH43</f>
        <v/>
      </c>
      <c r="M43" s="399"/>
      <c r="N43" s="399"/>
      <c r="O43" s="199"/>
      <c r="P43" s="199"/>
      <c r="Q43" s="199"/>
      <c r="R43" s="199"/>
      <c r="S43" s="199"/>
      <c r="T43" s="199"/>
      <c r="U43" s="199"/>
      <c r="V43" s="199"/>
      <c r="W43" s="199"/>
      <c r="X43" s="199"/>
      <c r="Y43" s="199"/>
      <c r="Z43" s="743" t="str">
        <f t="shared" si="1"/>
        <v/>
      </c>
      <c r="AA43" s="199"/>
      <c r="AB43" s="199"/>
      <c r="AC43" s="199"/>
      <c r="AD43" s="199"/>
      <c r="AE43" s="199"/>
      <c r="AF43" s="199"/>
      <c r="AG43" s="199"/>
      <c r="AH43" s="199"/>
      <c r="AI43" s="199"/>
      <c r="AJ43" s="199"/>
      <c r="AK43" s="199"/>
      <c r="AL43" s="199"/>
      <c r="AM43" s="199"/>
      <c r="AN43" s="199"/>
      <c r="AO43" s="199"/>
      <c r="AP43" s="199"/>
      <c r="AQ43" s="199"/>
      <c r="AR43" s="199"/>
      <c r="AS43" s="199"/>
      <c r="AT43" s="199"/>
    </row>
    <row r="44" spans="2:46" s="315" customFormat="1" hidden="1">
      <c r="B44" s="712" t="str">
        <f>iCCompare!AI44</f>
        <v/>
      </c>
      <c r="C44" s="315" t="str">
        <f t="shared" si="0"/>
        <v>0</v>
      </c>
      <c r="D44" s="315" t="str">
        <f>iCCompare!T44</f>
        <v/>
      </c>
      <c r="E44" s="738" t="str">
        <f>IF(ISERROR(REPT(" ",(B44-1)*2)&amp;iCCompare!Y44),"",REPT(" ",(B44-1)*2)&amp;iCCompare!Y44)</f>
        <v/>
      </c>
      <c r="F44" s="317" t="e">
        <f>IF($J44&gt;#REF!,1,IF($J44&lt;#REF!,2,0))</f>
        <v>#REF!</v>
      </c>
      <c r="G44" s="199">
        <v>0</v>
      </c>
      <c r="H44" s="318" t="str">
        <f>iCCompare!Z44</f>
        <v/>
      </c>
      <c r="I44" s="319" t="str">
        <f>TEXT(iCCompare!AA44,iCCompare!AV44)</f>
        <v/>
      </c>
      <c r="J44" s="320" t="str">
        <f>iCCompare!AJ44</f>
        <v/>
      </c>
      <c r="L44" s="724" t="str">
        <f>iCCompare!AH44</f>
        <v/>
      </c>
      <c r="M44" s="399"/>
      <c r="N44" s="399"/>
      <c r="O44" s="199"/>
      <c r="P44" s="199"/>
      <c r="Q44" s="199"/>
      <c r="R44" s="199"/>
      <c r="S44" s="199"/>
      <c r="T44" s="199"/>
      <c r="U44" s="199"/>
      <c r="V44" s="199"/>
      <c r="W44" s="199"/>
      <c r="X44" s="199"/>
      <c r="Y44" s="199"/>
      <c r="Z44" s="743" t="str">
        <f t="shared" si="1"/>
        <v/>
      </c>
      <c r="AA44" s="199"/>
      <c r="AB44" s="199"/>
      <c r="AC44" s="199"/>
      <c r="AD44" s="199"/>
      <c r="AE44" s="199"/>
      <c r="AF44" s="199"/>
      <c r="AG44" s="199"/>
      <c r="AH44" s="199"/>
      <c r="AI44" s="199"/>
      <c r="AJ44" s="199"/>
      <c r="AK44" s="199"/>
      <c r="AL44" s="199"/>
      <c r="AM44" s="199"/>
      <c r="AN44" s="199"/>
      <c r="AO44" s="199"/>
      <c r="AP44" s="199"/>
      <c r="AQ44" s="199"/>
      <c r="AR44" s="199"/>
      <c r="AS44" s="199"/>
      <c r="AT44" s="199"/>
    </row>
    <row r="45" spans="2:46" s="315" customFormat="1" hidden="1">
      <c r="B45" s="712" t="str">
        <f>iCCompare!AI45</f>
        <v/>
      </c>
      <c r="C45" s="315" t="str">
        <f t="shared" si="0"/>
        <v>0</v>
      </c>
      <c r="D45" s="315" t="str">
        <f>iCCompare!T45</f>
        <v/>
      </c>
      <c r="E45" s="738" t="str">
        <f>IF(ISERROR(REPT(" ",(B45-1)*2)&amp;iCCompare!Y45),"",REPT(" ",(B45-1)*2)&amp;iCCompare!Y45)</f>
        <v/>
      </c>
      <c r="F45" s="317" t="e">
        <f>IF($J45&gt;#REF!,1,IF($J45&lt;#REF!,2,0))</f>
        <v>#REF!</v>
      </c>
      <c r="G45" s="199">
        <v>0</v>
      </c>
      <c r="H45" s="318" t="str">
        <f>iCCompare!Z45</f>
        <v/>
      </c>
      <c r="I45" s="319" t="str">
        <f>TEXT(iCCompare!AA45,iCCompare!AV45)</f>
        <v/>
      </c>
      <c r="J45" s="320" t="str">
        <f>iCCompare!AJ45</f>
        <v/>
      </c>
      <c r="L45" s="724" t="str">
        <f>iCCompare!AH45</f>
        <v/>
      </c>
      <c r="M45" s="399"/>
      <c r="N45" s="399"/>
      <c r="O45" s="199"/>
      <c r="P45" s="199"/>
      <c r="Q45" s="199"/>
      <c r="R45" s="199"/>
      <c r="S45" s="199"/>
      <c r="T45" s="199"/>
      <c r="U45" s="199"/>
      <c r="V45" s="199"/>
      <c r="W45" s="199"/>
      <c r="X45" s="199"/>
      <c r="Y45" s="199"/>
      <c r="Z45" s="743" t="str">
        <f t="shared" si="1"/>
        <v/>
      </c>
      <c r="AA45" s="199"/>
      <c r="AB45" s="199"/>
      <c r="AC45" s="199"/>
      <c r="AD45" s="199"/>
      <c r="AE45" s="199"/>
      <c r="AF45" s="199"/>
      <c r="AG45" s="199"/>
      <c r="AH45" s="199"/>
      <c r="AI45" s="199"/>
      <c r="AJ45" s="199"/>
      <c r="AK45" s="199"/>
      <c r="AL45" s="199"/>
      <c r="AM45" s="199"/>
      <c r="AN45" s="199"/>
      <c r="AO45" s="199"/>
      <c r="AP45" s="199"/>
      <c r="AQ45" s="199"/>
      <c r="AR45" s="199"/>
      <c r="AS45" s="199"/>
      <c r="AT45" s="199"/>
    </row>
    <row r="46" spans="2:46" s="315" customFormat="1" hidden="1">
      <c r="B46" s="712" t="str">
        <f>iCCompare!AI46</f>
        <v/>
      </c>
      <c r="C46" s="315" t="str">
        <f t="shared" si="0"/>
        <v>0</v>
      </c>
      <c r="D46" s="315" t="str">
        <f>iCCompare!T46</f>
        <v/>
      </c>
      <c r="E46" s="738" t="str">
        <f>IF(ISERROR(REPT(" ",(B46-1)*2)&amp;iCCompare!Y46),"",REPT(" ",(B46-1)*2)&amp;iCCompare!Y46)</f>
        <v/>
      </c>
      <c r="F46" s="317" t="e">
        <f>IF($J46&gt;#REF!,1,IF($J46&lt;#REF!,2,0))</f>
        <v>#REF!</v>
      </c>
      <c r="G46" s="199">
        <v>0</v>
      </c>
      <c r="H46" s="318" t="str">
        <f>iCCompare!Z46</f>
        <v/>
      </c>
      <c r="I46" s="319" t="str">
        <f>TEXT(iCCompare!AA46,iCCompare!AV46)</f>
        <v/>
      </c>
      <c r="J46" s="320" t="str">
        <f>iCCompare!AJ46</f>
        <v/>
      </c>
      <c r="L46" s="724" t="str">
        <f>iCCompare!AH46</f>
        <v/>
      </c>
      <c r="M46" s="399"/>
      <c r="N46" s="399"/>
      <c r="O46" s="199"/>
      <c r="P46" s="199"/>
      <c r="Q46" s="199"/>
      <c r="R46" s="199"/>
      <c r="S46" s="199"/>
      <c r="T46" s="199"/>
      <c r="U46" s="199"/>
      <c r="V46" s="199"/>
      <c r="W46" s="199"/>
      <c r="X46" s="199"/>
      <c r="Y46" s="199"/>
      <c r="Z46" s="743" t="str">
        <f t="shared" si="1"/>
        <v/>
      </c>
      <c r="AA46" s="199"/>
      <c r="AB46" s="199"/>
      <c r="AC46" s="199"/>
      <c r="AD46" s="199"/>
      <c r="AE46" s="199"/>
      <c r="AF46" s="199"/>
      <c r="AG46" s="199"/>
      <c r="AH46" s="199"/>
      <c r="AI46" s="199"/>
      <c r="AJ46" s="199"/>
      <c r="AK46" s="199"/>
      <c r="AL46" s="199"/>
      <c r="AM46" s="199"/>
      <c r="AN46" s="199"/>
      <c r="AO46" s="199"/>
      <c r="AP46" s="199"/>
      <c r="AQ46" s="199"/>
      <c r="AR46" s="199"/>
      <c r="AS46" s="199"/>
      <c r="AT46" s="199"/>
    </row>
    <row r="47" spans="2:46" s="315" customFormat="1" hidden="1">
      <c r="B47" s="712" t="str">
        <f>iCCompare!AI47</f>
        <v/>
      </c>
      <c r="C47" s="315" t="str">
        <f t="shared" si="0"/>
        <v>0</v>
      </c>
      <c r="D47" s="315" t="str">
        <f>iCCompare!T47</f>
        <v/>
      </c>
      <c r="E47" s="738" t="str">
        <f>IF(ISERROR(REPT(" ",(B47-1)*2)&amp;iCCompare!Y47),"",REPT(" ",(B47-1)*2)&amp;iCCompare!Y47)</f>
        <v/>
      </c>
      <c r="F47" s="317" t="e">
        <f>IF($J47&gt;#REF!,1,IF($J47&lt;#REF!,2,0))</f>
        <v>#REF!</v>
      </c>
      <c r="G47" s="199">
        <v>0</v>
      </c>
      <c r="H47" s="318" t="str">
        <f>iCCompare!Z47</f>
        <v/>
      </c>
      <c r="I47" s="319" t="str">
        <f>TEXT(iCCompare!AA47,iCCompare!AV47)</f>
        <v/>
      </c>
      <c r="J47" s="320" t="str">
        <f>iCCompare!AJ47</f>
        <v/>
      </c>
      <c r="L47" s="724" t="str">
        <f>iCCompare!AH47</f>
        <v/>
      </c>
      <c r="M47" s="399"/>
      <c r="N47" s="399"/>
      <c r="O47" s="199"/>
      <c r="P47" s="199"/>
      <c r="Q47" s="199"/>
      <c r="R47" s="199"/>
      <c r="S47" s="199"/>
      <c r="T47" s="199"/>
      <c r="U47" s="199"/>
      <c r="V47" s="199"/>
      <c r="W47" s="199"/>
      <c r="X47" s="199"/>
      <c r="Y47" s="199"/>
      <c r="Z47" s="743" t="str">
        <f t="shared" si="1"/>
        <v/>
      </c>
      <c r="AA47" s="199"/>
      <c r="AB47" s="199"/>
      <c r="AC47" s="199"/>
      <c r="AD47" s="199"/>
      <c r="AE47" s="199"/>
      <c r="AF47" s="199"/>
      <c r="AG47" s="199"/>
      <c r="AH47" s="199"/>
      <c r="AI47" s="199"/>
      <c r="AJ47" s="199"/>
      <c r="AK47" s="199"/>
      <c r="AL47" s="199"/>
      <c r="AM47" s="199"/>
      <c r="AN47" s="199"/>
      <c r="AO47" s="199"/>
      <c r="AP47" s="199"/>
      <c r="AQ47" s="199"/>
      <c r="AR47" s="199"/>
      <c r="AS47" s="199"/>
      <c r="AT47" s="199"/>
    </row>
    <row r="48" spans="2:46" s="315" customFormat="1" hidden="1">
      <c r="B48" s="712" t="str">
        <f>iCCompare!AI48</f>
        <v/>
      </c>
      <c r="C48" s="315" t="str">
        <f t="shared" si="0"/>
        <v>0</v>
      </c>
      <c r="D48" s="315" t="str">
        <f>iCCompare!T48</f>
        <v/>
      </c>
      <c r="E48" s="738" t="str">
        <f>IF(ISERROR(REPT(" ",(B48-1)*2)&amp;iCCompare!Y48),"",REPT(" ",(B48-1)*2)&amp;iCCompare!Y48)</f>
        <v/>
      </c>
      <c r="F48" s="317" t="e">
        <f>IF($J48&gt;#REF!,1,IF($J48&lt;#REF!,2,0))</f>
        <v>#REF!</v>
      </c>
      <c r="G48" s="199">
        <v>0</v>
      </c>
      <c r="H48" s="318" t="str">
        <f>iCCompare!Z48</f>
        <v/>
      </c>
      <c r="I48" s="319" t="str">
        <f>TEXT(iCCompare!AA48,iCCompare!AV48)</f>
        <v/>
      </c>
      <c r="J48" s="320" t="str">
        <f>iCCompare!AJ48</f>
        <v/>
      </c>
      <c r="L48" s="724" t="str">
        <f>iCCompare!AH48</f>
        <v/>
      </c>
      <c r="M48" s="399"/>
      <c r="N48" s="399"/>
      <c r="O48" s="199"/>
      <c r="P48" s="199"/>
      <c r="Q48" s="199"/>
      <c r="R48" s="199"/>
      <c r="S48" s="199"/>
      <c r="T48" s="199"/>
      <c r="U48" s="199"/>
      <c r="V48" s="199"/>
      <c r="W48" s="199"/>
      <c r="X48" s="199"/>
      <c r="Y48" s="199"/>
      <c r="Z48" s="743" t="str">
        <f t="shared" si="1"/>
        <v/>
      </c>
      <c r="AA48" s="199"/>
      <c r="AB48" s="199"/>
      <c r="AC48" s="199"/>
      <c r="AD48" s="199"/>
      <c r="AE48" s="199"/>
      <c r="AF48" s="199"/>
      <c r="AG48" s="199"/>
      <c r="AH48" s="199"/>
      <c r="AI48" s="199"/>
      <c r="AJ48" s="199"/>
      <c r="AK48" s="199"/>
      <c r="AL48" s="199"/>
      <c r="AM48" s="199"/>
      <c r="AN48" s="199"/>
      <c r="AO48" s="199"/>
      <c r="AP48" s="199"/>
      <c r="AQ48" s="199"/>
      <c r="AR48" s="199"/>
      <c r="AS48" s="199"/>
      <c r="AT48" s="199"/>
    </row>
    <row r="49" spans="2:46" s="315" customFormat="1" hidden="1">
      <c r="B49" s="712" t="str">
        <f>iCCompare!AI49</f>
        <v/>
      </c>
      <c r="C49" s="315" t="str">
        <f t="shared" si="0"/>
        <v>0</v>
      </c>
      <c r="D49" s="315" t="str">
        <f>iCCompare!T49</f>
        <v/>
      </c>
      <c r="E49" s="738" t="str">
        <f>IF(ISERROR(REPT(" ",(B49-1)*2)&amp;iCCompare!Y49),"",REPT(" ",(B49-1)*2)&amp;iCCompare!Y49)</f>
        <v/>
      </c>
      <c r="F49" s="317" t="e">
        <f>IF($J49&gt;#REF!,1,IF($J49&lt;#REF!,2,0))</f>
        <v>#REF!</v>
      </c>
      <c r="G49" s="199">
        <v>0</v>
      </c>
      <c r="H49" s="318" t="str">
        <f>iCCompare!Z49</f>
        <v/>
      </c>
      <c r="I49" s="319" t="str">
        <f>TEXT(iCCompare!AA49,iCCompare!AV49)</f>
        <v/>
      </c>
      <c r="J49" s="320" t="str">
        <f>iCCompare!AJ49</f>
        <v/>
      </c>
      <c r="L49" s="724" t="str">
        <f>iCCompare!AH49</f>
        <v/>
      </c>
      <c r="M49" s="399"/>
      <c r="N49" s="399"/>
      <c r="O49" s="199"/>
      <c r="P49" s="199"/>
      <c r="Q49" s="199"/>
      <c r="R49" s="199"/>
      <c r="S49" s="199"/>
      <c r="T49" s="199"/>
      <c r="U49" s="199"/>
      <c r="V49" s="199"/>
      <c r="W49" s="199"/>
      <c r="X49" s="199"/>
      <c r="Y49" s="199"/>
      <c r="Z49" s="743" t="str">
        <f t="shared" si="1"/>
        <v/>
      </c>
      <c r="AA49" s="199"/>
      <c r="AB49" s="199"/>
      <c r="AC49" s="199"/>
      <c r="AD49" s="199"/>
      <c r="AE49" s="199"/>
      <c r="AF49" s="199"/>
      <c r="AG49" s="199"/>
      <c r="AH49" s="199"/>
      <c r="AI49" s="199"/>
      <c r="AJ49" s="199"/>
      <c r="AK49" s="199"/>
      <c r="AL49" s="199"/>
      <c r="AM49" s="199"/>
      <c r="AN49" s="199"/>
      <c r="AO49" s="199"/>
      <c r="AP49" s="199"/>
      <c r="AQ49" s="199"/>
      <c r="AR49" s="199"/>
      <c r="AS49" s="199"/>
      <c r="AT49" s="199"/>
    </row>
    <row r="50" spans="2:46" s="315" customFormat="1" hidden="1">
      <c r="B50" s="712" t="str">
        <f>iCCompare!AI50</f>
        <v/>
      </c>
      <c r="C50" s="315" t="str">
        <f t="shared" si="0"/>
        <v>0</v>
      </c>
      <c r="D50" s="315" t="str">
        <f>iCCompare!T50</f>
        <v/>
      </c>
      <c r="E50" s="738" t="str">
        <f>IF(ISERROR(REPT(" ",(B50-1)*2)&amp;iCCompare!Y50),"",REPT(" ",(B50-1)*2)&amp;iCCompare!Y50)</f>
        <v/>
      </c>
      <c r="F50" s="317" t="e">
        <f>IF($J50&gt;#REF!,1,IF($J50&lt;#REF!,2,0))</f>
        <v>#REF!</v>
      </c>
      <c r="G50" s="199">
        <v>0</v>
      </c>
      <c r="H50" s="318" t="str">
        <f>iCCompare!Z50</f>
        <v/>
      </c>
      <c r="I50" s="319" t="str">
        <f>TEXT(iCCompare!AA50,iCCompare!AV50)</f>
        <v/>
      </c>
      <c r="J50" s="320" t="str">
        <f>iCCompare!AJ50</f>
        <v/>
      </c>
      <c r="L50" s="724" t="str">
        <f>iCCompare!AH50</f>
        <v/>
      </c>
      <c r="M50" s="399"/>
      <c r="N50" s="399"/>
      <c r="O50" s="199"/>
      <c r="P50" s="199"/>
      <c r="Q50" s="199"/>
      <c r="R50" s="199"/>
      <c r="S50" s="199"/>
      <c r="T50" s="199"/>
      <c r="U50" s="199"/>
      <c r="V50" s="199"/>
      <c r="W50" s="199"/>
      <c r="X50" s="199"/>
      <c r="Y50" s="199"/>
      <c r="Z50" s="743" t="str">
        <f t="shared" si="1"/>
        <v/>
      </c>
      <c r="AA50" s="199"/>
      <c r="AB50" s="199"/>
      <c r="AC50" s="199"/>
      <c r="AD50" s="199"/>
      <c r="AE50" s="199"/>
      <c r="AF50" s="199"/>
      <c r="AG50" s="199"/>
      <c r="AH50" s="199"/>
      <c r="AI50" s="199"/>
      <c r="AJ50" s="199"/>
      <c r="AK50" s="199"/>
      <c r="AL50" s="199"/>
      <c r="AM50" s="199"/>
      <c r="AN50" s="199"/>
      <c r="AO50" s="199"/>
      <c r="AP50" s="199"/>
      <c r="AQ50" s="199"/>
      <c r="AR50" s="199"/>
      <c r="AS50" s="199"/>
      <c r="AT50" s="199"/>
    </row>
    <row r="51" spans="2:46" s="315" customFormat="1" hidden="1">
      <c r="B51" s="712" t="str">
        <f>iCCompare!AI51</f>
        <v/>
      </c>
      <c r="C51" s="315" t="str">
        <f t="shared" si="0"/>
        <v>0</v>
      </c>
      <c r="D51" s="315" t="str">
        <f>iCCompare!T51</f>
        <v/>
      </c>
      <c r="E51" s="738" t="str">
        <f>IF(ISERROR(REPT(" ",(B51-1)*2)&amp;iCCompare!Y51),"",REPT(" ",(B51-1)*2)&amp;iCCompare!Y51)</f>
        <v/>
      </c>
      <c r="F51" s="317" t="e">
        <f>IF($J51&gt;#REF!,1,IF($J51&lt;#REF!,2,0))</f>
        <v>#REF!</v>
      </c>
      <c r="G51" s="199">
        <v>0</v>
      </c>
      <c r="H51" s="318" t="str">
        <f>iCCompare!Z51</f>
        <v/>
      </c>
      <c r="I51" s="319" t="str">
        <f>TEXT(iCCompare!AA51,iCCompare!AV51)</f>
        <v/>
      </c>
      <c r="J51" s="320" t="str">
        <f>iCCompare!AJ51</f>
        <v/>
      </c>
      <c r="L51" s="724" t="str">
        <f>iCCompare!AH51</f>
        <v/>
      </c>
      <c r="M51" s="399"/>
      <c r="N51" s="399"/>
      <c r="O51" s="199"/>
      <c r="P51" s="199"/>
      <c r="Q51" s="199"/>
      <c r="R51" s="199"/>
      <c r="S51" s="199"/>
      <c r="T51" s="199"/>
      <c r="U51" s="199"/>
      <c r="V51" s="199"/>
      <c r="W51" s="199"/>
      <c r="X51" s="199"/>
      <c r="Y51" s="199"/>
      <c r="Z51" s="743" t="str">
        <f t="shared" si="1"/>
        <v/>
      </c>
      <c r="AA51" s="199"/>
      <c r="AB51" s="199"/>
      <c r="AC51" s="199"/>
      <c r="AD51" s="199"/>
      <c r="AE51" s="199"/>
      <c r="AF51" s="199"/>
      <c r="AG51" s="199"/>
      <c r="AH51" s="199"/>
      <c r="AI51" s="199"/>
      <c r="AJ51" s="199"/>
      <c r="AK51" s="199"/>
      <c r="AL51" s="199"/>
      <c r="AM51" s="199"/>
      <c r="AN51" s="199"/>
      <c r="AO51" s="199"/>
      <c r="AP51" s="199"/>
      <c r="AQ51" s="199"/>
      <c r="AR51" s="199"/>
      <c r="AS51" s="199"/>
      <c r="AT51" s="199"/>
    </row>
    <row r="52" spans="2:46" s="315" customFormat="1" hidden="1">
      <c r="B52" s="712" t="str">
        <f>iCCompare!AI52</f>
        <v/>
      </c>
      <c r="C52" s="315" t="str">
        <f t="shared" si="0"/>
        <v>0</v>
      </c>
      <c r="D52" s="315" t="str">
        <f>iCCompare!T52</f>
        <v/>
      </c>
      <c r="E52" s="738" t="str">
        <f>IF(ISERROR(REPT(" ",(B52-1)*2)&amp;iCCompare!Y52),"",REPT(" ",(B52-1)*2)&amp;iCCompare!Y52)</f>
        <v/>
      </c>
      <c r="F52" s="317" t="e">
        <f>IF($J52&gt;#REF!,1,IF($J52&lt;#REF!,2,0))</f>
        <v>#REF!</v>
      </c>
      <c r="G52" s="199">
        <v>0</v>
      </c>
      <c r="H52" s="318" t="str">
        <f>iCCompare!Z52</f>
        <v/>
      </c>
      <c r="I52" s="319" t="str">
        <f>TEXT(iCCompare!AA52,iCCompare!AV52)</f>
        <v/>
      </c>
      <c r="J52" s="320" t="str">
        <f>iCCompare!AJ52</f>
        <v/>
      </c>
      <c r="L52" s="724" t="str">
        <f>iCCompare!AH52</f>
        <v/>
      </c>
      <c r="M52" s="399"/>
      <c r="N52" s="399"/>
      <c r="O52" s="199"/>
      <c r="P52" s="199"/>
      <c r="Q52" s="199"/>
      <c r="R52" s="199"/>
      <c r="S52" s="199"/>
      <c r="T52" s="199"/>
      <c r="U52" s="199"/>
      <c r="V52" s="199"/>
      <c r="W52" s="199"/>
      <c r="X52" s="199"/>
      <c r="Y52" s="199"/>
      <c r="Z52" s="743" t="str">
        <f t="shared" si="1"/>
        <v/>
      </c>
      <c r="AA52" s="199"/>
      <c r="AB52" s="199"/>
      <c r="AC52" s="199"/>
      <c r="AD52" s="199"/>
      <c r="AE52" s="199"/>
      <c r="AF52" s="199"/>
      <c r="AG52" s="199"/>
      <c r="AH52" s="199"/>
      <c r="AI52" s="199"/>
      <c r="AJ52" s="199"/>
      <c r="AK52" s="199"/>
      <c r="AL52" s="199"/>
      <c r="AM52" s="199"/>
      <c r="AN52" s="199"/>
      <c r="AO52" s="199"/>
      <c r="AP52" s="199"/>
      <c r="AQ52" s="199"/>
      <c r="AR52" s="199"/>
      <c r="AS52" s="199"/>
      <c r="AT52" s="199"/>
    </row>
    <row r="53" spans="2:46" s="315" customFormat="1" hidden="1">
      <c r="B53" s="712" t="str">
        <f>iCCompare!AI53</f>
        <v/>
      </c>
      <c r="C53" s="315" t="str">
        <f t="shared" si="0"/>
        <v>0</v>
      </c>
      <c r="D53" s="315" t="str">
        <f>iCCompare!T53</f>
        <v/>
      </c>
      <c r="E53" s="738" t="str">
        <f>IF(ISERROR(REPT(" ",(B53-1)*2)&amp;iCCompare!Y53),"",REPT(" ",(B53-1)*2)&amp;iCCompare!Y53)</f>
        <v/>
      </c>
      <c r="F53" s="317" t="e">
        <f>IF($J53&gt;#REF!,1,IF($J53&lt;#REF!,2,0))</f>
        <v>#REF!</v>
      </c>
      <c r="G53" s="199">
        <v>0</v>
      </c>
      <c r="H53" s="318" t="str">
        <f>iCCompare!Z53</f>
        <v/>
      </c>
      <c r="I53" s="319" t="str">
        <f>TEXT(iCCompare!AA53,iCCompare!AV53)</f>
        <v/>
      </c>
      <c r="J53" s="320" t="str">
        <f>iCCompare!AJ53</f>
        <v/>
      </c>
      <c r="L53" s="724" t="str">
        <f>iCCompare!AH53</f>
        <v/>
      </c>
      <c r="M53" s="399"/>
      <c r="N53" s="399"/>
      <c r="O53" s="199"/>
      <c r="P53" s="199"/>
      <c r="Q53" s="199"/>
      <c r="R53" s="199"/>
      <c r="S53" s="199"/>
      <c r="T53" s="199"/>
      <c r="U53" s="199"/>
      <c r="V53" s="199"/>
      <c r="W53" s="199"/>
      <c r="X53" s="199"/>
      <c r="Y53" s="199"/>
      <c r="Z53" s="743" t="str">
        <f t="shared" si="1"/>
        <v/>
      </c>
      <c r="AA53" s="199"/>
      <c r="AB53" s="199"/>
      <c r="AC53" s="199"/>
      <c r="AD53" s="199"/>
      <c r="AE53" s="199"/>
      <c r="AF53" s="199"/>
      <c r="AG53" s="199"/>
      <c r="AH53" s="199"/>
      <c r="AI53" s="199"/>
      <c r="AJ53" s="199"/>
      <c r="AK53" s="199"/>
      <c r="AL53" s="199"/>
      <c r="AM53" s="199"/>
      <c r="AN53" s="199"/>
      <c r="AO53" s="199"/>
      <c r="AP53" s="199"/>
      <c r="AQ53" s="199"/>
      <c r="AR53" s="199"/>
      <c r="AS53" s="199"/>
      <c r="AT53" s="199"/>
    </row>
    <row r="54" spans="2:46" s="315" customFormat="1" hidden="1">
      <c r="B54" s="712" t="str">
        <f>iCCompare!AI54</f>
        <v/>
      </c>
      <c r="C54" s="315" t="str">
        <f t="shared" si="0"/>
        <v>0</v>
      </c>
      <c r="D54" s="315" t="str">
        <f>iCCompare!T54</f>
        <v/>
      </c>
      <c r="E54" s="738" t="str">
        <f>IF(ISERROR(REPT(" ",(B54-1)*2)&amp;iCCompare!Y54),"",REPT(" ",(B54-1)*2)&amp;iCCompare!Y54)</f>
        <v/>
      </c>
      <c r="F54" s="317" t="e">
        <f>IF($J54&gt;#REF!,1,IF($J54&lt;#REF!,2,0))</f>
        <v>#REF!</v>
      </c>
      <c r="G54" s="199">
        <v>0</v>
      </c>
      <c r="H54" s="318" t="str">
        <f>iCCompare!Z54</f>
        <v/>
      </c>
      <c r="I54" s="319" t="str">
        <f>TEXT(iCCompare!AA54,iCCompare!AV54)</f>
        <v/>
      </c>
      <c r="J54" s="320" t="str">
        <f>iCCompare!AJ54</f>
        <v/>
      </c>
      <c r="L54" s="724" t="str">
        <f>iCCompare!AH54</f>
        <v/>
      </c>
      <c r="M54" s="399"/>
      <c r="N54" s="399"/>
      <c r="O54" s="199"/>
      <c r="P54" s="199"/>
      <c r="Q54" s="199"/>
      <c r="R54" s="199"/>
      <c r="S54" s="199"/>
      <c r="T54" s="199"/>
      <c r="U54" s="199"/>
      <c r="V54" s="199"/>
      <c r="W54" s="199"/>
      <c r="X54" s="199"/>
      <c r="Y54" s="199"/>
      <c r="Z54" s="743" t="str">
        <f t="shared" si="1"/>
        <v/>
      </c>
      <c r="AA54" s="199"/>
      <c r="AB54" s="199"/>
      <c r="AC54" s="199"/>
      <c r="AD54" s="199"/>
      <c r="AE54" s="199"/>
      <c r="AF54" s="199"/>
      <c r="AG54" s="199"/>
      <c r="AH54" s="199"/>
      <c r="AI54" s="199"/>
      <c r="AJ54" s="199"/>
      <c r="AK54" s="199"/>
      <c r="AL54" s="199"/>
      <c r="AM54" s="199"/>
      <c r="AN54" s="199"/>
      <c r="AO54" s="199"/>
      <c r="AP54" s="199"/>
      <c r="AQ54" s="199"/>
      <c r="AR54" s="199"/>
      <c r="AS54" s="199"/>
      <c r="AT54" s="199"/>
    </row>
    <row r="55" spans="2:46" s="315" customFormat="1" hidden="1">
      <c r="B55" s="712" t="str">
        <f>iCCompare!AI55</f>
        <v/>
      </c>
      <c r="C55" s="315" t="str">
        <f t="shared" si="0"/>
        <v>0</v>
      </c>
      <c r="D55" s="315" t="str">
        <f>iCCompare!T55</f>
        <v/>
      </c>
      <c r="E55" s="738" t="str">
        <f>IF(ISERROR(REPT(" ",(B55-1)*2)&amp;iCCompare!Y55),"",REPT(" ",(B55-1)*2)&amp;iCCompare!Y55)</f>
        <v/>
      </c>
      <c r="F55" s="317" t="e">
        <f>IF($J55&gt;#REF!,1,IF($J55&lt;#REF!,2,0))</f>
        <v>#REF!</v>
      </c>
      <c r="G55" s="199">
        <v>0</v>
      </c>
      <c r="H55" s="318" t="str">
        <f>iCCompare!Z55</f>
        <v/>
      </c>
      <c r="I55" s="319" t="str">
        <f>TEXT(iCCompare!AA55,iCCompare!AV55)</f>
        <v/>
      </c>
      <c r="J55" s="320" t="str">
        <f>iCCompare!AJ55</f>
        <v/>
      </c>
      <c r="L55" s="724" t="str">
        <f>iCCompare!AH55</f>
        <v/>
      </c>
      <c r="M55" s="399"/>
      <c r="N55" s="399"/>
      <c r="O55" s="199"/>
      <c r="P55" s="199"/>
      <c r="Q55" s="199"/>
      <c r="R55" s="199"/>
      <c r="S55" s="199"/>
      <c r="T55" s="199"/>
      <c r="U55" s="199"/>
      <c r="V55" s="199"/>
      <c r="W55" s="199"/>
      <c r="X55" s="199"/>
      <c r="Y55" s="199"/>
      <c r="Z55" s="743" t="str">
        <f t="shared" si="1"/>
        <v/>
      </c>
      <c r="AA55" s="199"/>
      <c r="AB55" s="199"/>
      <c r="AC55" s="199"/>
      <c r="AD55" s="199"/>
      <c r="AE55" s="199"/>
      <c r="AF55" s="199"/>
      <c r="AG55" s="199"/>
      <c r="AH55" s="199"/>
      <c r="AI55" s="199"/>
      <c r="AJ55" s="199"/>
      <c r="AK55" s="199"/>
      <c r="AL55" s="199"/>
      <c r="AM55" s="199"/>
      <c r="AN55" s="199"/>
      <c r="AO55" s="199"/>
      <c r="AP55" s="199"/>
      <c r="AQ55" s="199"/>
      <c r="AR55" s="199"/>
      <c r="AS55" s="199"/>
      <c r="AT55" s="199"/>
    </row>
    <row r="56" spans="2:46" s="315" customFormat="1" hidden="1">
      <c r="B56" s="712" t="str">
        <f>iCCompare!AI56</f>
        <v/>
      </c>
      <c r="C56" s="315" t="str">
        <f t="shared" si="0"/>
        <v>0</v>
      </c>
      <c r="D56" s="315" t="str">
        <f>iCCompare!T56</f>
        <v/>
      </c>
      <c r="E56" s="738" t="str">
        <f>IF(ISERROR(REPT(" ",(B56-1)*2)&amp;iCCompare!Y56),"",REPT(" ",(B56-1)*2)&amp;iCCompare!Y56)</f>
        <v/>
      </c>
      <c r="F56" s="317" t="e">
        <f>IF($J56&gt;#REF!,1,IF($J56&lt;#REF!,2,0))</f>
        <v>#REF!</v>
      </c>
      <c r="G56" s="199">
        <v>0</v>
      </c>
      <c r="H56" s="318" t="str">
        <f>iCCompare!Z56</f>
        <v/>
      </c>
      <c r="I56" s="319" t="str">
        <f>TEXT(iCCompare!AA56,iCCompare!AV56)</f>
        <v/>
      </c>
      <c r="J56" s="320" t="str">
        <f>iCCompare!AJ56</f>
        <v/>
      </c>
      <c r="L56" s="724" t="str">
        <f>iCCompare!AH56</f>
        <v/>
      </c>
      <c r="M56" s="399"/>
      <c r="N56" s="399"/>
      <c r="O56" s="199"/>
      <c r="P56" s="199"/>
      <c r="Q56" s="199"/>
      <c r="R56" s="199"/>
      <c r="S56" s="199"/>
      <c r="T56" s="199"/>
      <c r="U56" s="199"/>
      <c r="V56" s="199"/>
      <c r="W56" s="199"/>
      <c r="X56" s="199"/>
      <c r="Y56" s="199"/>
      <c r="Z56" s="743" t="str">
        <f t="shared" si="1"/>
        <v/>
      </c>
      <c r="AA56" s="199"/>
      <c r="AB56" s="199"/>
      <c r="AC56" s="199"/>
      <c r="AD56" s="199"/>
      <c r="AE56" s="199"/>
      <c r="AF56" s="199"/>
      <c r="AG56" s="199"/>
      <c r="AH56" s="199"/>
      <c r="AI56" s="199"/>
      <c r="AJ56" s="199"/>
      <c r="AK56" s="199"/>
      <c r="AL56" s="199"/>
      <c r="AM56" s="199"/>
      <c r="AN56" s="199"/>
      <c r="AO56" s="199"/>
      <c r="AP56" s="199"/>
      <c r="AQ56" s="199"/>
      <c r="AR56" s="199"/>
      <c r="AS56" s="199"/>
      <c r="AT56" s="199"/>
    </row>
    <row r="57" spans="2:46" s="315" customFormat="1" hidden="1">
      <c r="B57" s="712" t="str">
        <f>iCCompare!AI57</f>
        <v/>
      </c>
      <c r="C57" s="315" t="str">
        <f t="shared" si="0"/>
        <v>0</v>
      </c>
      <c r="D57" s="315" t="str">
        <f>iCCompare!T57</f>
        <v/>
      </c>
      <c r="E57" s="738" t="str">
        <f>IF(ISERROR(REPT(" ",(B57-1)*2)&amp;iCCompare!Y57),"",REPT(" ",(B57-1)*2)&amp;iCCompare!Y57)</f>
        <v/>
      </c>
      <c r="F57" s="317" t="e">
        <f>IF($J57&gt;#REF!,1,IF($J57&lt;#REF!,2,0))</f>
        <v>#REF!</v>
      </c>
      <c r="G57" s="199">
        <v>0</v>
      </c>
      <c r="H57" s="318" t="str">
        <f>iCCompare!Z57</f>
        <v/>
      </c>
      <c r="I57" s="319" t="str">
        <f>TEXT(iCCompare!AA57,iCCompare!AV57)</f>
        <v/>
      </c>
      <c r="J57" s="320" t="str">
        <f>iCCompare!AJ57</f>
        <v/>
      </c>
      <c r="L57" s="724" t="str">
        <f>iCCompare!AH57</f>
        <v/>
      </c>
      <c r="M57" s="399"/>
      <c r="N57" s="399"/>
      <c r="O57" s="199"/>
      <c r="P57" s="199"/>
      <c r="Q57" s="199"/>
      <c r="R57" s="199"/>
      <c r="S57" s="199"/>
      <c r="T57" s="199"/>
      <c r="U57" s="199"/>
      <c r="V57" s="199"/>
      <c r="W57" s="199"/>
      <c r="X57" s="199"/>
      <c r="Y57" s="199"/>
      <c r="Z57" s="743" t="str">
        <f t="shared" si="1"/>
        <v/>
      </c>
      <c r="AA57" s="199"/>
      <c r="AB57" s="199"/>
      <c r="AC57" s="199"/>
      <c r="AD57" s="199"/>
      <c r="AE57" s="199"/>
      <c r="AF57" s="199"/>
      <c r="AG57" s="199"/>
      <c r="AH57" s="199"/>
      <c r="AI57" s="199"/>
      <c r="AJ57" s="199"/>
      <c r="AK57" s="199"/>
      <c r="AL57" s="199"/>
      <c r="AM57" s="199"/>
      <c r="AN57" s="199"/>
      <c r="AO57" s="199"/>
      <c r="AP57" s="199"/>
      <c r="AQ57" s="199"/>
      <c r="AR57" s="199"/>
      <c r="AS57" s="199"/>
      <c r="AT57" s="199"/>
    </row>
    <row r="58" spans="2:46" s="315" customFormat="1" hidden="1">
      <c r="B58" s="712" t="str">
        <f>iCCompare!AI58</f>
        <v/>
      </c>
      <c r="C58" s="315" t="str">
        <f t="shared" si="0"/>
        <v>0</v>
      </c>
      <c r="D58" s="315" t="str">
        <f>iCCompare!T58</f>
        <v/>
      </c>
      <c r="E58" s="738" t="str">
        <f>IF(ISERROR(REPT(" ",(B58-1)*2)&amp;iCCompare!Y58),"",REPT(" ",(B58-1)*2)&amp;iCCompare!Y58)</f>
        <v/>
      </c>
      <c r="F58" s="317" t="e">
        <f>IF($J58&gt;#REF!,1,IF($J58&lt;#REF!,2,0))</f>
        <v>#REF!</v>
      </c>
      <c r="G58" s="199">
        <v>0</v>
      </c>
      <c r="H58" s="318" t="str">
        <f>iCCompare!Z58</f>
        <v/>
      </c>
      <c r="I58" s="319" t="str">
        <f>TEXT(iCCompare!AA58,iCCompare!AV58)</f>
        <v/>
      </c>
      <c r="J58" s="320" t="str">
        <f>iCCompare!AJ58</f>
        <v/>
      </c>
      <c r="L58" s="725" t="str">
        <f>iCCompare!AH58</f>
        <v/>
      </c>
      <c r="M58" s="399"/>
      <c r="N58" s="399"/>
      <c r="O58" s="199"/>
      <c r="P58" s="199"/>
      <c r="Q58" s="199"/>
      <c r="R58" s="199"/>
      <c r="S58" s="199"/>
      <c r="T58" s="199"/>
      <c r="U58" s="199"/>
      <c r="V58" s="199"/>
      <c r="W58" s="199"/>
      <c r="X58" s="199"/>
      <c r="Y58" s="199"/>
      <c r="Z58" s="743" t="str">
        <f t="shared" si="1"/>
        <v/>
      </c>
      <c r="AA58" s="199"/>
      <c r="AB58" s="199"/>
      <c r="AC58" s="199"/>
      <c r="AD58" s="199"/>
      <c r="AE58" s="199"/>
      <c r="AF58" s="199"/>
      <c r="AG58" s="199"/>
      <c r="AH58" s="199"/>
      <c r="AI58" s="199"/>
      <c r="AJ58" s="199"/>
      <c r="AK58" s="199"/>
      <c r="AL58" s="199"/>
      <c r="AM58" s="199"/>
      <c r="AN58" s="199"/>
      <c r="AO58" s="199"/>
      <c r="AP58" s="199"/>
      <c r="AQ58" s="199"/>
      <c r="AR58" s="199"/>
      <c r="AS58" s="199"/>
      <c r="AT58" s="199"/>
    </row>
    <row r="59" spans="2:46" s="315" customFormat="1" hidden="1">
      <c r="B59" s="712" t="str">
        <f>iCCompare!AI59</f>
        <v/>
      </c>
      <c r="C59" s="315" t="str">
        <f t="shared" ref="C59" si="2">IF(D59="","0","1")</f>
        <v>0</v>
      </c>
      <c r="D59" s="315" t="str">
        <f>iCCompare!T59</f>
        <v/>
      </c>
      <c r="E59" s="738" t="str">
        <f>IF(ISERROR(REPT(" ",(B59-1)*2)&amp;iCCompare!Y59),"",REPT(" ",(B59-1)*2)&amp;iCCompare!Y59)</f>
        <v/>
      </c>
      <c r="F59" s="317" t="e">
        <f>IF($J59&gt;#REF!,1,IF($J59&lt;#REF!,2,0))</f>
        <v>#REF!</v>
      </c>
      <c r="G59" s="199">
        <v>0</v>
      </c>
      <c r="H59" s="318" t="str">
        <f>iCCompare!Z59</f>
        <v/>
      </c>
      <c r="I59" s="319" t="str">
        <f>TEXT(iCCompare!AA59,iCCompare!AV59)</f>
        <v/>
      </c>
      <c r="J59" s="320" t="str">
        <f>iCCompare!AJ59</f>
        <v/>
      </c>
      <c r="L59" s="722" t="str">
        <f>iCCompare!AH59</f>
        <v/>
      </c>
      <c r="M59" s="399"/>
      <c r="N59" s="399"/>
      <c r="O59" s="199"/>
      <c r="P59" s="199"/>
      <c r="Q59" s="199"/>
      <c r="R59" s="199"/>
      <c r="S59" s="199"/>
      <c r="T59" s="199"/>
      <c r="U59" s="199"/>
      <c r="V59" s="199"/>
      <c r="W59" s="199"/>
      <c r="X59" s="199"/>
      <c r="Y59" s="199"/>
      <c r="Z59" s="743" t="str">
        <f t="shared" si="1"/>
        <v/>
      </c>
      <c r="AA59" s="199"/>
      <c r="AB59" s="199"/>
      <c r="AC59" s="199"/>
      <c r="AD59" s="199"/>
      <c r="AE59" s="199"/>
      <c r="AF59" s="199"/>
      <c r="AG59" s="199"/>
      <c r="AH59" s="199"/>
      <c r="AI59" s="199"/>
      <c r="AJ59" s="199"/>
      <c r="AK59" s="199"/>
      <c r="AL59" s="199"/>
      <c r="AM59" s="199"/>
      <c r="AN59" s="199"/>
      <c r="AO59" s="199"/>
      <c r="AP59" s="199"/>
      <c r="AQ59" s="199"/>
      <c r="AR59" s="199"/>
      <c r="AS59" s="199"/>
      <c r="AT59" s="199"/>
    </row>
    <row r="60" spans="2:46" s="321" customFormat="1">
      <c r="E60" s="735"/>
      <c r="G60" s="200"/>
      <c r="I60" s="201"/>
      <c r="J60" s="323"/>
      <c r="M60" s="400"/>
      <c r="N60" s="400"/>
      <c r="O60" s="200"/>
      <c r="P60" s="200"/>
      <c r="Q60" s="200"/>
      <c r="R60" s="200"/>
      <c r="S60" s="200"/>
      <c r="T60" s="200"/>
      <c r="U60" s="200"/>
      <c r="V60" s="200"/>
      <c r="W60" s="200"/>
      <c r="X60" s="200"/>
      <c r="Y60" s="200"/>
      <c r="Z60" s="743"/>
      <c r="AA60" s="200"/>
      <c r="AB60" s="200"/>
      <c r="AC60" s="200"/>
      <c r="AD60" s="200"/>
      <c r="AE60" s="200"/>
      <c r="AF60" s="200"/>
      <c r="AG60" s="200"/>
      <c r="AH60" s="200"/>
      <c r="AI60" s="200"/>
      <c r="AJ60" s="200"/>
      <c r="AK60" s="200"/>
      <c r="AL60" s="200"/>
      <c r="AM60" s="200"/>
      <c r="AN60" s="200"/>
      <c r="AO60" s="200"/>
      <c r="AP60" s="200"/>
      <c r="AQ60" s="200"/>
      <c r="AR60" s="200"/>
      <c r="AS60" s="200"/>
      <c r="AT60" s="200"/>
    </row>
    <row r="61" spans="2:46" s="257" customFormat="1">
      <c r="E61" s="324"/>
      <c r="F61" s="325"/>
      <c r="G61" s="157"/>
      <c r="H61" s="325"/>
      <c r="I61" s="161"/>
      <c r="J61" s="326"/>
      <c r="L61" s="325"/>
      <c r="M61" s="401"/>
      <c r="N61" s="401"/>
      <c r="O61" s="157"/>
      <c r="P61" s="157"/>
      <c r="Q61" s="157"/>
      <c r="R61" s="157"/>
      <c r="S61" s="157"/>
      <c r="T61" s="157"/>
      <c r="U61" s="157"/>
      <c r="V61" s="157"/>
      <c r="W61" s="157"/>
      <c r="X61" s="157"/>
      <c r="Y61" s="157"/>
      <c r="Z61" s="741"/>
      <c r="AA61" s="157"/>
      <c r="AB61" s="157"/>
      <c r="AC61" s="157"/>
      <c r="AD61" s="157"/>
      <c r="AE61" s="157"/>
      <c r="AF61" s="157"/>
      <c r="AG61" s="157"/>
      <c r="AH61" s="157"/>
      <c r="AI61" s="157"/>
      <c r="AJ61" s="157"/>
      <c r="AK61" s="157"/>
      <c r="AL61" s="157"/>
      <c r="AM61" s="157"/>
      <c r="AN61" s="157"/>
      <c r="AO61" s="157"/>
      <c r="AP61" s="157"/>
      <c r="AQ61" s="157"/>
      <c r="AR61" s="157"/>
      <c r="AS61" s="157"/>
      <c r="AT61" s="157"/>
    </row>
    <row r="62" spans="2:46" s="257" customFormat="1">
      <c r="E62" s="324"/>
      <c r="F62" s="325"/>
      <c r="G62" s="157"/>
      <c r="H62" s="325"/>
      <c r="I62" s="161"/>
      <c r="J62" s="326"/>
      <c r="L62" s="325"/>
      <c r="M62" s="401"/>
      <c r="N62" s="401"/>
      <c r="O62" s="157"/>
      <c r="P62" s="157"/>
      <c r="Q62" s="157"/>
      <c r="R62" s="157"/>
      <c r="S62" s="157"/>
      <c r="T62" s="157"/>
      <c r="U62" s="157"/>
      <c r="V62" s="157"/>
      <c r="W62" s="157"/>
      <c r="X62" s="157"/>
      <c r="Y62" s="157"/>
      <c r="Z62" s="741"/>
      <c r="AA62" s="157"/>
      <c r="AB62" s="157"/>
      <c r="AC62" s="157"/>
      <c r="AD62" s="157"/>
      <c r="AE62" s="157"/>
      <c r="AF62" s="157"/>
      <c r="AG62" s="157"/>
      <c r="AH62" s="157"/>
      <c r="AI62" s="157"/>
      <c r="AJ62" s="157"/>
      <c r="AK62" s="157"/>
      <c r="AL62" s="157"/>
      <c r="AM62" s="157"/>
      <c r="AN62" s="157"/>
      <c r="AO62" s="157"/>
      <c r="AP62" s="157"/>
      <c r="AQ62" s="157"/>
      <c r="AR62" s="157"/>
      <c r="AS62" s="157"/>
      <c r="AT62" s="157"/>
    </row>
    <row r="63" spans="2:46" s="257" customFormat="1">
      <c r="E63" s="324"/>
      <c r="F63" s="325"/>
      <c r="G63" s="157"/>
      <c r="H63" s="325"/>
      <c r="I63" s="161"/>
      <c r="J63" s="326"/>
      <c r="L63" s="325"/>
      <c r="M63" s="401"/>
      <c r="N63" s="401"/>
      <c r="O63" s="157"/>
      <c r="P63" s="157"/>
      <c r="Q63" s="157"/>
      <c r="R63" s="157"/>
      <c r="S63" s="157"/>
      <c r="T63" s="157"/>
      <c r="U63" s="157"/>
      <c r="V63" s="157"/>
      <c r="W63" s="157"/>
      <c r="X63" s="157"/>
      <c r="Y63" s="157"/>
      <c r="Z63" s="741"/>
      <c r="AA63" s="157"/>
      <c r="AB63" s="157"/>
      <c r="AC63" s="157"/>
      <c r="AD63" s="157"/>
      <c r="AE63" s="157"/>
      <c r="AF63" s="157"/>
      <c r="AG63" s="157"/>
      <c r="AH63" s="157"/>
      <c r="AI63" s="157"/>
      <c r="AJ63" s="157"/>
      <c r="AK63" s="157"/>
      <c r="AL63" s="157"/>
      <c r="AM63" s="157"/>
      <c r="AN63" s="157"/>
      <c r="AO63" s="157"/>
      <c r="AP63" s="157"/>
      <c r="AQ63" s="157"/>
      <c r="AR63" s="157"/>
      <c r="AS63" s="157"/>
      <c r="AT63" s="157"/>
    </row>
    <row r="64" spans="2:46" s="257" customFormat="1">
      <c r="E64" s="324"/>
      <c r="F64" s="325"/>
      <c r="G64" s="157"/>
      <c r="H64" s="325"/>
      <c r="I64" s="161"/>
      <c r="J64" s="326"/>
      <c r="L64" s="325"/>
      <c r="M64" s="401"/>
      <c r="N64" s="401"/>
      <c r="O64" s="157"/>
      <c r="P64" s="157"/>
      <c r="Q64" s="157"/>
      <c r="R64" s="157"/>
      <c r="S64" s="157"/>
      <c r="T64" s="157"/>
      <c r="U64" s="157"/>
      <c r="V64" s="157"/>
      <c r="W64" s="157"/>
      <c r="X64" s="157"/>
      <c r="Y64" s="157"/>
      <c r="Z64" s="741"/>
      <c r="AA64" s="157"/>
      <c r="AB64" s="157"/>
      <c r="AC64" s="157"/>
      <c r="AD64" s="157"/>
      <c r="AE64" s="157"/>
      <c r="AF64" s="157"/>
      <c r="AG64" s="157"/>
      <c r="AH64" s="157"/>
      <c r="AI64" s="157"/>
      <c r="AJ64" s="157"/>
      <c r="AK64" s="157"/>
      <c r="AL64" s="157"/>
      <c r="AM64" s="157"/>
      <c r="AN64" s="157"/>
      <c r="AO64" s="157"/>
      <c r="AP64" s="157"/>
      <c r="AQ64" s="157"/>
      <c r="AR64" s="157"/>
      <c r="AS64" s="157"/>
      <c r="AT64" s="157"/>
    </row>
    <row r="65" spans="5:46" s="257" customFormat="1">
      <c r="E65" s="324"/>
      <c r="F65" s="325"/>
      <c r="G65" s="157"/>
      <c r="H65" s="325"/>
      <c r="I65" s="161"/>
      <c r="J65" s="326"/>
      <c r="L65" s="325"/>
      <c r="M65" s="401"/>
      <c r="N65" s="401"/>
      <c r="O65" s="157"/>
      <c r="P65" s="157"/>
      <c r="Q65" s="157"/>
      <c r="R65" s="157"/>
      <c r="S65" s="157"/>
      <c r="T65" s="157"/>
      <c r="U65" s="157"/>
      <c r="V65" s="157"/>
      <c r="W65" s="157"/>
      <c r="X65" s="157"/>
      <c r="Y65" s="157"/>
      <c r="Z65" s="741"/>
      <c r="AA65" s="157"/>
      <c r="AB65" s="157"/>
      <c r="AC65" s="157"/>
      <c r="AD65" s="157"/>
      <c r="AE65" s="157"/>
      <c r="AF65" s="157"/>
      <c r="AG65" s="157"/>
      <c r="AH65" s="157"/>
      <c r="AI65" s="157"/>
      <c r="AJ65" s="157"/>
      <c r="AK65" s="157"/>
      <c r="AL65" s="157"/>
      <c r="AM65" s="157"/>
      <c r="AN65" s="157"/>
      <c r="AO65" s="157"/>
      <c r="AP65" s="157"/>
      <c r="AQ65" s="157"/>
      <c r="AR65" s="157"/>
      <c r="AS65" s="157"/>
      <c r="AT65" s="157"/>
    </row>
    <row r="66" spans="5:46" s="257" customFormat="1">
      <c r="E66" s="324"/>
      <c r="F66" s="325"/>
      <c r="G66" s="157"/>
      <c r="H66" s="325"/>
      <c r="I66" s="161"/>
      <c r="J66" s="326"/>
      <c r="L66" s="325"/>
      <c r="M66" s="401"/>
      <c r="N66" s="401"/>
      <c r="O66" s="157"/>
      <c r="P66" s="157"/>
      <c r="Q66" s="157"/>
      <c r="R66" s="157"/>
      <c r="S66" s="157"/>
      <c r="T66" s="157"/>
      <c r="U66" s="157"/>
      <c r="V66" s="157"/>
      <c r="W66" s="157"/>
      <c r="X66" s="157"/>
      <c r="Y66" s="157"/>
      <c r="Z66" s="741"/>
      <c r="AA66" s="157"/>
      <c r="AB66" s="157"/>
      <c r="AC66" s="157"/>
      <c r="AD66" s="157"/>
      <c r="AE66" s="157"/>
      <c r="AF66" s="157"/>
      <c r="AG66" s="157"/>
      <c r="AH66" s="157"/>
      <c r="AI66" s="157"/>
      <c r="AJ66" s="157"/>
      <c r="AK66" s="157"/>
      <c r="AL66" s="157"/>
      <c r="AM66" s="157"/>
      <c r="AN66" s="157"/>
      <c r="AO66" s="157"/>
      <c r="AP66" s="157"/>
      <c r="AQ66" s="157"/>
      <c r="AR66" s="157"/>
      <c r="AS66" s="157"/>
      <c r="AT66" s="157"/>
    </row>
    <row r="67" spans="5:46" s="257" customFormat="1">
      <c r="E67" s="324"/>
      <c r="F67" s="325"/>
      <c r="G67" s="157"/>
      <c r="H67" s="325"/>
      <c r="I67" s="161"/>
      <c r="J67" s="326"/>
      <c r="L67" s="325"/>
      <c r="M67" s="401"/>
      <c r="N67" s="401"/>
      <c r="O67" s="157"/>
      <c r="P67" s="157"/>
      <c r="Q67" s="157"/>
      <c r="R67" s="157"/>
      <c r="S67" s="157"/>
      <c r="T67" s="157"/>
      <c r="U67" s="157"/>
      <c r="V67" s="157"/>
      <c r="W67" s="157"/>
      <c r="X67" s="157"/>
      <c r="Y67" s="157"/>
      <c r="Z67" s="741"/>
      <c r="AA67" s="157"/>
      <c r="AB67" s="157"/>
      <c r="AC67" s="157"/>
      <c r="AD67" s="157"/>
      <c r="AE67" s="157"/>
      <c r="AF67" s="157"/>
      <c r="AG67" s="157"/>
      <c r="AH67" s="157"/>
      <c r="AI67" s="157"/>
      <c r="AJ67" s="157"/>
      <c r="AK67" s="157"/>
      <c r="AL67" s="157"/>
      <c r="AM67" s="157"/>
      <c r="AN67" s="157"/>
      <c r="AO67" s="157"/>
      <c r="AP67" s="157"/>
      <c r="AQ67" s="157"/>
      <c r="AR67" s="157"/>
      <c r="AS67" s="157"/>
      <c r="AT67" s="157"/>
    </row>
    <row r="68" spans="5:46" s="257" customFormat="1" ht="14.25" customHeight="1">
      <c r="E68" s="324"/>
      <c r="F68" s="325"/>
      <c r="G68" s="157"/>
      <c r="H68" s="325"/>
      <c r="I68" s="161"/>
      <c r="J68" s="326"/>
      <c r="L68" s="325"/>
      <c r="M68" s="401"/>
      <c r="N68" s="401"/>
      <c r="O68" s="157"/>
      <c r="P68" s="157"/>
      <c r="Q68" s="157"/>
      <c r="R68" s="157"/>
      <c r="S68" s="157"/>
      <c r="T68" s="157"/>
      <c r="U68" s="157"/>
      <c r="V68" s="157"/>
      <c r="W68" s="157"/>
      <c r="X68" s="157"/>
      <c r="Y68" s="157"/>
      <c r="Z68" s="741"/>
      <c r="AA68" s="157"/>
      <c r="AB68" s="157"/>
      <c r="AC68" s="157"/>
      <c r="AD68" s="157"/>
      <c r="AE68" s="157"/>
      <c r="AF68" s="157"/>
      <c r="AG68" s="157"/>
      <c r="AH68" s="157"/>
      <c r="AI68" s="157"/>
      <c r="AJ68" s="157"/>
      <c r="AK68" s="157"/>
      <c r="AL68" s="157"/>
      <c r="AM68" s="157"/>
      <c r="AN68" s="157"/>
      <c r="AO68" s="157"/>
      <c r="AP68" s="157"/>
      <c r="AQ68" s="157"/>
      <c r="AR68" s="157"/>
      <c r="AS68" s="157"/>
      <c r="AT68" s="157"/>
    </row>
    <row r="69" spans="5:46" s="257" customFormat="1">
      <c r="E69" s="324"/>
      <c r="F69" s="325"/>
      <c r="G69" s="157"/>
      <c r="H69" s="325"/>
      <c r="I69" s="161"/>
      <c r="J69" s="326"/>
      <c r="L69" s="325"/>
      <c r="M69" s="401"/>
      <c r="N69" s="401"/>
      <c r="O69" s="157"/>
      <c r="P69" s="157"/>
      <c r="Q69" s="157"/>
      <c r="R69" s="157"/>
      <c r="S69" s="157"/>
      <c r="T69" s="157"/>
      <c r="U69" s="157"/>
      <c r="V69" s="157"/>
      <c r="W69" s="157"/>
      <c r="X69" s="157"/>
      <c r="Y69" s="157"/>
      <c r="Z69" s="741"/>
      <c r="AA69" s="157"/>
      <c r="AB69" s="157"/>
      <c r="AC69" s="157"/>
      <c r="AD69" s="157"/>
      <c r="AE69" s="157"/>
      <c r="AF69" s="157"/>
      <c r="AG69" s="157"/>
      <c r="AH69" s="157"/>
      <c r="AI69" s="157"/>
      <c r="AJ69" s="157"/>
      <c r="AK69" s="157"/>
      <c r="AL69" s="157"/>
      <c r="AM69" s="157"/>
      <c r="AN69" s="157"/>
      <c r="AO69" s="157"/>
      <c r="AP69" s="157"/>
      <c r="AQ69" s="157"/>
      <c r="AR69" s="157"/>
      <c r="AS69" s="157"/>
      <c r="AT69" s="157"/>
    </row>
    <row r="70" spans="5:46" s="257" customFormat="1">
      <c r="E70" s="324"/>
      <c r="F70" s="325"/>
      <c r="G70" s="157"/>
      <c r="H70" s="325"/>
      <c r="I70" s="161"/>
      <c r="J70" s="326"/>
      <c r="L70" s="325"/>
      <c r="M70" s="401"/>
      <c r="N70" s="401"/>
      <c r="O70" s="157"/>
      <c r="P70" s="157"/>
      <c r="Q70" s="157"/>
      <c r="R70" s="157"/>
      <c r="S70" s="157"/>
      <c r="T70" s="157"/>
      <c r="U70" s="157"/>
      <c r="V70" s="157"/>
      <c r="W70" s="157"/>
      <c r="X70" s="157"/>
      <c r="Y70" s="157"/>
      <c r="Z70" s="741"/>
      <c r="AA70" s="157"/>
      <c r="AB70" s="157"/>
      <c r="AC70" s="157"/>
      <c r="AD70" s="157"/>
      <c r="AE70" s="157"/>
      <c r="AF70" s="157"/>
      <c r="AG70" s="157"/>
      <c r="AH70" s="157"/>
      <c r="AI70" s="157"/>
      <c r="AJ70" s="157"/>
      <c r="AK70" s="157"/>
      <c r="AL70" s="157"/>
      <c r="AM70" s="157"/>
      <c r="AN70" s="157"/>
      <c r="AO70" s="157"/>
      <c r="AP70" s="157"/>
      <c r="AQ70" s="157"/>
      <c r="AR70" s="157"/>
      <c r="AS70" s="157"/>
      <c r="AT70" s="157"/>
    </row>
    <row r="71" spans="5:46" s="257" customFormat="1">
      <c r="E71" s="324"/>
      <c r="F71" s="325"/>
      <c r="G71" s="157"/>
      <c r="H71" s="325"/>
      <c r="I71" s="161"/>
      <c r="J71" s="326"/>
      <c r="L71" s="325"/>
      <c r="M71" s="401"/>
      <c r="N71" s="401"/>
      <c r="O71" s="157"/>
      <c r="P71" s="157"/>
      <c r="Q71" s="157"/>
      <c r="R71" s="157"/>
      <c r="S71" s="157"/>
      <c r="T71" s="157"/>
      <c r="U71" s="157"/>
      <c r="V71" s="157"/>
      <c r="W71" s="157"/>
      <c r="X71" s="157"/>
      <c r="Y71" s="157"/>
      <c r="Z71" s="741"/>
      <c r="AA71" s="157"/>
      <c r="AB71" s="157"/>
      <c r="AC71" s="157"/>
      <c r="AD71" s="157"/>
      <c r="AE71" s="157"/>
      <c r="AF71" s="157"/>
      <c r="AG71" s="157"/>
      <c r="AH71" s="157"/>
      <c r="AI71" s="157"/>
      <c r="AJ71" s="157"/>
      <c r="AK71" s="157"/>
      <c r="AL71" s="157"/>
      <c r="AM71" s="157"/>
      <c r="AN71" s="157"/>
      <c r="AO71" s="157"/>
      <c r="AP71" s="157"/>
      <c r="AQ71" s="157"/>
      <c r="AR71" s="157"/>
      <c r="AS71" s="157"/>
      <c r="AT71" s="157"/>
    </row>
    <row r="72" spans="5:46" s="257" customFormat="1">
      <c r="E72" s="324"/>
      <c r="F72" s="325"/>
      <c r="G72" s="157"/>
      <c r="H72" s="325"/>
      <c r="I72" s="161"/>
      <c r="J72" s="326"/>
      <c r="L72" s="325"/>
      <c r="M72" s="401"/>
      <c r="N72" s="401"/>
      <c r="O72" s="157"/>
      <c r="P72" s="157"/>
      <c r="Q72" s="157"/>
      <c r="R72" s="157"/>
      <c r="S72" s="157"/>
      <c r="T72" s="157"/>
      <c r="U72" s="157"/>
      <c r="V72" s="157"/>
      <c r="W72" s="157"/>
      <c r="X72" s="157"/>
      <c r="Y72" s="157"/>
      <c r="Z72" s="741"/>
      <c r="AA72" s="157"/>
      <c r="AB72" s="157"/>
      <c r="AC72" s="157"/>
      <c r="AD72" s="157"/>
      <c r="AE72" s="157"/>
      <c r="AF72" s="157"/>
      <c r="AG72" s="157"/>
      <c r="AH72" s="157"/>
      <c r="AI72" s="157"/>
      <c r="AJ72" s="157"/>
      <c r="AK72" s="157"/>
      <c r="AL72" s="157"/>
      <c r="AM72" s="157"/>
      <c r="AN72" s="157"/>
      <c r="AO72" s="157"/>
      <c r="AP72" s="157"/>
      <c r="AQ72" s="157"/>
      <c r="AR72" s="157"/>
      <c r="AS72" s="157"/>
      <c r="AT72" s="157"/>
    </row>
    <row r="73" spans="5:46" s="257" customFormat="1">
      <c r="E73" s="324"/>
      <c r="F73" s="325"/>
      <c r="G73" s="157"/>
      <c r="H73" s="325"/>
      <c r="I73" s="161"/>
      <c r="J73" s="326"/>
      <c r="L73" s="325"/>
      <c r="M73" s="401"/>
      <c r="N73" s="401"/>
      <c r="O73" s="157"/>
      <c r="P73" s="157"/>
      <c r="Q73" s="157"/>
      <c r="R73" s="157"/>
      <c r="S73" s="157"/>
      <c r="T73" s="157"/>
      <c r="U73" s="157"/>
      <c r="V73" s="157"/>
      <c r="W73" s="157"/>
      <c r="X73" s="157"/>
      <c r="Y73" s="157"/>
      <c r="Z73" s="741"/>
      <c r="AA73" s="157"/>
      <c r="AB73" s="157"/>
      <c r="AC73" s="157"/>
      <c r="AD73" s="157"/>
      <c r="AE73" s="157"/>
      <c r="AF73" s="157"/>
      <c r="AG73" s="157"/>
      <c r="AH73" s="157"/>
      <c r="AI73" s="157"/>
      <c r="AJ73" s="157"/>
      <c r="AK73" s="157"/>
      <c r="AL73" s="157"/>
      <c r="AM73" s="157"/>
      <c r="AN73" s="157"/>
      <c r="AO73" s="157"/>
      <c r="AP73" s="157"/>
      <c r="AQ73" s="157"/>
      <c r="AR73" s="157"/>
      <c r="AS73" s="157"/>
      <c r="AT73" s="157"/>
    </row>
    <row r="74" spans="5:46" s="257" customFormat="1">
      <c r="E74" s="324"/>
      <c r="F74" s="325"/>
      <c r="G74" s="157"/>
      <c r="H74" s="325"/>
      <c r="I74" s="161"/>
      <c r="J74" s="326"/>
      <c r="L74" s="325"/>
      <c r="M74" s="401"/>
      <c r="N74" s="401"/>
      <c r="O74" s="157"/>
      <c r="P74" s="157"/>
      <c r="Q74" s="157"/>
      <c r="R74" s="157"/>
      <c r="S74" s="157"/>
      <c r="T74" s="157"/>
      <c r="U74" s="157"/>
      <c r="V74" s="157"/>
      <c r="W74" s="157"/>
      <c r="X74" s="157"/>
      <c r="Y74" s="157"/>
      <c r="Z74" s="741"/>
      <c r="AA74" s="157"/>
      <c r="AB74" s="157"/>
      <c r="AC74" s="157"/>
      <c r="AD74" s="157"/>
      <c r="AE74" s="157"/>
      <c r="AF74" s="157"/>
      <c r="AG74" s="157"/>
      <c r="AH74" s="157"/>
      <c r="AI74" s="157"/>
      <c r="AJ74" s="157"/>
      <c r="AK74" s="157"/>
      <c r="AL74" s="157"/>
      <c r="AM74" s="157"/>
      <c r="AN74" s="157"/>
      <c r="AO74" s="157"/>
      <c r="AP74" s="157"/>
      <c r="AQ74" s="157"/>
      <c r="AR74" s="157"/>
      <c r="AS74" s="157"/>
      <c r="AT74" s="157"/>
    </row>
    <row r="75" spans="5:46" s="257" customFormat="1">
      <c r="E75" s="324"/>
      <c r="F75" s="325"/>
      <c r="G75" s="157"/>
      <c r="H75" s="325"/>
      <c r="I75" s="161"/>
      <c r="J75" s="326"/>
      <c r="L75" s="325"/>
      <c r="M75" s="401"/>
      <c r="N75" s="401"/>
      <c r="O75" s="157"/>
      <c r="P75" s="157"/>
      <c r="Q75" s="157"/>
      <c r="R75" s="157"/>
      <c r="S75" s="157"/>
      <c r="T75" s="157"/>
      <c r="U75" s="157"/>
      <c r="V75" s="157"/>
      <c r="W75" s="157"/>
      <c r="X75" s="157"/>
      <c r="Y75" s="157"/>
      <c r="Z75" s="741"/>
      <c r="AA75" s="157"/>
      <c r="AB75" s="157"/>
      <c r="AC75" s="157"/>
      <c r="AD75" s="157"/>
      <c r="AE75" s="157"/>
      <c r="AF75" s="157"/>
      <c r="AG75" s="157"/>
      <c r="AH75" s="157"/>
      <c r="AI75" s="157"/>
      <c r="AJ75" s="157"/>
      <c r="AK75" s="157"/>
      <c r="AL75" s="157"/>
      <c r="AM75" s="157"/>
      <c r="AN75" s="157"/>
      <c r="AO75" s="157"/>
      <c r="AP75" s="157"/>
      <c r="AQ75" s="157"/>
      <c r="AR75" s="157"/>
      <c r="AS75" s="157"/>
      <c r="AT75" s="157"/>
    </row>
    <row r="76" spans="5:46" s="257" customFormat="1">
      <c r="E76" s="324"/>
      <c r="F76" s="325"/>
      <c r="G76" s="157"/>
      <c r="H76" s="325"/>
      <c r="I76" s="161"/>
      <c r="J76" s="326"/>
      <c r="L76" s="325"/>
      <c r="M76" s="401"/>
      <c r="N76" s="401"/>
      <c r="O76" s="157"/>
      <c r="P76" s="157"/>
      <c r="Q76" s="157"/>
      <c r="R76" s="157"/>
      <c r="S76" s="157"/>
      <c r="T76" s="157"/>
      <c r="U76" s="157"/>
      <c r="V76" s="157"/>
      <c r="W76" s="157"/>
      <c r="X76" s="157"/>
      <c r="Y76" s="157"/>
      <c r="Z76" s="741"/>
      <c r="AA76" s="157"/>
      <c r="AB76" s="157"/>
      <c r="AC76" s="157"/>
      <c r="AD76" s="157"/>
      <c r="AE76" s="157"/>
      <c r="AF76" s="157"/>
      <c r="AG76" s="157"/>
      <c r="AH76" s="157"/>
      <c r="AI76" s="157"/>
      <c r="AJ76" s="157"/>
      <c r="AK76" s="157"/>
      <c r="AL76" s="157"/>
      <c r="AM76" s="157"/>
      <c r="AN76" s="157"/>
      <c r="AO76" s="157"/>
      <c r="AP76" s="157"/>
      <c r="AQ76" s="157"/>
      <c r="AR76" s="157"/>
      <c r="AS76" s="157"/>
      <c r="AT76" s="157"/>
    </row>
    <row r="77" spans="5:46" s="257" customFormat="1">
      <c r="E77" s="324"/>
      <c r="F77" s="325"/>
      <c r="G77" s="157"/>
      <c r="H77" s="325"/>
      <c r="I77" s="161"/>
      <c r="J77" s="326"/>
      <c r="L77" s="325"/>
      <c r="M77" s="401"/>
      <c r="N77" s="401"/>
      <c r="O77" s="157"/>
      <c r="P77" s="157"/>
      <c r="Q77" s="157"/>
      <c r="R77" s="157"/>
      <c r="S77" s="157"/>
      <c r="T77" s="157"/>
      <c r="U77" s="157"/>
      <c r="V77" s="157"/>
      <c r="W77" s="157"/>
      <c r="X77" s="157"/>
      <c r="Y77" s="157"/>
      <c r="Z77" s="741"/>
      <c r="AA77" s="157"/>
      <c r="AB77" s="157"/>
      <c r="AC77" s="157"/>
      <c r="AD77" s="157"/>
      <c r="AE77" s="157"/>
      <c r="AF77" s="157"/>
      <c r="AG77" s="157"/>
      <c r="AH77" s="157"/>
      <c r="AI77" s="157"/>
      <c r="AJ77" s="157"/>
      <c r="AK77" s="157"/>
      <c r="AL77" s="157"/>
      <c r="AM77" s="157"/>
      <c r="AN77" s="157"/>
      <c r="AO77" s="157"/>
      <c r="AP77" s="157"/>
      <c r="AQ77" s="157"/>
      <c r="AR77" s="157"/>
      <c r="AS77" s="157"/>
      <c r="AT77" s="157"/>
    </row>
    <row r="78" spans="5:46" s="257" customFormat="1">
      <c r="E78" s="324"/>
      <c r="F78" s="325"/>
      <c r="G78" s="157"/>
      <c r="H78" s="325"/>
      <c r="I78" s="161"/>
      <c r="J78" s="326"/>
      <c r="L78" s="325"/>
      <c r="M78" s="401"/>
      <c r="N78" s="401"/>
      <c r="O78" s="157"/>
      <c r="P78" s="157"/>
      <c r="Q78" s="157"/>
      <c r="R78" s="157"/>
      <c r="S78" s="157"/>
      <c r="T78" s="157"/>
      <c r="U78" s="157"/>
      <c r="V78" s="157"/>
      <c r="W78" s="157"/>
      <c r="X78" s="157"/>
      <c r="Y78" s="157"/>
      <c r="Z78" s="741"/>
      <c r="AA78" s="157"/>
      <c r="AB78" s="157"/>
      <c r="AC78" s="157"/>
      <c r="AD78" s="157"/>
      <c r="AE78" s="157"/>
      <c r="AF78" s="157"/>
      <c r="AG78" s="157"/>
      <c r="AH78" s="157"/>
      <c r="AI78" s="157"/>
      <c r="AJ78" s="157"/>
      <c r="AK78" s="157"/>
      <c r="AL78" s="157"/>
      <c r="AM78" s="157"/>
      <c r="AN78" s="157"/>
      <c r="AO78" s="157"/>
      <c r="AP78" s="157"/>
      <c r="AQ78" s="157"/>
      <c r="AR78" s="157"/>
      <c r="AS78" s="157"/>
      <c r="AT78" s="157"/>
    </row>
    <row r="79" spans="5:46" s="257" customFormat="1">
      <c r="E79" s="324"/>
      <c r="F79" s="325"/>
      <c r="G79" s="157"/>
      <c r="H79" s="325"/>
      <c r="I79" s="161"/>
      <c r="J79" s="326"/>
      <c r="L79" s="325"/>
      <c r="M79" s="401"/>
      <c r="N79" s="401"/>
      <c r="O79" s="157"/>
      <c r="P79" s="157"/>
      <c r="Q79" s="157"/>
      <c r="R79" s="157"/>
      <c r="S79" s="157"/>
      <c r="T79" s="157"/>
      <c r="U79" s="157"/>
      <c r="V79" s="157"/>
      <c r="W79" s="157"/>
      <c r="X79" s="157"/>
      <c r="Y79" s="157"/>
      <c r="Z79" s="741"/>
      <c r="AA79" s="157"/>
      <c r="AB79" s="157"/>
      <c r="AC79" s="157"/>
      <c r="AD79" s="157"/>
      <c r="AE79" s="157"/>
      <c r="AF79" s="157"/>
      <c r="AG79" s="157"/>
      <c r="AH79" s="157"/>
      <c r="AI79" s="157"/>
      <c r="AJ79" s="157"/>
      <c r="AK79" s="157"/>
      <c r="AL79" s="157"/>
      <c r="AM79" s="157"/>
      <c r="AN79" s="157"/>
      <c r="AO79" s="157"/>
      <c r="AP79" s="157"/>
      <c r="AQ79" s="157"/>
      <c r="AR79" s="157"/>
      <c r="AS79" s="157"/>
      <c r="AT79" s="157"/>
    </row>
    <row r="80" spans="5:46" s="257" customFormat="1">
      <c r="E80" s="324"/>
      <c r="F80" s="325"/>
      <c r="G80" s="157"/>
      <c r="H80" s="325"/>
      <c r="I80" s="161"/>
      <c r="J80" s="326"/>
      <c r="L80" s="325"/>
      <c r="M80" s="401"/>
      <c r="N80" s="401"/>
      <c r="O80" s="157"/>
      <c r="P80" s="157"/>
      <c r="Q80" s="157"/>
      <c r="R80" s="157"/>
      <c r="S80" s="157"/>
      <c r="T80" s="157"/>
      <c r="U80" s="157"/>
      <c r="V80" s="157"/>
      <c r="W80" s="157"/>
      <c r="X80" s="157"/>
      <c r="Y80" s="157"/>
      <c r="Z80" s="741"/>
      <c r="AA80" s="157"/>
      <c r="AB80" s="157"/>
      <c r="AC80" s="157"/>
      <c r="AD80" s="157"/>
      <c r="AE80" s="157"/>
      <c r="AF80" s="157"/>
      <c r="AG80" s="157"/>
      <c r="AH80" s="157"/>
      <c r="AI80" s="157"/>
      <c r="AJ80" s="157"/>
      <c r="AK80" s="157"/>
      <c r="AL80" s="157"/>
      <c r="AM80" s="157"/>
      <c r="AN80" s="157"/>
      <c r="AO80" s="157"/>
      <c r="AP80" s="157"/>
      <c r="AQ80" s="157"/>
      <c r="AR80" s="157"/>
      <c r="AS80" s="157"/>
      <c r="AT80" s="157"/>
    </row>
    <row r="81" spans="5:46" s="257" customFormat="1">
      <c r="E81" s="324"/>
      <c r="F81" s="325"/>
      <c r="G81" s="157"/>
      <c r="H81" s="325"/>
      <c r="I81" s="161"/>
      <c r="J81" s="326"/>
      <c r="L81" s="325"/>
      <c r="M81" s="401"/>
      <c r="N81" s="401"/>
      <c r="O81" s="157"/>
      <c r="P81" s="157"/>
      <c r="Q81" s="157"/>
      <c r="R81" s="157"/>
      <c r="S81" s="157"/>
      <c r="T81" s="157"/>
      <c r="U81" s="157"/>
      <c r="V81" s="157"/>
      <c r="W81" s="157"/>
      <c r="X81" s="157"/>
      <c r="Y81" s="157"/>
      <c r="Z81" s="741"/>
      <c r="AA81" s="157"/>
      <c r="AB81" s="157"/>
      <c r="AC81" s="157"/>
      <c r="AD81" s="157"/>
      <c r="AE81" s="157"/>
      <c r="AF81" s="157"/>
      <c r="AG81" s="157"/>
      <c r="AH81" s="157"/>
      <c r="AI81" s="157"/>
      <c r="AJ81" s="157"/>
      <c r="AK81" s="157"/>
      <c r="AL81" s="157"/>
      <c r="AM81" s="157"/>
      <c r="AN81" s="157"/>
      <c r="AO81" s="157"/>
      <c r="AP81" s="157"/>
      <c r="AQ81" s="157"/>
      <c r="AR81" s="157"/>
      <c r="AS81" s="157"/>
      <c r="AT81" s="157"/>
    </row>
    <row r="82" spans="5:46" s="257" customFormat="1">
      <c r="E82" s="324"/>
      <c r="F82" s="325"/>
      <c r="G82" s="157"/>
      <c r="H82" s="325"/>
      <c r="I82" s="161"/>
      <c r="J82" s="326"/>
      <c r="L82" s="325"/>
      <c r="M82" s="401"/>
      <c r="N82" s="401"/>
      <c r="O82" s="157"/>
      <c r="P82" s="157"/>
      <c r="Q82" s="157"/>
      <c r="R82" s="157"/>
      <c r="S82" s="157"/>
      <c r="T82" s="157"/>
      <c r="U82" s="157"/>
      <c r="V82" s="157"/>
      <c r="W82" s="157"/>
      <c r="X82" s="157"/>
      <c r="Y82" s="157"/>
      <c r="Z82" s="741"/>
      <c r="AA82" s="157"/>
      <c r="AB82" s="157"/>
      <c r="AC82" s="157"/>
      <c r="AD82" s="157"/>
      <c r="AE82" s="157"/>
      <c r="AF82" s="157"/>
      <c r="AG82" s="157"/>
      <c r="AH82" s="157"/>
      <c r="AI82" s="157"/>
      <c r="AJ82" s="157"/>
      <c r="AK82" s="157"/>
      <c r="AL82" s="157"/>
      <c r="AM82" s="157"/>
      <c r="AN82" s="157"/>
      <c r="AO82" s="157"/>
      <c r="AP82" s="157"/>
      <c r="AQ82" s="157"/>
      <c r="AR82" s="157"/>
      <c r="AS82" s="157"/>
      <c r="AT82" s="157"/>
    </row>
    <row r="83" spans="5:46" s="257" customFormat="1">
      <c r="E83" s="324"/>
      <c r="F83" s="325"/>
      <c r="G83" s="157"/>
      <c r="H83" s="325"/>
      <c r="I83" s="161"/>
      <c r="J83" s="326"/>
      <c r="L83" s="325"/>
      <c r="M83" s="401"/>
      <c r="N83" s="401"/>
      <c r="O83" s="157"/>
      <c r="P83" s="157"/>
      <c r="Q83" s="157"/>
      <c r="R83" s="157"/>
      <c r="S83" s="157"/>
      <c r="T83" s="157"/>
      <c r="U83" s="157"/>
      <c r="V83" s="157"/>
      <c r="W83" s="157"/>
      <c r="X83" s="157"/>
      <c r="Y83" s="157"/>
      <c r="Z83" s="741"/>
      <c r="AA83" s="157"/>
      <c r="AB83" s="157"/>
      <c r="AC83" s="157"/>
      <c r="AD83" s="157"/>
      <c r="AE83" s="157"/>
      <c r="AF83" s="157"/>
      <c r="AG83" s="157"/>
      <c r="AH83" s="157"/>
      <c r="AI83" s="157"/>
      <c r="AJ83" s="157"/>
      <c r="AK83" s="157"/>
      <c r="AL83" s="157"/>
      <c r="AM83" s="157"/>
      <c r="AN83" s="157"/>
      <c r="AO83" s="157"/>
      <c r="AP83" s="157"/>
      <c r="AQ83" s="157"/>
      <c r="AR83" s="157"/>
      <c r="AS83" s="157"/>
      <c r="AT83" s="157"/>
    </row>
    <row r="84" spans="5:46" s="257" customFormat="1" hidden="1">
      <c r="E84" s="324"/>
      <c r="F84" s="325"/>
      <c r="G84" s="157"/>
      <c r="H84" s="325"/>
      <c r="I84" s="161"/>
      <c r="J84" s="326"/>
      <c r="L84" s="325"/>
      <c r="M84" s="401"/>
      <c r="N84" s="401"/>
      <c r="O84" s="157"/>
      <c r="P84" s="157"/>
      <c r="Q84" s="157"/>
      <c r="R84" s="157"/>
      <c r="S84" s="157"/>
      <c r="T84" s="157"/>
      <c r="U84" s="157"/>
      <c r="V84" s="157"/>
      <c r="W84" s="157"/>
      <c r="X84" s="157"/>
      <c r="Y84" s="157"/>
      <c r="Z84" s="741"/>
      <c r="AA84" s="157"/>
      <c r="AB84" s="157"/>
      <c r="AC84" s="157"/>
      <c r="AD84" s="157"/>
      <c r="AE84" s="157"/>
      <c r="AF84" s="157"/>
      <c r="AG84" s="157"/>
      <c r="AH84" s="157"/>
      <c r="AI84" s="157"/>
      <c r="AJ84" s="157"/>
      <c r="AK84" s="157"/>
      <c r="AL84" s="157"/>
      <c r="AM84" s="157"/>
      <c r="AN84" s="157"/>
      <c r="AO84" s="157"/>
      <c r="AP84" s="157"/>
      <c r="AQ84" s="157"/>
      <c r="AR84" s="157"/>
      <c r="AS84" s="157"/>
      <c r="AT84" s="157"/>
    </row>
    <row r="85" spans="5:46" s="257" customFormat="1" hidden="1">
      <c r="E85" s="324"/>
      <c r="F85" s="325"/>
      <c r="G85" s="157"/>
      <c r="H85" s="325"/>
      <c r="I85" s="161"/>
      <c r="J85" s="326"/>
      <c r="L85" s="325"/>
      <c r="M85" s="401"/>
      <c r="N85" s="401"/>
      <c r="O85" s="157"/>
      <c r="P85" s="157"/>
      <c r="Q85" s="157"/>
      <c r="R85" s="157"/>
      <c r="S85" s="157"/>
      <c r="T85" s="157"/>
      <c r="U85" s="157"/>
      <c r="V85" s="157"/>
      <c r="W85" s="157"/>
      <c r="X85" s="157"/>
      <c r="Y85" s="157"/>
      <c r="Z85" s="741"/>
      <c r="AA85" s="157"/>
      <c r="AB85" s="157"/>
      <c r="AC85" s="157"/>
      <c r="AD85" s="157"/>
      <c r="AE85" s="157"/>
      <c r="AF85" s="157"/>
      <c r="AG85" s="157"/>
      <c r="AH85" s="157"/>
      <c r="AI85" s="157"/>
      <c r="AJ85" s="157"/>
      <c r="AK85" s="157"/>
      <c r="AL85" s="157"/>
      <c r="AM85" s="157"/>
      <c r="AN85" s="157"/>
      <c r="AO85" s="157"/>
      <c r="AP85" s="157"/>
      <c r="AQ85" s="157"/>
      <c r="AR85" s="157"/>
      <c r="AS85" s="157"/>
      <c r="AT85" s="157"/>
    </row>
    <row r="86" spans="5:46" s="257" customFormat="1" hidden="1">
      <c r="E86" s="324"/>
      <c r="F86" s="325"/>
      <c r="G86" s="157"/>
      <c r="H86" s="325"/>
      <c r="I86" s="161"/>
      <c r="J86" s="326"/>
      <c r="L86" s="325"/>
      <c r="M86" s="401"/>
      <c r="N86" s="401"/>
      <c r="O86" s="157"/>
      <c r="P86" s="157"/>
      <c r="Q86" s="157"/>
      <c r="R86" s="157"/>
      <c r="S86" s="157"/>
      <c r="T86" s="157"/>
      <c r="U86" s="157"/>
      <c r="V86" s="157"/>
      <c r="W86" s="157"/>
      <c r="X86" s="157"/>
      <c r="Y86" s="157"/>
      <c r="Z86" s="741"/>
      <c r="AA86" s="157"/>
      <c r="AB86" s="157"/>
      <c r="AC86" s="157"/>
      <c r="AD86" s="157"/>
      <c r="AE86" s="157"/>
      <c r="AF86" s="157"/>
      <c r="AG86" s="157"/>
      <c r="AH86" s="157"/>
      <c r="AI86" s="157"/>
      <c r="AJ86" s="157"/>
      <c r="AK86" s="157"/>
      <c r="AL86" s="157"/>
      <c r="AM86" s="157"/>
      <c r="AN86" s="157"/>
      <c r="AO86" s="157"/>
      <c r="AP86" s="157"/>
      <c r="AQ86" s="157"/>
      <c r="AR86" s="157"/>
      <c r="AS86" s="157"/>
      <c r="AT86" s="157"/>
    </row>
    <row r="87" spans="5:46" s="257" customFormat="1" hidden="1">
      <c r="E87" s="324"/>
      <c r="F87" s="325"/>
      <c r="G87" s="157"/>
      <c r="H87" s="325"/>
      <c r="I87" s="161"/>
      <c r="J87" s="326"/>
      <c r="L87" s="325"/>
      <c r="M87" s="401"/>
      <c r="N87" s="401"/>
      <c r="O87" s="157"/>
      <c r="P87" s="157"/>
      <c r="Q87" s="157"/>
      <c r="R87" s="157"/>
      <c r="S87" s="157"/>
      <c r="T87" s="157"/>
      <c r="U87" s="157"/>
      <c r="V87" s="157"/>
      <c r="W87" s="157"/>
      <c r="X87" s="157"/>
      <c r="Y87" s="157"/>
      <c r="Z87" s="741"/>
      <c r="AA87" s="157"/>
      <c r="AB87" s="157"/>
      <c r="AC87" s="157"/>
      <c r="AD87" s="157"/>
      <c r="AE87" s="157"/>
      <c r="AF87" s="157"/>
      <c r="AG87" s="157"/>
      <c r="AH87" s="157"/>
      <c r="AI87" s="157"/>
      <c r="AJ87" s="157"/>
      <c r="AK87" s="157"/>
      <c r="AL87" s="157"/>
      <c r="AM87" s="157"/>
      <c r="AN87" s="157"/>
      <c r="AO87" s="157"/>
      <c r="AP87" s="157"/>
      <c r="AQ87" s="157"/>
      <c r="AR87" s="157"/>
      <c r="AS87" s="157"/>
      <c r="AT87" s="157"/>
    </row>
    <row r="88" spans="5:46" s="257" customFormat="1" hidden="1">
      <c r="E88" s="324"/>
      <c r="F88" s="325"/>
      <c r="G88" s="157"/>
      <c r="H88" s="325"/>
      <c r="I88" s="161"/>
      <c r="J88" s="326"/>
      <c r="L88" s="325"/>
      <c r="M88" s="401"/>
      <c r="N88" s="401"/>
      <c r="O88" s="157"/>
      <c r="P88" s="157"/>
      <c r="Q88" s="157"/>
      <c r="R88" s="157"/>
      <c r="S88" s="157"/>
      <c r="T88" s="157"/>
      <c r="U88" s="157"/>
      <c r="V88" s="157"/>
      <c r="W88" s="157"/>
      <c r="X88" s="157"/>
      <c r="Y88" s="157"/>
      <c r="Z88" s="741"/>
      <c r="AA88" s="157"/>
      <c r="AB88" s="157"/>
      <c r="AC88" s="157"/>
      <c r="AD88" s="157"/>
      <c r="AE88" s="157"/>
      <c r="AF88" s="157"/>
      <c r="AG88" s="157"/>
      <c r="AH88" s="157"/>
      <c r="AI88" s="157"/>
      <c r="AJ88" s="157"/>
      <c r="AK88" s="157"/>
      <c r="AL88" s="157"/>
      <c r="AM88" s="157"/>
      <c r="AN88" s="157"/>
      <c r="AO88" s="157"/>
      <c r="AP88" s="157"/>
      <c r="AQ88" s="157"/>
      <c r="AR88" s="157"/>
      <c r="AS88" s="157"/>
      <c r="AT88" s="157"/>
    </row>
    <row r="89" spans="5:46" s="257" customFormat="1" hidden="1">
      <c r="E89" s="324"/>
      <c r="F89" s="325"/>
      <c r="G89" s="157"/>
      <c r="H89" s="325"/>
      <c r="I89" s="161"/>
      <c r="J89" s="326"/>
      <c r="L89" s="325"/>
      <c r="M89" s="401"/>
      <c r="N89" s="401"/>
      <c r="O89" s="157"/>
      <c r="P89" s="157"/>
      <c r="Q89" s="157"/>
      <c r="R89" s="157"/>
      <c r="S89" s="157"/>
      <c r="T89" s="157"/>
      <c r="U89" s="157"/>
      <c r="V89" s="157"/>
      <c r="W89" s="157"/>
      <c r="X89" s="157"/>
      <c r="Y89" s="157"/>
      <c r="Z89" s="741"/>
      <c r="AA89" s="157"/>
      <c r="AB89" s="157"/>
      <c r="AC89" s="157"/>
      <c r="AD89" s="157"/>
      <c r="AE89" s="157"/>
      <c r="AF89" s="157"/>
      <c r="AG89" s="157"/>
      <c r="AH89" s="157"/>
      <c r="AI89" s="157"/>
      <c r="AJ89" s="157"/>
      <c r="AK89" s="157"/>
      <c r="AL89" s="157"/>
      <c r="AM89" s="157"/>
      <c r="AN89" s="157"/>
      <c r="AO89" s="157"/>
      <c r="AP89" s="157"/>
      <c r="AQ89" s="157"/>
      <c r="AR89" s="157"/>
      <c r="AS89" s="157"/>
      <c r="AT89" s="157"/>
    </row>
    <row r="90" spans="5:46" s="257" customFormat="1" hidden="1">
      <c r="E90" s="324"/>
      <c r="F90" s="325"/>
      <c r="G90" s="157"/>
      <c r="H90" s="325"/>
      <c r="I90" s="161"/>
      <c r="J90" s="326"/>
      <c r="L90" s="325"/>
      <c r="M90" s="401"/>
      <c r="N90" s="401"/>
      <c r="O90" s="157"/>
      <c r="P90" s="157"/>
      <c r="Q90" s="157"/>
      <c r="R90" s="157"/>
      <c r="S90" s="157"/>
      <c r="T90" s="157"/>
      <c r="U90" s="157"/>
      <c r="V90" s="157"/>
      <c r="W90" s="157"/>
      <c r="X90" s="157"/>
      <c r="Y90" s="157"/>
      <c r="Z90" s="741"/>
      <c r="AA90" s="157"/>
      <c r="AB90" s="157"/>
      <c r="AC90" s="157"/>
      <c r="AD90" s="157"/>
      <c r="AE90" s="157"/>
      <c r="AF90" s="157"/>
      <c r="AG90" s="157"/>
      <c r="AH90" s="157"/>
      <c r="AI90" s="157"/>
      <c r="AJ90" s="157"/>
      <c r="AK90" s="157"/>
      <c r="AL90" s="157"/>
      <c r="AM90" s="157"/>
      <c r="AN90" s="157"/>
      <c r="AO90" s="157"/>
      <c r="AP90" s="157"/>
      <c r="AQ90" s="157"/>
      <c r="AR90" s="157"/>
      <c r="AS90" s="157"/>
      <c r="AT90" s="157"/>
    </row>
    <row r="91" spans="5:46" s="257" customFormat="1" hidden="1">
      <c r="E91" s="324"/>
      <c r="F91" s="325"/>
      <c r="G91" s="157"/>
      <c r="H91" s="325"/>
      <c r="I91" s="161"/>
      <c r="J91" s="326"/>
      <c r="L91" s="325"/>
      <c r="M91" s="401"/>
      <c r="N91" s="401"/>
      <c r="O91" s="157"/>
      <c r="P91" s="157"/>
      <c r="Q91" s="157"/>
      <c r="R91" s="157"/>
      <c r="S91" s="157"/>
      <c r="T91" s="157"/>
      <c r="U91" s="157"/>
      <c r="V91" s="157"/>
      <c r="W91" s="157"/>
      <c r="X91" s="157"/>
      <c r="Y91" s="157"/>
      <c r="Z91" s="741"/>
      <c r="AA91" s="157"/>
      <c r="AB91" s="157"/>
      <c r="AC91" s="157"/>
      <c r="AD91" s="157"/>
      <c r="AE91" s="157"/>
      <c r="AF91" s="157"/>
      <c r="AG91" s="157"/>
      <c r="AH91" s="157"/>
      <c r="AI91" s="157"/>
      <c r="AJ91" s="157"/>
      <c r="AK91" s="157"/>
      <c r="AL91" s="157"/>
      <c r="AM91" s="157"/>
      <c r="AN91" s="157"/>
      <c r="AO91" s="157"/>
      <c r="AP91" s="157"/>
      <c r="AQ91" s="157"/>
      <c r="AR91" s="157"/>
      <c r="AS91" s="157"/>
      <c r="AT91" s="157"/>
    </row>
    <row r="92" spans="5:46" s="257" customFormat="1" hidden="1">
      <c r="E92" s="324"/>
      <c r="F92" s="325"/>
      <c r="G92" s="157"/>
      <c r="H92" s="325"/>
      <c r="I92" s="161"/>
      <c r="J92" s="326"/>
      <c r="L92" s="325"/>
      <c r="M92" s="401"/>
      <c r="N92" s="401"/>
      <c r="O92" s="157"/>
      <c r="P92" s="157"/>
      <c r="Q92" s="157"/>
      <c r="R92" s="157"/>
      <c r="S92" s="157"/>
      <c r="T92" s="157"/>
      <c r="U92" s="157"/>
      <c r="V92" s="157"/>
      <c r="W92" s="157"/>
      <c r="X92" s="157"/>
      <c r="Y92" s="157"/>
      <c r="Z92" s="741"/>
      <c r="AA92" s="157"/>
      <c r="AB92" s="157"/>
      <c r="AC92" s="157"/>
      <c r="AD92" s="157"/>
      <c r="AE92" s="157"/>
      <c r="AF92" s="157"/>
      <c r="AG92" s="157"/>
      <c r="AH92" s="157"/>
      <c r="AI92" s="157"/>
      <c r="AJ92" s="157"/>
      <c r="AK92" s="157"/>
      <c r="AL92" s="157"/>
      <c r="AM92" s="157"/>
      <c r="AN92" s="157"/>
      <c r="AO92" s="157"/>
      <c r="AP92" s="157"/>
      <c r="AQ92" s="157"/>
      <c r="AR92" s="157"/>
      <c r="AS92" s="157"/>
      <c r="AT92" s="157"/>
    </row>
    <row r="93" spans="5:46" s="257" customFormat="1" hidden="1">
      <c r="E93" s="324"/>
      <c r="F93" s="325"/>
      <c r="G93" s="157"/>
      <c r="H93" s="325"/>
      <c r="I93" s="161"/>
      <c r="J93" s="326"/>
      <c r="L93" s="325"/>
      <c r="M93" s="401"/>
      <c r="N93" s="401"/>
      <c r="O93" s="157"/>
      <c r="P93" s="157"/>
      <c r="Q93" s="157"/>
      <c r="R93" s="157"/>
      <c r="S93" s="157"/>
      <c r="T93" s="157"/>
      <c r="U93" s="157"/>
      <c r="V93" s="157"/>
      <c r="W93" s="157"/>
      <c r="X93" s="157"/>
      <c r="Y93" s="157"/>
      <c r="Z93" s="741"/>
      <c r="AA93" s="157"/>
      <c r="AB93" s="157"/>
      <c r="AC93" s="157"/>
      <c r="AD93" s="157"/>
      <c r="AE93" s="157"/>
      <c r="AF93" s="157"/>
      <c r="AG93" s="157"/>
      <c r="AH93" s="157"/>
      <c r="AI93" s="157"/>
      <c r="AJ93" s="157"/>
      <c r="AK93" s="157"/>
      <c r="AL93" s="157"/>
      <c r="AM93" s="157"/>
      <c r="AN93" s="157"/>
      <c r="AO93" s="157"/>
      <c r="AP93" s="157"/>
      <c r="AQ93" s="157"/>
      <c r="AR93" s="157"/>
      <c r="AS93" s="157"/>
      <c r="AT93" s="157"/>
    </row>
    <row r="94" spans="5:46" s="257" customFormat="1" hidden="1">
      <c r="E94" s="324"/>
      <c r="F94" s="325"/>
      <c r="G94" s="157"/>
      <c r="H94" s="325"/>
      <c r="I94" s="161"/>
      <c r="J94" s="326"/>
      <c r="L94" s="325"/>
      <c r="M94" s="401"/>
      <c r="N94" s="401"/>
      <c r="O94" s="157"/>
      <c r="P94" s="157"/>
      <c r="Q94" s="157"/>
      <c r="R94" s="157"/>
      <c r="S94" s="157"/>
      <c r="T94" s="157"/>
      <c r="U94" s="157"/>
      <c r="V94" s="157"/>
      <c r="W94" s="157"/>
      <c r="X94" s="157"/>
      <c r="Y94" s="157"/>
      <c r="Z94" s="741"/>
      <c r="AA94" s="157"/>
      <c r="AB94" s="157"/>
      <c r="AC94" s="157"/>
      <c r="AD94" s="157"/>
      <c r="AE94" s="157"/>
      <c r="AF94" s="157"/>
      <c r="AG94" s="157"/>
      <c r="AH94" s="157"/>
      <c r="AI94" s="157"/>
      <c r="AJ94" s="157"/>
      <c r="AK94" s="157"/>
      <c r="AL94" s="157"/>
      <c r="AM94" s="157"/>
      <c r="AN94" s="157"/>
      <c r="AO94" s="157"/>
      <c r="AP94" s="157"/>
      <c r="AQ94" s="157"/>
      <c r="AR94" s="157"/>
      <c r="AS94" s="157"/>
      <c r="AT94" s="157"/>
    </row>
    <row r="95" spans="5:46" s="257" customFormat="1" hidden="1">
      <c r="E95" s="324"/>
      <c r="F95" s="325"/>
      <c r="G95" s="157"/>
      <c r="H95" s="325"/>
      <c r="I95" s="161"/>
      <c r="J95" s="326"/>
      <c r="L95" s="325"/>
      <c r="M95" s="401"/>
      <c r="N95" s="401"/>
      <c r="O95" s="157"/>
      <c r="P95" s="157"/>
      <c r="Q95" s="157"/>
      <c r="R95" s="157"/>
      <c r="S95" s="157"/>
      <c r="T95" s="157"/>
      <c r="U95" s="157"/>
      <c r="V95" s="157"/>
      <c r="W95" s="157"/>
      <c r="X95" s="157"/>
      <c r="Y95" s="157"/>
      <c r="Z95" s="741"/>
      <c r="AA95" s="157"/>
      <c r="AB95" s="157"/>
      <c r="AC95" s="157"/>
      <c r="AD95" s="157"/>
      <c r="AE95" s="157"/>
      <c r="AF95" s="157"/>
      <c r="AG95" s="157"/>
      <c r="AH95" s="157"/>
      <c r="AI95" s="157"/>
      <c r="AJ95" s="157"/>
      <c r="AK95" s="157"/>
      <c r="AL95" s="157"/>
      <c r="AM95" s="157"/>
      <c r="AN95" s="157"/>
      <c r="AO95" s="157"/>
      <c r="AP95" s="157"/>
      <c r="AQ95" s="157"/>
      <c r="AR95" s="157"/>
      <c r="AS95" s="157"/>
      <c r="AT95" s="157"/>
    </row>
    <row r="96" spans="5:46" s="257" customFormat="1" hidden="1">
      <c r="E96" s="324"/>
      <c r="F96" s="325"/>
      <c r="G96" s="157"/>
      <c r="H96" s="325"/>
      <c r="I96" s="161"/>
      <c r="J96" s="326"/>
      <c r="L96" s="325"/>
      <c r="M96" s="401"/>
      <c r="N96" s="401"/>
      <c r="O96" s="157"/>
      <c r="P96" s="157"/>
      <c r="Q96" s="157"/>
      <c r="R96" s="157"/>
      <c r="S96" s="157"/>
      <c r="T96" s="157"/>
      <c r="U96" s="157"/>
      <c r="V96" s="157"/>
      <c r="W96" s="157"/>
      <c r="X96" s="157"/>
      <c r="Y96" s="157"/>
      <c r="Z96" s="741"/>
      <c r="AA96" s="157"/>
      <c r="AB96" s="157"/>
      <c r="AC96" s="157"/>
      <c r="AD96" s="157"/>
      <c r="AE96" s="157"/>
      <c r="AF96" s="157"/>
      <c r="AG96" s="157"/>
      <c r="AH96" s="157"/>
      <c r="AI96" s="157"/>
      <c r="AJ96" s="157"/>
      <c r="AK96" s="157"/>
      <c r="AL96" s="157"/>
      <c r="AM96" s="157"/>
      <c r="AN96" s="157"/>
      <c r="AO96" s="157"/>
      <c r="AP96" s="157"/>
      <c r="AQ96" s="157"/>
      <c r="AR96" s="157"/>
      <c r="AS96" s="157"/>
      <c r="AT96" s="157"/>
    </row>
    <row r="97" spans="5:46" s="257" customFormat="1" hidden="1">
      <c r="E97" s="324"/>
      <c r="F97" s="325"/>
      <c r="G97" s="157"/>
      <c r="H97" s="325"/>
      <c r="I97" s="161"/>
      <c r="J97" s="326"/>
      <c r="L97" s="325"/>
      <c r="M97" s="401"/>
      <c r="N97" s="401"/>
      <c r="O97" s="157"/>
      <c r="P97" s="157"/>
      <c r="Q97" s="157"/>
      <c r="R97" s="157"/>
      <c r="S97" s="157"/>
      <c r="T97" s="157"/>
      <c r="U97" s="157"/>
      <c r="V97" s="157"/>
      <c r="W97" s="157"/>
      <c r="X97" s="157"/>
      <c r="Y97" s="157"/>
      <c r="Z97" s="741"/>
      <c r="AA97" s="157"/>
      <c r="AB97" s="157"/>
      <c r="AC97" s="157"/>
      <c r="AD97" s="157"/>
      <c r="AE97" s="157"/>
      <c r="AF97" s="157"/>
      <c r="AG97" s="157"/>
      <c r="AH97" s="157"/>
      <c r="AI97" s="157"/>
      <c r="AJ97" s="157"/>
      <c r="AK97" s="157"/>
      <c r="AL97" s="157"/>
      <c r="AM97" s="157"/>
      <c r="AN97" s="157"/>
      <c r="AO97" s="157"/>
      <c r="AP97" s="157"/>
      <c r="AQ97" s="157"/>
      <c r="AR97" s="157"/>
      <c r="AS97" s="157"/>
      <c r="AT97" s="157"/>
    </row>
    <row r="98" spans="5:46" s="257" customFormat="1" hidden="1">
      <c r="E98" s="324"/>
      <c r="F98" s="325"/>
      <c r="G98" s="157"/>
      <c r="H98" s="325"/>
      <c r="I98" s="161"/>
      <c r="J98" s="326"/>
      <c r="L98" s="325"/>
      <c r="M98" s="401"/>
      <c r="N98" s="401"/>
      <c r="O98" s="157"/>
      <c r="P98" s="157"/>
      <c r="Q98" s="157"/>
      <c r="R98" s="157"/>
      <c r="S98" s="157"/>
      <c r="T98" s="157"/>
      <c r="U98" s="157"/>
      <c r="V98" s="157"/>
      <c r="W98" s="157"/>
      <c r="X98" s="157"/>
      <c r="Y98" s="157"/>
      <c r="Z98" s="741"/>
      <c r="AA98" s="157"/>
      <c r="AB98" s="157"/>
      <c r="AC98" s="157"/>
      <c r="AD98" s="157"/>
      <c r="AE98" s="157"/>
      <c r="AF98" s="157"/>
      <c r="AG98" s="157"/>
      <c r="AH98" s="157"/>
      <c r="AI98" s="157"/>
      <c r="AJ98" s="157"/>
      <c r="AK98" s="157"/>
      <c r="AL98" s="157"/>
      <c r="AM98" s="157"/>
      <c r="AN98" s="157"/>
      <c r="AO98" s="157"/>
      <c r="AP98" s="157"/>
      <c r="AQ98" s="157"/>
      <c r="AR98" s="157"/>
      <c r="AS98" s="157"/>
      <c r="AT98" s="157"/>
    </row>
    <row r="99" spans="5:46" s="257" customFormat="1" hidden="1">
      <c r="E99" s="324"/>
      <c r="F99" s="325"/>
      <c r="G99" s="157"/>
      <c r="H99" s="325"/>
      <c r="I99" s="161"/>
      <c r="J99" s="326"/>
      <c r="L99" s="325"/>
      <c r="M99" s="401"/>
      <c r="N99" s="401"/>
      <c r="O99" s="157"/>
      <c r="P99" s="157"/>
      <c r="Q99" s="157"/>
      <c r="R99" s="157"/>
      <c r="S99" s="157"/>
      <c r="T99" s="157"/>
      <c r="U99" s="157"/>
      <c r="V99" s="157"/>
      <c r="W99" s="157"/>
      <c r="X99" s="157"/>
      <c r="Y99" s="157"/>
      <c r="Z99" s="741"/>
      <c r="AA99" s="157"/>
      <c r="AB99" s="157"/>
      <c r="AC99" s="157"/>
      <c r="AD99" s="157"/>
      <c r="AE99" s="157"/>
      <c r="AF99" s="157"/>
      <c r="AG99" s="157"/>
      <c r="AH99" s="157"/>
      <c r="AI99" s="157"/>
      <c r="AJ99" s="157"/>
      <c r="AK99" s="157"/>
      <c r="AL99" s="157"/>
      <c r="AM99" s="157"/>
      <c r="AN99" s="157"/>
      <c r="AO99" s="157"/>
      <c r="AP99" s="157"/>
      <c r="AQ99" s="157"/>
      <c r="AR99" s="157"/>
      <c r="AS99" s="157"/>
      <c r="AT99" s="157"/>
    </row>
    <row r="100" spans="5:46" s="257" customFormat="1" hidden="1">
      <c r="E100" s="324"/>
      <c r="F100" s="325"/>
      <c r="G100" s="157"/>
      <c r="H100" s="325"/>
      <c r="I100" s="161"/>
      <c r="J100" s="326"/>
      <c r="L100" s="325"/>
      <c r="M100" s="401"/>
      <c r="N100" s="401"/>
      <c r="O100" s="157"/>
      <c r="P100" s="157"/>
      <c r="Q100" s="157"/>
      <c r="R100" s="157"/>
      <c r="S100" s="157"/>
      <c r="T100" s="157"/>
      <c r="U100" s="157"/>
      <c r="V100" s="157"/>
      <c r="W100" s="157"/>
      <c r="X100" s="157"/>
      <c r="Y100" s="157"/>
      <c r="Z100" s="741"/>
      <c r="AA100" s="157"/>
      <c r="AB100" s="157"/>
      <c r="AC100" s="157"/>
      <c r="AD100" s="157"/>
      <c r="AE100" s="157"/>
      <c r="AF100" s="157"/>
      <c r="AG100" s="157"/>
      <c r="AH100" s="157"/>
      <c r="AI100" s="157"/>
      <c r="AJ100" s="157"/>
      <c r="AK100" s="157"/>
      <c r="AL100" s="157"/>
      <c r="AM100" s="157"/>
      <c r="AN100" s="157"/>
      <c r="AO100" s="157"/>
      <c r="AP100" s="157"/>
      <c r="AQ100" s="157"/>
      <c r="AR100" s="157"/>
      <c r="AS100" s="157"/>
      <c r="AT100" s="157"/>
    </row>
    <row r="101" spans="5:46" s="257" customFormat="1" hidden="1">
      <c r="E101" s="324"/>
      <c r="F101" s="325"/>
      <c r="G101" s="157"/>
      <c r="H101" s="325"/>
      <c r="I101" s="161"/>
      <c r="J101" s="326"/>
      <c r="L101" s="325"/>
      <c r="M101" s="401"/>
      <c r="N101" s="401"/>
      <c r="O101" s="157"/>
      <c r="P101" s="157"/>
      <c r="Q101" s="157"/>
      <c r="R101" s="157"/>
      <c r="S101" s="157"/>
      <c r="T101" s="157"/>
      <c r="U101" s="157"/>
      <c r="V101" s="157"/>
      <c r="W101" s="157"/>
      <c r="X101" s="157"/>
      <c r="Y101" s="157"/>
      <c r="Z101" s="741"/>
      <c r="AA101" s="157"/>
      <c r="AB101" s="157"/>
      <c r="AC101" s="157"/>
      <c r="AD101" s="157"/>
      <c r="AE101" s="157"/>
      <c r="AF101" s="157"/>
      <c r="AG101" s="157"/>
      <c r="AH101" s="157"/>
      <c r="AI101" s="157"/>
      <c r="AJ101" s="157"/>
      <c r="AK101" s="157"/>
      <c r="AL101" s="157"/>
      <c r="AM101" s="157"/>
      <c r="AN101" s="157"/>
      <c r="AO101" s="157"/>
      <c r="AP101" s="157"/>
      <c r="AQ101" s="157"/>
      <c r="AR101" s="157"/>
      <c r="AS101" s="157"/>
      <c r="AT101" s="157"/>
    </row>
    <row r="102" spans="5:46" s="257" customFormat="1" hidden="1">
      <c r="E102" s="324"/>
      <c r="F102" s="325"/>
      <c r="G102" s="157"/>
      <c r="H102" s="325"/>
      <c r="I102" s="161"/>
      <c r="J102" s="326"/>
      <c r="L102" s="325"/>
      <c r="M102" s="401"/>
      <c r="N102" s="401"/>
      <c r="O102" s="157"/>
      <c r="P102" s="157"/>
      <c r="Q102" s="157"/>
      <c r="R102" s="157"/>
      <c r="S102" s="157"/>
      <c r="T102" s="157"/>
      <c r="U102" s="157"/>
      <c r="V102" s="157"/>
      <c r="W102" s="157"/>
      <c r="X102" s="157"/>
      <c r="Y102" s="157"/>
      <c r="Z102" s="741"/>
      <c r="AA102" s="157"/>
      <c r="AB102" s="157"/>
      <c r="AC102" s="157"/>
      <c r="AD102" s="157"/>
      <c r="AE102" s="157"/>
      <c r="AF102" s="157"/>
      <c r="AG102" s="157"/>
      <c r="AH102" s="157"/>
      <c r="AI102" s="157"/>
      <c r="AJ102" s="157"/>
      <c r="AK102" s="157"/>
      <c r="AL102" s="157"/>
      <c r="AM102" s="157"/>
      <c r="AN102" s="157"/>
      <c r="AO102" s="157"/>
      <c r="AP102" s="157"/>
      <c r="AQ102" s="157"/>
      <c r="AR102" s="157"/>
      <c r="AS102" s="157"/>
      <c r="AT102" s="157"/>
    </row>
    <row r="103" spans="5:46" s="257" customFormat="1" hidden="1">
      <c r="E103" s="324"/>
      <c r="F103" s="325"/>
      <c r="G103" s="157"/>
      <c r="H103" s="325"/>
      <c r="I103" s="161"/>
      <c r="J103" s="326"/>
      <c r="L103" s="325"/>
      <c r="M103" s="401"/>
      <c r="N103" s="401"/>
      <c r="O103" s="157"/>
      <c r="P103" s="157"/>
      <c r="Q103" s="157"/>
      <c r="R103" s="157"/>
      <c r="S103" s="157"/>
      <c r="T103" s="157"/>
      <c r="U103" s="157"/>
      <c r="V103" s="157"/>
      <c r="W103" s="157"/>
      <c r="X103" s="157"/>
      <c r="Y103" s="157"/>
      <c r="Z103" s="741"/>
      <c r="AA103" s="157"/>
      <c r="AB103" s="157"/>
      <c r="AC103" s="157"/>
      <c r="AD103" s="157"/>
      <c r="AE103" s="157"/>
      <c r="AF103" s="157"/>
      <c r="AG103" s="157"/>
      <c r="AH103" s="157"/>
      <c r="AI103" s="157"/>
      <c r="AJ103" s="157"/>
      <c r="AK103" s="157"/>
      <c r="AL103" s="157"/>
      <c r="AM103" s="157"/>
      <c r="AN103" s="157"/>
      <c r="AO103" s="157"/>
      <c r="AP103" s="157"/>
      <c r="AQ103" s="157"/>
      <c r="AR103" s="157"/>
      <c r="AS103" s="157"/>
      <c r="AT103" s="157"/>
    </row>
    <row r="104" spans="5:46" s="257" customFormat="1" hidden="1">
      <c r="E104" s="324"/>
      <c r="F104" s="325"/>
      <c r="G104" s="157"/>
      <c r="H104" s="325"/>
      <c r="I104" s="161"/>
      <c r="J104" s="326"/>
      <c r="L104" s="325"/>
      <c r="M104" s="401"/>
      <c r="N104" s="401"/>
      <c r="O104" s="157"/>
      <c r="P104" s="157"/>
      <c r="Q104" s="157"/>
      <c r="R104" s="157"/>
      <c r="S104" s="157"/>
      <c r="T104" s="157"/>
      <c r="U104" s="157"/>
      <c r="V104" s="157"/>
      <c r="W104" s="157"/>
      <c r="X104" s="157"/>
      <c r="Y104" s="157"/>
      <c r="Z104" s="741"/>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row>
    <row r="105" spans="5:46" s="257" customFormat="1" hidden="1">
      <c r="E105" s="324"/>
      <c r="F105" s="325"/>
      <c r="G105" s="157"/>
      <c r="H105" s="325"/>
      <c r="I105" s="161"/>
      <c r="J105" s="326"/>
      <c r="L105" s="325"/>
      <c r="M105" s="401"/>
      <c r="N105" s="401"/>
      <c r="O105" s="157"/>
      <c r="P105" s="157"/>
      <c r="Q105" s="157"/>
      <c r="R105" s="157"/>
      <c r="S105" s="157"/>
      <c r="T105" s="157"/>
      <c r="U105" s="157"/>
      <c r="V105" s="157"/>
      <c r="W105" s="157"/>
      <c r="X105" s="157"/>
      <c r="Y105" s="157"/>
      <c r="Z105" s="741"/>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row>
    <row r="106" spans="5:46" s="257" customFormat="1" hidden="1">
      <c r="E106" s="324"/>
      <c r="F106" s="325"/>
      <c r="G106" s="157"/>
      <c r="H106" s="325"/>
      <c r="I106" s="161"/>
      <c r="J106" s="326"/>
      <c r="L106" s="325"/>
      <c r="M106" s="401"/>
      <c r="N106" s="401"/>
      <c r="O106" s="157"/>
      <c r="P106" s="157"/>
      <c r="Q106" s="157"/>
      <c r="R106" s="157"/>
      <c r="S106" s="157"/>
      <c r="T106" s="157"/>
      <c r="U106" s="157"/>
      <c r="V106" s="157"/>
      <c r="W106" s="157"/>
      <c r="X106" s="157"/>
      <c r="Y106" s="157"/>
      <c r="Z106" s="741"/>
      <c r="AA106" s="157"/>
      <c r="AB106" s="157"/>
      <c r="AC106" s="157"/>
      <c r="AD106" s="157"/>
      <c r="AE106" s="157"/>
      <c r="AF106" s="157"/>
      <c r="AG106" s="157"/>
      <c r="AH106" s="157"/>
      <c r="AI106" s="157"/>
      <c r="AJ106" s="157"/>
      <c r="AK106" s="157"/>
      <c r="AL106" s="157"/>
      <c r="AM106" s="157"/>
      <c r="AN106" s="157"/>
      <c r="AO106" s="157"/>
      <c r="AP106" s="157"/>
      <c r="AQ106" s="157"/>
      <c r="AR106" s="157"/>
      <c r="AS106" s="157"/>
      <c r="AT106" s="157"/>
    </row>
    <row r="107" spans="5:46" s="257" customFormat="1" hidden="1">
      <c r="E107" s="324"/>
      <c r="F107" s="325"/>
      <c r="G107" s="157"/>
      <c r="H107" s="325"/>
      <c r="I107" s="161"/>
      <c r="J107" s="326"/>
      <c r="L107" s="325"/>
      <c r="M107" s="401"/>
      <c r="N107" s="401"/>
      <c r="O107" s="157"/>
      <c r="P107" s="157"/>
      <c r="Q107" s="157"/>
      <c r="R107" s="157"/>
      <c r="S107" s="157"/>
      <c r="T107" s="157"/>
      <c r="U107" s="157"/>
      <c r="V107" s="157"/>
      <c r="W107" s="157"/>
      <c r="X107" s="157"/>
      <c r="Y107" s="157"/>
      <c r="Z107" s="741"/>
      <c r="AA107" s="157"/>
      <c r="AB107" s="157"/>
      <c r="AC107" s="157"/>
      <c r="AD107" s="157"/>
      <c r="AE107" s="157"/>
      <c r="AF107" s="157"/>
      <c r="AG107" s="157"/>
      <c r="AH107" s="157"/>
      <c r="AI107" s="157"/>
      <c r="AJ107" s="157"/>
      <c r="AK107" s="157"/>
      <c r="AL107" s="157"/>
      <c r="AM107" s="157"/>
      <c r="AN107" s="157"/>
      <c r="AO107" s="157"/>
      <c r="AP107" s="157"/>
      <c r="AQ107" s="157"/>
      <c r="AR107" s="157"/>
      <c r="AS107" s="157"/>
      <c r="AT107" s="157"/>
    </row>
    <row r="108" spans="5:46" s="257" customFormat="1" hidden="1">
      <c r="E108" s="324"/>
      <c r="F108" s="325"/>
      <c r="G108" s="157"/>
      <c r="H108" s="325"/>
      <c r="I108" s="161"/>
      <c r="J108" s="326"/>
      <c r="L108" s="325"/>
      <c r="M108" s="401"/>
      <c r="N108" s="401"/>
      <c r="O108" s="157"/>
      <c r="P108" s="157"/>
      <c r="Q108" s="157"/>
      <c r="R108" s="157"/>
      <c r="S108" s="157"/>
      <c r="T108" s="157"/>
      <c r="U108" s="157"/>
      <c r="V108" s="157"/>
      <c r="W108" s="157"/>
      <c r="X108" s="157"/>
      <c r="Y108" s="157"/>
      <c r="Z108" s="741"/>
      <c r="AA108" s="157"/>
      <c r="AB108" s="157"/>
      <c r="AC108" s="157"/>
      <c r="AD108" s="157"/>
      <c r="AE108" s="157"/>
      <c r="AF108" s="157"/>
      <c r="AG108" s="157"/>
      <c r="AH108" s="157"/>
      <c r="AI108" s="157"/>
      <c r="AJ108" s="157"/>
      <c r="AK108" s="157"/>
      <c r="AL108" s="157"/>
      <c r="AM108" s="157"/>
      <c r="AN108" s="157"/>
      <c r="AO108" s="157"/>
      <c r="AP108" s="157"/>
      <c r="AQ108" s="157"/>
      <c r="AR108" s="157"/>
      <c r="AS108" s="157"/>
      <c r="AT108" s="157"/>
    </row>
    <row r="109" spans="5:46" s="257" customFormat="1" hidden="1">
      <c r="E109" s="324"/>
      <c r="F109" s="325"/>
      <c r="G109" s="157"/>
      <c r="H109" s="325"/>
      <c r="I109" s="161"/>
      <c r="J109" s="326"/>
      <c r="L109" s="325"/>
      <c r="M109" s="401"/>
      <c r="N109" s="401"/>
      <c r="O109" s="157"/>
      <c r="P109" s="157"/>
      <c r="Q109" s="157"/>
      <c r="R109" s="157"/>
      <c r="S109" s="157"/>
      <c r="T109" s="157"/>
      <c r="U109" s="157"/>
      <c r="V109" s="157"/>
      <c r="W109" s="157"/>
      <c r="X109" s="157"/>
      <c r="Y109" s="157"/>
      <c r="Z109" s="741"/>
      <c r="AA109" s="157"/>
      <c r="AB109" s="157"/>
      <c r="AC109" s="157"/>
      <c r="AD109" s="157"/>
      <c r="AE109" s="157"/>
      <c r="AF109" s="157"/>
      <c r="AG109" s="157"/>
      <c r="AH109" s="157"/>
      <c r="AI109" s="157"/>
      <c r="AJ109" s="157"/>
      <c r="AK109" s="157"/>
      <c r="AL109" s="157"/>
      <c r="AM109" s="157"/>
      <c r="AN109" s="157"/>
      <c r="AO109" s="157"/>
      <c r="AP109" s="157"/>
      <c r="AQ109" s="157"/>
      <c r="AR109" s="157"/>
      <c r="AS109" s="157"/>
      <c r="AT109" s="157"/>
    </row>
    <row r="110" spans="5:46" s="257" customFormat="1" hidden="1">
      <c r="E110" s="324"/>
      <c r="F110" s="325"/>
      <c r="G110" s="157"/>
      <c r="H110" s="325"/>
      <c r="I110" s="161"/>
      <c r="J110" s="326"/>
      <c r="L110" s="325"/>
      <c r="M110" s="401"/>
      <c r="N110" s="401"/>
      <c r="O110" s="157"/>
      <c r="P110" s="157"/>
      <c r="Q110" s="157"/>
      <c r="R110" s="157"/>
      <c r="S110" s="157"/>
      <c r="T110" s="157"/>
      <c r="U110" s="157"/>
      <c r="V110" s="157"/>
      <c r="W110" s="157"/>
      <c r="X110" s="157"/>
      <c r="Y110" s="157"/>
      <c r="Z110" s="741"/>
      <c r="AA110" s="157"/>
      <c r="AB110" s="157"/>
      <c r="AC110" s="157"/>
      <c r="AD110" s="157"/>
      <c r="AE110" s="157"/>
      <c r="AF110" s="157"/>
      <c r="AG110" s="157"/>
      <c r="AH110" s="157"/>
      <c r="AI110" s="157"/>
      <c r="AJ110" s="157"/>
      <c r="AK110" s="157"/>
      <c r="AL110" s="157"/>
      <c r="AM110" s="157"/>
      <c r="AN110" s="157"/>
      <c r="AO110" s="157"/>
      <c r="AP110" s="157"/>
      <c r="AQ110" s="157"/>
      <c r="AR110" s="157"/>
      <c r="AS110" s="157"/>
      <c r="AT110" s="157"/>
    </row>
    <row r="111" spans="5:46" s="257" customFormat="1" hidden="1">
      <c r="E111" s="324"/>
      <c r="F111" s="325"/>
      <c r="G111" s="157"/>
      <c r="H111" s="325"/>
      <c r="I111" s="161"/>
      <c r="J111" s="326"/>
      <c r="L111" s="325"/>
      <c r="M111" s="401"/>
      <c r="N111" s="401"/>
      <c r="O111" s="157"/>
      <c r="P111" s="157"/>
      <c r="Q111" s="157"/>
      <c r="R111" s="157"/>
      <c r="S111" s="157"/>
      <c r="T111" s="157"/>
      <c r="U111" s="157"/>
      <c r="V111" s="157"/>
      <c r="W111" s="157"/>
      <c r="X111" s="157"/>
      <c r="Y111" s="157"/>
      <c r="Z111" s="741"/>
      <c r="AA111" s="157"/>
      <c r="AB111" s="157"/>
      <c r="AC111" s="157"/>
      <c r="AD111" s="157"/>
      <c r="AE111" s="157"/>
      <c r="AF111" s="157"/>
      <c r="AG111" s="157"/>
      <c r="AH111" s="157"/>
      <c r="AI111" s="157"/>
      <c r="AJ111" s="157"/>
      <c r="AK111" s="157"/>
      <c r="AL111" s="157"/>
      <c r="AM111" s="157"/>
      <c r="AN111" s="157"/>
      <c r="AO111" s="157"/>
      <c r="AP111" s="157"/>
      <c r="AQ111" s="157"/>
      <c r="AR111" s="157"/>
      <c r="AS111" s="157"/>
      <c r="AT111" s="157"/>
    </row>
    <row r="112" spans="5:46" s="257" customFormat="1" hidden="1">
      <c r="E112" s="324"/>
      <c r="F112" s="325"/>
      <c r="G112" s="157"/>
      <c r="H112" s="325"/>
      <c r="I112" s="161"/>
      <c r="J112" s="326"/>
      <c r="L112" s="325"/>
      <c r="M112" s="401"/>
      <c r="N112" s="401"/>
      <c r="O112" s="157"/>
      <c r="P112" s="157"/>
      <c r="Q112" s="157"/>
      <c r="R112" s="157"/>
      <c r="S112" s="157"/>
      <c r="T112" s="157"/>
      <c r="U112" s="157"/>
      <c r="V112" s="157"/>
      <c r="W112" s="157"/>
      <c r="X112" s="157"/>
      <c r="Y112" s="157"/>
      <c r="Z112" s="741"/>
      <c r="AA112" s="157"/>
      <c r="AB112" s="157"/>
      <c r="AC112" s="157"/>
      <c r="AD112" s="157"/>
      <c r="AE112" s="157"/>
      <c r="AF112" s="157"/>
      <c r="AG112" s="157"/>
      <c r="AH112" s="157"/>
      <c r="AI112" s="157"/>
      <c r="AJ112" s="157"/>
      <c r="AK112" s="157"/>
      <c r="AL112" s="157"/>
      <c r="AM112" s="157"/>
      <c r="AN112" s="157"/>
      <c r="AO112" s="157"/>
      <c r="AP112" s="157"/>
      <c r="AQ112" s="157"/>
      <c r="AR112" s="157"/>
      <c r="AS112" s="157"/>
      <c r="AT112" s="157"/>
    </row>
    <row r="113" spans="5:46" s="257" customFormat="1" hidden="1">
      <c r="E113" s="324"/>
      <c r="F113" s="325"/>
      <c r="G113" s="157"/>
      <c r="H113" s="325"/>
      <c r="I113" s="161"/>
      <c r="J113" s="326"/>
      <c r="L113" s="325"/>
      <c r="M113" s="401"/>
      <c r="N113" s="401"/>
      <c r="O113" s="157"/>
      <c r="P113" s="157"/>
      <c r="Q113" s="157"/>
      <c r="R113" s="157"/>
      <c r="S113" s="157"/>
      <c r="T113" s="157"/>
      <c r="U113" s="157"/>
      <c r="V113" s="157"/>
      <c r="W113" s="157"/>
      <c r="X113" s="157"/>
      <c r="Y113" s="157"/>
      <c r="Z113" s="741"/>
      <c r="AA113" s="157"/>
      <c r="AB113" s="157"/>
      <c r="AC113" s="157"/>
      <c r="AD113" s="157"/>
      <c r="AE113" s="157"/>
      <c r="AF113" s="157"/>
      <c r="AG113" s="157"/>
      <c r="AH113" s="157"/>
      <c r="AI113" s="157"/>
      <c r="AJ113" s="157"/>
      <c r="AK113" s="157"/>
      <c r="AL113" s="157"/>
      <c r="AM113" s="157"/>
      <c r="AN113" s="157"/>
      <c r="AO113" s="157"/>
      <c r="AP113" s="157"/>
      <c r="AQ113" s="157"/>
      <c r="AR113" s="157"/>
      <c r="AS113" s="157"/>
      <c r="AT113" s="157"/>
    </row>
    <row r="114" spans="5:46" s="257" customFormat="1" hidden="1">
      <c r="E114" s="324"/>
      <c r="F114" s="325"/>
      <c r="G114" s="157"/>
      <c r="H114" s="325"/>
      <c r="I114" s="161"/>
      <c r="J114" s="326"/>
      <c r="L114" s="325"/>
      <c r="M114" s="401"/>
      <c r="N114" s="401"/>
      <c r="O114" s="157"/>
      <c r="P114" s="157"/>
      <c r="Q114" s="157"/>
      <c r="R114" s="157"/>
      <c r="S114" s="157"/>
      <c r="T114" s="157"/>
      <c r="U114" s="157"/>
      <c r="V114" s="157"/>
      <c r="W114" s="157"/>
      <c r="X114" s="157"/>
      <c r="Y114" s="157"/>
      <c r="Z114" s="741"/>
      <c r="AA114" s="157"/>
      <c r="AB114" s="157"/>
      <c r="AC114" s="157"/>
      <c r="AD114" s="157"/>
      <c r="AE114" s="157"/>
      <c r="AF114" s="157"/>
      <c r="AG114" s="157"/>
      <c r="AH114" s="157"/>
      <c r="AI114" s="157"/>
      <c r="AJ114" s="157"/>
      <c r="AK114" s="157"/>
      <c r="AL114" s="157"/>
      <c r="AM114" s="157"/>
      <c r="AN114" s="157"/>
      <c r="AO114" s="157"/>
      <c r="AP114" s="157"/>
      <c r="AQ114" s="157"/>
      <c r="AR114" s="157"/>
      <c r="AS114" s="157"/>
      <c r="AT114" s="157"/>
    </row>
    <row r="115" spans="5:46" s="257" customFormat="1" hidden="1">
      <c r="E115" s="324"/>
      <c r="F115" s="325"/>
      <c r="G115" s="157"/>
      <c r="H115" s="325"/>
      <c r="I115" s="161"/>
      <c r="J115" s="326"/>
      <c r="L115" s="325"/>
      <c r="M115" s="401"/>
      <c r="N115" s="401"/>
      <c r="O115" s="157"/>
      <c r="P115" s="157"/>
      <c r="Q115" s="157"/>
      <c r="R115" s="157"/>
      <c r="S115" s="157"/>
      <c r="T115" s="157"/>
      <c r="U115" s="157"/>
      <c r="V115" s="157"/>
      <c r="W115" s="157"/>
      <c r="X115" s="157"/>
      <c r="Y115" s="157"/>
      <c r="Z115" s="741"/>
      <c r="AA115" s="157"/>
      <c r="AB115" s="157"/>
      <c r="AC115" s="157"/>
      <c r="AD115" s="157"/>
      <c r="AE115" s="157"/>
      <c r="AF115" s="157"/>
      <c r="AG115" s="157"/>
      <c r="AH115" s="157"/>
      <c r="AI115" s="157"/>
      <c r="AJ115" s="157"/>
      <c r="AK115" s="157"/>
      <c r="AL115" s="157"/>
      <c r="AM115" s="157"/>
      <c r="AN115" s="157"/>
      <c r="AO115" s="157"/>
      <c r="AP115" s="157"/>
      <c r="AQ115" s="157"/>
      <c r="AR115" s="157"/>
      <c r="AS115" s="157"/>
      <c r="AT115" s="157"/>
    </row>
    <row r="116" spans="5:46" s="257" customFormat="1" hidden="1">
      <c r="E116" s="324"/>
      <c r="F116" s="325"/>
      <c r="G116" s="157"/>
      <c r="H116" s="325"/>
      <c r="I116" s="161"/>
      <c r="J116" s="326"/>
      <c r="L116" s="325"/>
      <c r="M116" s="401"/>
      <c r="N116" s="401"/>
      <c r="O116" s="157"/>
      <c r="P116" s="157"/>
      <c r="Q116" s="157"/>
      <c r="R116" s="157"/>
      <c r="S116" s="157"/>
      <c r="T116" s="157"/>
      <c r="U116" s="157"/>
      <c r="V116" s="157"/>
      <c r="W116" s="157"/>
      <c r="X116" s="157"/>
      <c r="Y116" s="157"/>
      <c r="Z116" s="741"/>
      <c r="AA116" s="157"/>
      <c r="AB116" s="157"/>
      <c r="AC116" s="157"/>
      <c r="AD116" s="157"/>
      <c r="AE116" s="157"/>
      <c r="AF116" s="157"/>
      <c r="AG116" s="157"/>
      <c r="AH116" s="157"/>
      <c r="AI116" s="157"/>
      <c r="AJ116" s="157"/>
      <c r="AK116" s="157"/>
      <c r="AL116" s="157"/>
      <c r="AM116" s="157"/>
      <c r="AN116" s="157"/>
      <c r="AO116" s="157"/>
      <c r="AP116" s="157"/>
      <c r="AQ116" s="157"/>
      <c r="AR116" s="157"/>
      <c r="AS116" s="157"/>
      <c r="AT116" s="157"/>
    </row>
    <row r="117" spans="5:46" s="257" customFormat="1" hidden="1">
      <c r="E117" s="324"/>
      <c r="F117" s="325"/>
      <c r="G117" s="157"/>
      <c r="H117" s="325"/>
      <c r="I117" s="161"/>
      <c r="J117" s="326"/>
      <c r="L117" s="325"/>
      <c r="M117" s="401"/>
      <c r="N117" s="401"/>
      <c r="O117" s="157"/>
      <c r="P117" s="157"/>
      <c r="Q117" s="157"/>
      <c r="R117" s="157"/>
      <c r="S117" s="157"/>
      <c r="T117" s="157"/>
      <c r="U117" s="157"/>
      <c r="V117" s="157"/>
      <c r="W117" s="157"/>
      <c r="X117" s="157"/>
      <c r="Y117" s="157"/>
      <c r="Z117" s="741"/>
      <c r="AA117" s="157"/>
      <c r="AB117" s="157"/>
      <c r="AC117" s="157"/>
      <c r="AD117" s="157"/>
      <c r="AE117" s="157"/>
      <c r="AF117" s="157"/>
      <c r="AG117" s="157"/>
      <c r="AH117" s="157"/>
      <c r="AI117" s="157"/>
      <c r="AJ117" s="157"/>
      <c r="AK117" s="157"/>
      <c r="AL117" s="157"/>
      <c r="AM117" s="157"/>
      <c r="AN117" s="157"/>
      <c r="AO117" s="157"/>
      <c r="AP117" s="157"/>
      <c r="AQ117" s="157"/>
      <c r="AR117" s="157"/>
      <c r="AS117" s="157"/>
      <c r="AT117" s="157"/>
    </row>
    <row r="118" spans="5:46" s="257" customFormat="1" hidden="1">
      <c r="E118" s="324"/>
      <c r="F118" s="325"/>
      <c r="G118" s="157"/>
      <c r="H118" s="325"/>
      <c r="I118" s="161"/>
      <c r="J118" s="326"/>
      <c r="L118" s="325"/>
      <c r="M118" s="401"/>
      <c r="N118" s="401"/>
      <c r="O118" s="157"/>
      <c r="P118" s="157"/>
      <c r="Q118" s="157"/>
      <c r="R118" s="157"/>
      <c r="S118" s="157"/>
      <c r="T118" s="157"/>
      <c r="U118" s="157"/>
      <c r="V118" s="157"/>
      <c r="W118" s="157"/>
      <c r="X118" s="157"/>
      <c r="Y118" s="157"/>
      <c r="Z118" s="741"/>
      <c r="AA118" s="157"/>
      <c r="AB118" s="157"/>
      <c r="AC118" s="157"/>
      <c r="AD118" s="157"/>
      <c r="AE118" s="157"/>
      <c r="AF118" s="157"/>
      <c r="AG118" s="157"/>
      <c r="AH118" s="157"/>
      <c r="AI118" s="157"/>
      <c r="AJ118" s="157"/>
      <c r="AK118" s="157"/>
      <c r="AL118" s="157"/>
      <c r="AM118" s="157"/>
      <c r="AN118" s="157"/>
      <c r="AO118" s="157"/>
      <c r="AP118" s="157"/>
      <c r="AQ118" s="157"/>
      <c r="AR118" s="157"/>
      <c r="AS118" s="157"/>
      <c r="AT118" s="157"/>
    </row>
    <row r="119" spans="5:46" s="257" customFormat="1" hidden="1">
      <c r="E119" s="324"/>
      <c r="F119" s="325"/>
      <c r="G119" s="157"/>
      <c r="H119" s="325"/>
      <c r="I119" s="161"/>
      <c r="J119" s="326"/>
      <c r="L119" s="325"/>
      <c r="M119" s="401"/>
      <c r="N119" s="401"/>
      <c r="O119" s="157"/>
      <c r="P119" s="157"/>
      <c r="Q119" s="157"/>
      <c r="R119" s="157"/>
      <c r="S119" s="157"/>
      <c r="T119" s="157"/>
      <c r="U119" s="157"/>
      <c r="V119" s="157"/>
      <c r="W119" s="157"/>
      <c r="X119" s="157"/>
      <c r="Y119" s="157"/>
      <c r="Z119" s="741"/>
      <c r="AA119" s="157"/>
      <c r="AB119" s="157"/>
      <c r="AC119" s="157"/>
      <c r="AD119" s="157"/>
      <c r="AE119" s="157"/>
      <c r="AF119" s="157"/>
      <c r="AG119" s="157"/>
      <c r="AH119" s="157"/>
      <c r="AI119" s="157"/>
      <c r="AJ119" s="157"/>
      <c r="AK119" s="157"/>
      <c r="AL119" s="157"/>
      <c r="AM119" s="157"/>
      <c r="AN119" s="157"/>
      <c r="AO119" s="157"/>
      <c r="AP119" s="157"/>
      <c r="AQ119" s="157"/>
      <c r="AR119" s="157"/>
      <c r="AS119" s="157"/>
      <c r="AT119" s="157"/>
    </row>
    <row r="120" spans="5:46" s="257" customFormat="1" hidden="1">
      <c r="E120" s="324"/>
      <c r="F120" s="325"/>
      <c r="G120" s="157"/>
      <c r="H120" s="325"/>
      <c r="I120" s="161"/>
      <c r="J120" s="326"/>
      <c r="L120" s="325"/>
      <c r="M120" s="401"/>
      <c r="N120" s="401"/>
      <c r="O120" s="157"/>
      <c r="P120" s="157"/>
      <c r="Q120" s="157"/>
      <c r="R120" s="157"/>
      <c r="S120" s="157"/>
      <c r="T120" s="157"/>
      <c r="U120" s="157"/>
      <c r="V120" s="157"/>
      <c r="W120" s="157"/>
      <c r="X120" s="157"/>
      <c r="Y120" s="157"/>
      <c r="Z120" s="741"/>
      <c r="AA120" s="157"/>
      <c r="AB120" s="157"/>
      <c r="AC120" s="157"/>
      <c r="AD120" s="157"/>
      <c r="AE120" s="157"/>
      <c r="AF120" s="157"/>
      <c r="AG120" s="157"/>
      <c r="AH120" s="157"/>
      <c r="AI120" s="157"/>
      <c r="AJ120" s="157"/>
      <c r="AK120" s="157"/>
      <c r="AL120" s="157"/>
      <c r="AM120" s="157"/>
      <c r="AN120" s="157"/>
      <c r="AO120" s="157"/>
      <c r="AP120" s="157"/>
      <c r="AQ120" s="157"/>
      <c r="AR120" s="157"/>
      <c r="AS120" s="157"/>
      <c r="AT120" s="157"/>
    </row>
    <row r="121" spans="5:46" s="257" customFormat="1" hidden="1">
      <c r="E121" s="324"/>
      <c r="F121" s="325"/>
      <c r="G121" s="157"/>
      <c r="H121" s="325"/>
      <c r="I121" s="161"/>
      <c r="J121" s="326"/>
      <c r="L121" s="325"/>
      <c r="M121" s="401"/>
      <c r="N121" s="401"/>
      <c r="O121" s="157"/>
      <c r="P121" s="157"/>
      <c r="Q121" s="157"/>
      <c r="R121" s="157"/>
      <c r="S121" s="157"/>
      <c r="T121" s="157"/>
      <c r="U121" s="157"/>
      <c r="V121" s="157"/>
      <c r="W121" s="157"/>
      <c r="X121" s="157"/>
      <c r="Y121" s="157"/>
      <c r="Z121" s="741"/>
      <c r="AA121" s="157"/>
      <c r="AB121" s="157"/>
      <c r="AC121" s="157"/>
      <c r="AD121" s="157"/>
      <c r="AE121" s="157"/>
      <c r="AF121" s="157"/>
      <c r="AG121" s="157"/>
      <c r="AH121" s="157"/>
      <c r="AI121" s="157"/>
      <c r="AJ121" s="157"/>
      <c r="AK121" s="157"/>
      <c r="AL121" s="157"/>
      <c r="AM121" s="157"/>
      <c r="AN121" s="157"/>
      <c r="AO121" s="157"/>
      <c r="AP121" s="157"/>
      <c r="AQ121" s="157"/>
      <c r="AR121" s="157"/>
      <c r="AS121" s="157"/>
      <c r="AT121" s="157"/>
    </row>
    <row r="122" spans="5:46" s="257" customFormat="1" hidden="1">
      <c r="E122" s="324"/>
      <c r="F122" s="325"/>
      <c r="G122" s="157"/>
      <c r="H122" s="325"/>
      <c r="I122" s="161"/>
      <c r="J122" s="326"/>
      <c r="L122" s="325"/>
      <c r="M122" s="401"/>
      <c r="N122" s="401"/>
      <c r="O122" s="157"/>
      <c r="P122" s="157"/>
      <c r="Q122" s="157"/>
      <c r="R122" s="157"/>
      <c r="S122" s="157"/>
      <c r="T122" s="157"/>
      <c r="U122" s="157"/>
      <c r="V122" s="157"/>
      <c r="W122" s="157"/>
      <c r="X122" s="157"/>
      <c r="Y122" s="157"/>
      <c r="Z122" s="741"/>
      <c r="AA122" s="157"/>
      <c r="AB122" s="157"/>
      <c r="AC122" s="157"/>
      <c r="AD122" s="157"/>
      <c r="AE122" s="157"/>
      <c r="AF122" s="157"/>
      <c r="AG122" s="157"/>
      <c r="AH122" s="157"/>
      <c r="AI122" s="157"/>
      <c r="AJ122" s="157"/>
      <c r="AK122" s="157"/>
      <c r="AL122" s="157"/>
      <c r="AM122" s="157"/>
      <c r="AN122" s="157"/>
      <c r="AO122" s="157"/>
      <c r="AP122" s="157"/>
      <c r="AQ122" s="157"/>
      <c r="AR122" s="157"/>
      <c r="AS122" s="157"/>
      <c r="AT122" s="157"/>
    </row>
    <row r="123" spans="5:46" s="257" customFormat="1" hidden="1">
      <c r="E123" s="324"/>
      <c r="F123" s="325"/>
      <c r="G123" s="157"/>
      <c r="H123" s="325"/>
      <c r="I123" s="161"/>
      <c r="J123" s="326"/>
      <c r="L123" s="325"/>
      <c r="M123" s="401"/>
      <c r="N123" s="401"/>
      <c r="O123" s="157"/>
      <c r="P123" s="157"/>
      <c r="Q123" s="157"/>
      <c r="R123" s="157"/>
      <c r="S123" s="157"/>
      <c r="T123" s="157"/>
      <c r="U123" s="157"/>
      <c r="V123" s="157"/>
      <c r="W123" s="157"/>
      <c r="X123" s="157"/>
      <c r="Y123" s="157"/>
      <c r="Z123" s="741"/>
      <c r="AA123" s="157"/>
      <c r="AB123" s="157"/>
      <c r="AC123" s="157"/>
      <c r="AD123" s="157"/>
      <c r="AE123" s="157"/>
      <c r="AF123" s="157"/>
      <c r="AG123" s="157"/>
      <c r="AH123" s="157"/>
      <c r="AI123" s="157"/>
      <c r="AJ123" s="157"/>
      <c r="AK123" s="157"/>
      <c r="AL123" s="157"/>
      <c r="AM123" s="157"/>
      <c r="AN123" s="157"/>
      <c r="AO123" s="157"/>
      <c r="AP123" s="157"/>
      <c r="AQ123" s="157"/>
      <c r="AR123" s="157"/>
      <c r="AS123" s="157"/>
      <c r="AT123" s="157"/>
    </row>
    <row r="124" spans="5:46" s="257" customFormat="1" hidden="1">
      <c r="E124" s="324"/>
      <c r="F124" s="325"/>
      <c r="G124" s="157"/>
      <c r="H124" s="325"/>
      <c r="I124" s="161"/>
      <c r="J124" s="326"/>
      <c r="L124" s="325"/>
      <c r="M124" s="401"/>
      <c r="N124" s="401"/>
      <c r="O124" s="157"/>
      <c r="P124" s="157"/>
      <c r="Q124" s="157"/>
      <c r="R124" s="157"/>
      <c r="S124" s="157"/>
      <c r="T124" s="157"/>
      <c r="U124" s="157"/>
      <c r="V124" s="157"/>
      <c r="W124" s="157"/>
      <c r="X124" s="157"/>
      <c r="Y124" s="157"/>
      <c r="Z124" s="741"/>
      <c r="AA124" s="157"/>
      <c r="AB124" s="157"/>
      <c r="AC124" s="157"/>
      <c r="AD124" s="157"/>
      <c r="AE124" s="157"/>
      <c r="AF124" s="157"/>
      <c r="AG124" s="157"/>
      <c r="AH124" s="157"/>
      <c r="AI124" s="157"/>
      <c r="AJ124" s="157"/>
      <c r="AK124" s="157"/>
      <c r="AL124" s="157"/>
      <c r="AM124" s="157"/>
      <c r="AN124" s="157"/>
      <c r="AO124" s="157"/>
      <c r="AP124" s="157"/>
      <c r="AQ124" s="157"/>
      <c r="AR124" s="157"/>
      <c r="AS124" s="157"/>
      <c r="AT124" s="157"/>
    </row>
    <row r="125" spans="5:46" s="257" customFormat="1" hidden="1">
      <c r="E125" s="324"/>
      <c r="F125" s="325"/>
      <c r="G125" s="157"/>
      <c r="H125" s="325"/>
      <c r="I125" s="161"/>
      <c r="J125" s="326"/>
      <c r="L125" s="325"/>
      <c r="M125" s="401"/>
      <c r="N125" s="401"/>
      <c r="O125" s="157"/>
      <c r="P125" s="157"/>
      <c r="Q125" s="157"/>
      <c r="R125" s="157"/>
      <c r="S125" s="157"/>
      <c r="T125" s="157"/>
      <c r="U125" s="157"/>
      <c r="V125" s="157"/>
      <c r="W125" s="157"/>
      <c r="X125" s="157"/>
      <c r="Y125" s="157"/>
      <c r="Z125" s="741"/>
      <c r="AA125" s="157"/>
      <c r="AB125" s="157"/>
      <c r="AC125" s="157"/>
      <c r="AD125" s="157"/>
      <c r="AE125" s="157"/>
      <c r="AF125" s="157"/>
      <c r="AG125" s="157"/>
      <c r="AH125" s="157"/>
      <c r="AI125" s="157"/>
      <c r="AJ125" s="157"/>
      <c r="AK125" s="157"/>
      <c r="AL125" s="157"/>
      <c r="AM125" s="157"/>
      <c r="AN125" s="157"/>
      <c r="AO125" s="157"/>
      <c r="AP125" s="157"/>
      <c r="AQ125" s="157"/>
      <c r="AR125" s="157"/>
      <c r="AS125" s="157"/>
      <c r="AT125" s="157"/>
    </row>
    <row r="126" spans="5:46" s="257" customFormat="1" hidden="1">
      <c r="E126" s="324"/>
      <c r="F126" s="325"/>
      <c r="G126" s="157"/>
      <c r="H126" s="325"/>
      <c r="I126" s="161"/>
      <c r="J126" s="326"/>
      <c r="L126" s="325"/>
      <c r="M126" s="401"/>
      <c r="N126" s="401"/>
      <c r="O126" s="157"/>
      <c r="P126" s="157"/>
      <c r="Q126" s="157"/>
      <c r="R126" s="157"/>
      <c r="S126" s="157"/>
      <c r="T126" s="157"/>
      <c r="U126" s="157"/>
      <c r="V126" s="157"/>
      <c r="W126" s="157"/>
      <c r="X126" s="157"/>
      <c r="Y126" s="157"/>
      <c r="Z126" s="741"/>
      <c r="AA126" s="157"/>
      <c r="AB126" s="157"/>
      <c r="AC126" s="157"/>
      <c r="AD126" s="157"/>
      <c r="AE126" s="157"/>
      <c r="AF126" s="157"/>
      <c r="AG126" s="157"/>
      <c r="AH126" s="157"/>
      <c r="AI126" s="157"/>
      <c r="AJ126" s="157"/>
      <c r="AK126" s="157"/>
      <c r="AL126" s="157"/>
      <c r="AM126" s="157"/>
      <c r="AN126" s="157"/>
      <c r="AO126" s="157"/>
      <c r="AP126" s="157"/>
      <c r="AQ126" s="157"/>
      <c r="AR126" s="157"/>
      <c r="AS126" s="157"/>
      <c r="AT126" s="157"/>
    </row>
    <row r="127" spans="5:46" s="257" customFormat="1" hidden="1">
      <c r="E127" s="324"/>
      <c r="F127" s="325"/>
      <c r="G127" s="157"/>
      <c r="H127" s="325"/>
      <c r="I127" s="161"/>
      <c r="J127" s="326"/>
      <c r="L127" s="325"/>
      <c r="M127" s="401"/>
      <c r="N127" s="401"/>
      <c r="O127" s="157"/>
      <c r="P127" s="157"/>
      <c r="Q127" s="157"/>
      <c r="R127" s="157"/>
      <c r="S127" s="157"/>
      <c r="T127" s="157"/>
      <c r="U127" s="157"/>
      <c r="V127" s="157"/>
      <c r="W127" s="157"/>
      <c r="X127" s="157"/>
      <c r="Y127" s="157"/>
      <c r="Z127" s="741"/>
      <c r="AA127" s="157"/>
      <c r="AB127" s="157"/>
      <c r="AC127" s="157"/>
      <c r="AD127" s="157"/>
      <c r="AE127" s="157"/>
      <c r="AF127" s="157"/>
      <c r="AG127" s="157"/>
      <c r="AH127" s="157"/>
      <c r="AI127" s="157"/>
      <c r="AJ127" s="157"/>
      <c r="AK127" s="157"/>
      <c r="AL127" s="157"/>
      <c r="AM127" s="157"/>
      <c r="AN127" s="157"/>
      <c r="AO127" s="157"/>
      <c r="AP127" s="157"/>
      <c r="AQ127" s="157"/>
      <c r="AR127" s="157"/>
      <c r="AS127" s="157"/>
      <c r="AT127" s="157"/>
    </row>
    <row r="128" spans="5:46" s="257" customFormat="1" hidden="1">
      <c r="E128" s="324"/>
      <c r="F128" s="325"/>
      <c r="G128" s="157"/>
      <c r="H128" s="325"/>
      <c r="I128" s="161"/>
      <c r="J128" s="326"/>
      <c r="L128" s="325"/>
      <c r="M128" s="401"/>
      <c r="N128" s="401"/>
      <c r="O128" s="157"/>
      <c r="P128" s="157"/>
      <c r="Q128" s="157"/>
      <c r="R128" s="157"/>
      <c r="S128" s="157"/>
      <c r="T128" s="157"/>
      <c r="U128" s="157"/>
      <c r="V128" s="157"/>
      <c r="W128" s="157"/>
      <c r="X128" s="157"/>
      <c r="Y128" s="157"/>
      <c r="Z128" s="741"/>
      <c r="AA128" s="157"/>
      <c r="AB128" s="157"/>
      <c r="AC128" s="157"/>
      <c r="AD128" s="157"/>
      <c r="AE128" s="157"/>
      <c r="AF128" s="157"/>
      <c r="AG128" s="157"/>
      <c r="AH128" s="157"/>
      <c r="AI128" s="157"/>
      <c r="AJ128" s="157"/>
      <c r="AK128" s="157"/>
      <c r="AL128" s="157"/>
      <c r="AM128" s="157"/>
      <c r="AN128" s="157"/>
      <c r="AO128" s="157"/>
      <c r="AP128" s="157"/>
      <c r="AQ128" s="157"/>
      <c r="AR128" s="157"/>
      <c r="AS128" s="157"/>
      <c r="AT128" s="157"/>
    </row>
    <row r="129" spans="5:46" s="257" customFormat="1" hidden="1">
      <c r="E129" s="324"/>
      <c r="F129" s="325"/>
      <c r="G129" s="157"/>
      <c r="H129" s="325"/>
      <c r="I129" s="161"/>
      <c r="J129" s="326"/>
      <c r="L129" s="325"/>
      <c r="M129" s="401"/>
      <c r="N129" s="401"/>
      <c r="O129" s="157"/>
      <c r="P129" s="157"/>
      <c r="Q129" s="157"/>
      <c r="R129" s="157"/>
      <c r="S129" s="157"/>
      <c r="T129" s="157"/>
      <c r="U129" s="157"/>
      <c r="V129" s="157"/>
      <c r="W129" s="157"/>
      <c r="X129" s="157"/>
      <c r="Y129" s="157"/>
      <c r="Z129" s="741"/>
      <c r="AA129" s="157"/>
      <c r="AB129" s="157"/>
      <c r="AC129" s="157"/>
      <c r="AD129" s="157"/>
      <c r="AE129" s="157"/>
      <c r="AF129" s="157"/>
      <c r="AG129" s="157"/>
      <c r="AH129" s="157"/>
      <c r="AI129" s="157"/>
      <c r="AJ129" s="157"/>
      <c r="AK129" s="157"/>
      <c r="AL129" s="157"/>
      <c r="AM129" s="157"/>
      <c r="AN129" s="157"/>
      <c r="AO129" s="157"/>
      <c r="AP129" s="157"/>
      <c r="AQ129" s="157"/>
      <c r="AR129" s="157"/>
      <c r="AS129" s="157"/>
      <c r="AT129" s="157"/>
    </row>
    <row r="130" spans="5:46" s="257" customFormat="1" hidden="1">
      <c r="E130" s="324"/>
      <c r="F130" s="325"/>
      <c r="G130" s="157"/>
      <c r="H130" s="325"/>
      <c r="I130" s="161"/>
      <c r="J130" s="326"/>
      <c r="L130" s="325"/>
      <c r="M130" s="401"/>
      <c r="N130" s="401"/>
      <c r="O130" s="157"/>
      <c r="P130" s="157"/>
      <c r="Q130" s="157"/>
      <c r="R130" s="157"/>
      <c r="S130" s="157"/>
      <c r="T130" s="157"/>
      <c r="U130" s="157"/>
      <c r="V130" s="157"/>
      <c r="W130" s="157"/>
      <c r="X130" s="157"/>
      <c r="Y130" s="157"/>
      <c r="Z130" s="741"/>
      <c r="AA130" s="157"/>
      <c r="AB130" s="157"/>
      <c r="AC130" s="157"/>
      <c r="AD130" s="157"/>
      <c r="AE130" s="157"/>
      <c r="AF130" s="157"/>
      <c r="AG130" s="157"/>
      <c r="AH130" s="157"/>
      <c r="AI130" s="157"/>
      <c r="AJ130" s="157"/>
      <c r="AK130" s="157"/>
      <c r="AL130" s="157"/>
      <c r="AM130" s="157"/>
      <c r="AN130" s="157"/>
      <c r="AO130" s="157"/>
      <c r="AP130" s="157"/>
      <c r="AQ130" s="157"/>
      <c r="AR130" s="157"/>
      <c r="AS130" s="157"/>
      <c r="AT130" s="157"/>
    </row>
    <row r="131" spans="5:46" s="257" customFormat="1" hidden="1">
      <c r="E131" s="324"/>
      <c r="F131" s="325"/>
      <c r="G131" s="157"/>
      <c r="H131" s="325"/>
      <c r="I131" s="161"/>
      <c r="J131" s="326"/>
      <c r="L131" s="325"/>
      <c r="M131" s="401"/>
      <c r="N131" s="401"/>
      <c r="O131" s="157"/>
      <c r="P131" s="157"/>
      <c r="Q131" s="157"/>
      <c r="R131" s="157"/>
      <c r="S131" s="157"/>
      <c r="T131" s="157"/>
      <c r="U131" s="157"/>
      <c r="V131" s="157"/>
      <c r="W131" s="157"/>
      <c r="X131" s="157"/>
      <c r="Y131" s="157"/>
      <c r="Z131" s="741"/>
      <c r="AA131" s="157"/>
      <c r="AB131" s="157"/>
      <c r="AC131" s="157"/>
      <c r="AD131" s="157"/>
      <c r="AE131" s="157"/>
      <c r="AF131" s="157"/>
      <c r="AG131" s="157"/>
      <c r="AH131" s="157"/>
      <c r="AI131" s="157"/>
      <c r="AJ131" s="157"/>
      <c r="AK131" s="157"/>
      <c r="AL131" s="157"/>
      <c r="AM131" s="157"/>
      <c r="AN131" s="157"/>
      <c r="AO131" s="157"/>
      <c r="AP131" s="157"/>
      <c r="AQ131" s="157"/>
      <c r="AR131" s="157"/>
      <c r="AS131" s="157"/>
      <c r="AT131" s="157"/>
    </row>
    <row r="132" spans="5:46" s="257" customFormat="1" hidden="1">
      <c r="E132" s="324"/>
      <c r="F132" s="325"/>
      <c r="G132" s="157"/>
      <c r="H132" s="325"/>
      <c r="I132" s="161"/>
      <c r="J132" s="326"/>
      <c r="L132" s="325"/>
      <c r="M132" s="401"/>
      <c r="N132" s="401"/>
      <c r="O132" s="157"/>
      <c r="P132" s="157"/>
      <c r="Q132" s="157"/>
      <c r="R132" s="157"/>
      <c r="S132" s="157"/>
      <c r="T132" s="157"/>
      <c r="U132" s="157"/>
      <c r="V132" s="157"/>
      <c r="W132" s="157"/>
      <c r="X132" s="157"/>
      <c r="Y132" s="157"/>
      <c r="Z132" s="741"/>
      <c r="AA132" s="157"/>
      <c r="AB132" s="157"/>
      <c r="AC132" s="157"/>
      <c r="AD132" s="157"/>
      <c r="AE132" s="157"/>
      <c r="AF132" s="157"/>
      <c r="AG132" s="157"/>
      <c r="AH132" s="157"/>
      <c r="AI132" s="157"/>
      <c r="AJ132" s="157"/>
      <c r="AK132" s="157"/>
      <c r="AL132" s="157"/>
      <c r="AM132" s="157"/>
      <c r="AN132" s="157"/>
      <c r="AO132" s="157"/>
      <c r="AP132" s="157"/>
      <c r="AQ132" s="157"/>
      <c r="AR132" s="157"/>
      <c r="AS132" s="157"/>
      <c r="AT132" s="157"/>
    </row>
    <row r="133" spans="5:46" s="257" customFormat="1" hidden="1">
      <c r="E133" s="324"/>
      <c r="F133" s="325"/>
      <c r="G133" s="157"/>
      <c r="H133" s="325"/>
      <c r="I133" s="161"/>
      <c r="J133" s="326"/>
      <c r="L133" s="325"/>
      <c r="M133" s="401"/>
      <c r="N133" s="401"/>
      <c r="O133" s="157"/>
      <c r="P133" s="157"/>
      <c r="Q133" s="157"/>
      <c r="R133" s="157"/>
      <c r="S133" s="157"/>
      <c r="T133" s="157"/>
      <c r="U133" s="157"/>
      <c r="V133" s="157"/>
      <c r="W133" s="157"/>
      <c r="X133" s="157"/>
      <c r="Y133" s="157"/>
      <c r="Z133" s="741"/>
      <c r="AA133" s="157"/>
      <c r="AB133" s="157"/>
      <c r="AC133" s="157"/>
      <c r="AD133" s="157"/>
      <c r="AE133" s="157"/>
      <c r="AF133" s="157"/>
      <c r="AG133" s="157"/>
      <c r="AH133" s="157"/>
      <c r="AI133" s="157"/>
      <c r="AJ133" s="157"/>
      <c r="AK133" s="157"/>
      <c r="AL133" s="157"/>
      <c r="AM133" s="157"/>
      <c r="AN133" s="157"/>
      <c r="AO133" s="157"/>
      <c r="AP133" s="157"/>
      <c r="AQ133" s="157"/>
      <c r="AR133" s="157"/>
      <c r="AS133" s="157"/>
      <c r="AT133" s="157"/>
    </row>
    <row r="134" spans="5:46" s="257" customFormat="1" hidden="1">
      <c r="E134" s="324"/>
      <c r="F134" s="325"/>
      <c r="G134" s="157"/>
      <c r="H134" s="325"/>
      <c r="I134" s="161"/>
      <c r="J134" s="326"/>
      <c r="L134" s="325"/>
      <c r="M134" s="401"/>
      <c r="N134" s="401"/>
      <c r="O134" s="157"/>
      <c r="P134" s="157"/>
      <c r="Q134" s="157"/>
      <c r="R134" s="157"/>
      <c r="S134" s="157"/>
      <c r="T134" s="157"/>
      <c r="U134" s="157"/>
      <c r="V134" s="157"/>
      <c r="W134" s="157"/>
      <c r="X134" s="157"/>
      <c r="Y134" s="157"/>
      <c r="Z134" s="741"/>
      <c r="AA134" s="157"/>
      <c r="AB134" s="157"/>
      <c r="AC134" s="157"/>
      <c r="AD134" s="157"/>
      <c r="AE134" s="157"/>
      <c r="AF134" s="157"/>
      <c r="AG134" s="157"/>
      <c r="AH134" s="157"/>
      <c r="AI134" s="157"/>
      <c r="AJ134" s="157"/>
      <c r="AK134" s="157"/>
      <c r="AL134" s="157"/>
      <c r="AM134" s="157"/>
      <c r="AN134" s="157"/>
      <c r="AO134" s="157"/>
      <c r="AP134" s="157"/>
      <c r="AQ134" s="157"/>
      <c r="AR134" s="157"/>
      <c r="AS134" s="157"/>
      <c r="AT134" s="157"/>
    </row>
    <row r="135" spans="5:46" s="257" customFormat="1" hidden="1">
      <c r="E135" s="324"/>
      <c r="F135" s="325"/>
      <c r="G135" s="157"/>
      <c r="H135" s="325"/>
      <c r="I135" s="161"/>
      <c r="J135" s="326"/>
      <c r="L135" s="325"/>
      <c r="M135" s="401"/>
      <c r="N135" s="401"/>
      <c r="O135" s="157"/>
      <c r="P135" s="157"/>
      <c r="Q135" s="157"/>
      <c r="R135" s="157"/>
      <c r="S135" s="157"/>
      <c r="T135" s="157"/>
      <c r="U135" s="157"/>
      <c r="V135" s="157"/>
      <c r="W135" s="157"/>
      <c r="X135" s="157"/>
      <c r="Y135" s="157"/>
      <c r="Z135" s="741"/>
      <c r="AA135" s="157"/>
      <c r="AB135" s="157"/>
      <c r="AC135" s="157"/>
      <c r="AD135" s="157"/>
      <c r="AE135" s="157"/>
      <c r="AF135" s="157"/>
      <c r="AG135" s="157"/>
      <c r="AH135" s="157"/>
      <c r="AI135" s="157"/>
      <c r="AJ135" s="157"/>
      <c r="AK135" s="157"/>
      <c r="AL135" s="157"/>
      <c r="AM135" s="157"/>
      <c r="AN135" s="157"/>
      <c r="AO135" s="157"/>
      <c r="AP135" s="157"/>
      <c r="AQ135" s="157"/>
      <c r="AR135" s="157"/>
      <c r="AS135" s="157"/>
      <c r="AT135" s="157"/>
    </row>
  </sheetData>
  <sheetProtection password="BF31" sheet="1" objects="1" scenarios="1"/>
  <mergeCells count="1">
    <mergeCell ref="H7:J7"/>
  </mergeCells>
  <conditionalFormatting sqref="E10:L59">
    <cfRule type="expression" dxfId="55" priority="2">
      <formula>$B10=1</formula>
    </cfRule>
    <cfRule type="expression" dxfId="54" priority="1">
      <formula>$B10=3</formula>
    </cfRule>
  </conditionalFormatting>
  <pageMargins left="0.55118110236220474" right="0.55118110236220474" top="0.59055118110236227" bottom="0.78740157480314965" header="0.51181102362204722" footer="0.51181102362204722"/>
  <pageSetup paperSize="9" scale="43" orientation="landscape" horizontalDpi="1200" verticalDpi="1200" r:id="rId1"/>
  <headerFooter alignWithMargins="0">
    <oddHeader>&amp;RResultados del Modelo de Reciclaje Inclusivo</oddHeader>
  </headerFooter>
  <drawing r:id="rId2"/>
  <legacyDrawing r:id="rId3"/>
</worksheet>
</file>

<file path=xl/worksheets/sheet19.xml><?xml version="1.0" encoding="utf-8"?>
<worksheet xmlns="http://schemas.openxmlformats.org/spreadsheetml/2006/main" xmlns:r="http://schemas.openxmlformats.org/officeDocument/2006/relationships">
  <sheetPr codeName="Sheet44">
    <pageSetUpPr autoPageBreaks="0" fitToPage="1"/>
  </sheetPr>
  <dimension ref="A1:BC112"/>
  <sheetViews>
    <sheetView showGridLines="0" showRowColHeaders="0" zoomScale="80" zoomScaleNormal="80" workbookViewId="0">
      <pane ySplit="4" topLeftCell="A5" activePane="bottomLeft" state="frozen"/>
      <selection pane="bottomLeft"/>
    </sheetView>
  </sheetViews>
  <sheetFormatPr defaultColWidth="43.7109375" defaultRowHeight="18.75" zeroHeight="1"/>
  <cols>
    <col min="1" max="1" width="2.7109375" style="229" customWidth="1"/>
    <col min="2" max="2" width="3.28515625" style="229" hidden="1" customWidth="1"/>
    <col min="3" max="3" width="100.42578125" style="157" customWidth="1"/>
    <col min="4" max="4" width="50.28515625" style="157" customWidth="1"/>
    <col min="5" max="5" width="50.28515625" style="229" customWidth="1"/>
    <col min="6" max="6" width="3" style="229" customWidth="1"/>
    <col min="7" max="7" width="140.7109375" style="538" customWidth="1"/>
    <col min="8" max="14" width="7.140625" style="229" customWidth="1"/>
    <col min="15" max="16" width="7.140625" style="222" customWidth="1"/>
    <col min="17" max="53" width="7.140625" style="229" customWidth="1"/>
    <col min="54" max="428" width="5.7109375" style="229" customWidth="1"/>
    <col min="429" max="16384" width="43.7109375" style="229"/>
  </cols>
  <sheetData>
    <row r="1" spans="1:55" s="213" customFormat="1" ht="26.1" customHeight="1">
      <c r="A1" s="564" t="str">
        <f>lang!C3</f>
        <v>Reciclaje Inclusivo: Modelo Interactivo de Excel</v>
      </c>
      <c r="B1" s="212"/>
      <c r="C1" s="212"/>
      <c r="D1" s="212"/>
      <c r="E1" s="212"/>
      <c r="F1" s="212"/>
      <c r="G1" s="749"/>
      <c r="H1" s="212"/>
      <c r="I1" s="212"/>
      <c r="J1" s="212"/>
      <c r="K1" s="212"/>
      <c r="L1" s="212"/>
      <c r="M1" s="212"/>
      <c r="Q1" s="212"/>
      <c r="S1" s="214"/>
      <c r="T1" s="214"/>
      <c r="W1" s="214"/>
      <c r="BA1" s="329">
        <v>3</v>
      </c>
      <c r="BB1" s="329">
        <v>2</v>
      </c>
      <c r="BC1" s="329">
        <v>0</v>
      </c>
    </row>
    <row r="2" spans="1:55" s="213" customFormat="1" ht="30" customHeight="1">
      <c r="A2" s="211"/>
      <c r="B2" s="212"/>
      <c r="C2" s="212"/>
      <c r="D2" s="212"/>
      <c r="E2" s="212"/>
      <c r="F2" s="212"/>
      <c r="G2" s="749"/>
      <c r="H2" s="212"/>
      <c r="I2" s="212"/>
      <c r="J2" s="212"/>
      <c r="K2" s="212"/>
      <c r="L2" s="212"/>
      <c r="M2" s="212"/>
      <c r="Q2" s="212"/>
      <c r="S2" s="214"/>
      <c r="T2" s="214"/>
      <c r="W2" s="214"/>
      <c r="BB2" s="329"/>
      <c r="BC2" s="329"/>
    </row>
    <row r="3" spans="1:55" s="214" customFormat="1" ht="64.5" customHeight="1">
      <c r="A3" s="215"/>
      <c r="B3" s="215"/>
      <c r="C3" s="215"/>
      <c r="D3" s="215"/>
      <c r="E3" s="215"/>
      <c r="F3" s="215"/>
      <c r="G3" s="750"/>
      <c r="H3" s="215"/>
      <c r="I3" s="215"/>
      <c r="J3" s="215"/>
      <c r="K3" s="215"/>
      <c r="L3" s="215"/>
      <c r="M3" s="215"/>
      <c r="Q3" s="215"/>
    </row>
    <row r="4" spans="1:55" customFormat="1" ht="15" hidden="1" customHeight="1">
      <c r="A4" s="28"/>
      <c r="C4" s="257"/>
      <c r="D4" s="257"/>
      <c r="E4" s="229"/>
      <c r="F4" s="28"/>
      <c r="G4" s="538"/>
    </row>
    <row r="5" spans="1:55" customFormat="1" ht="23.25" customHeight="1">
      <c r="A5" s="28"/>
      <c r="C5" s="537" t="str">
        <f ca="1">iCity_Description!C2&amp;", "&amp;iCity_Description!F2</f>
        <v>Asunción,  Paraguay</v>
      </c>
      <c r="D5" s="537"/>
      <c r="F5" s="28"/>
      <c r="G5" s="538"/>
    </row>
    <row r="6" spans="1:55" s="28" customFormat="1" ht="23.25" hidden="1" customHeight="1">
      <c r="C6" s="537"/>
      <c r="D6" s="537"/>
      <c r="G6" s="538"/>
    </row>
    <row r="7" spans="1:55" customFormat="1" ht="11.25" customHeight="1">
      <c r="A7" s="28"/>
      <c r="C7" s="257"/>
      <c r="D7" s="257"/>
      <c r="F7" s="28"/>
      <c r="G7" s="538"/>
    </row>
    <row r="8" spans="1:55" s="567" customFormat="1">
      <c r="B8" s="567">
        <f t="shared" ref="B8:B21" si="0">IF(C8="",0,1)</f>
        <v>1</v>
      </c>
      <c r="C8" s="728" t="s">
        <v>2152</v>
      </c>
      <c r="D8" s="728"/>
      <c r="E8" s="729"/>
      <c r="F8" s="730"/>
      <c r="G8" s="568" t="str">
        <f t="shared" ref="G8:G21" si="1">C8</f>
        <v>Pregunta:</v>
      </c>
      <c r="H8" s="730"/>
      <c r="I8" s="730"/>
      <c r="J8" s="730"/>
      <c r="K8" s="730"/>
      <c r="L8" s="730"/>
      <c r="M8" s="730"/>
      <c r="N8" s="730"/>
      <c r="O8" s="730"/>
      <c r="P8" s="730"/>
      <c r="Q8" s="730"/>
      <c r="R8" s="730"/>
      <c r="S8" s="730"/>
      <c r="T8" s="730"/>
      <c r="U8" s="730"/>
      <c r="V8" s="730"/>
      <c r="W8" s="730"/>
      <c r="X8" s="730"/>
      <c r="Y8" s="730"/>
      <c r="Z8" s="730"/>
      <c r="AA8" s="730"/>
      <c r="AB8" s="730"/>
      <c r="AC8" s="730"/>
      <c r="AD8" s="730"/>
      <c r="AE8" s="730"/>
      <c r="AF8" s="730"/>
      <c r="AG8" s="730"/>
      <c r="AH8" s="730"/>
    </row>
    <row r="9" spans="1:55" s="535" customFormat="1" ht="37.5">
      <c r="B9" s="535">
        <f t="shared" si="0"/>
        <v>1</v>
      </c>
      <c r="C9" s="789" t="str">
        <f>iCity_Description!D3</f>
        <v>1.1.1) 1.¿ Existe un marco legal nacional para la gestión de residuos orientado al reciclaje con la inclusión de actores informales?</v>
      </c>
      <c r="D9" s="789"/>
      <c r="E9" s="789"/>
      <c r="G9" s="538" t="str">
        <f t="shared" si="1"/>
        <v>1.1.1) 1.¿ Existe un marco legal nacional para la gestión de residuos orientado al reciclaje con la inclusión de actores informales?</v>
      </c>
    </row>
    <row r="10" spans="1:55" customFormat="1" hidden="1">
      <c r="A10" s="28"/>
      <c r="B10" s="28">
        <v>0</v>
      </c>
      <c r="C10" s="257"/>
      <c r="D10" s="257"/>
      <c r="F10" s="28"/>
      <c r="G10" s="538">
        <f t="shared" si="1"/>
        <v>0</v>
      </c>
    </row>
    <row r="11" spans="1:55" s="567" customFormat="1">
      <c r="B11" s="567">
        <f t="shared" si="0"/>
        <v>1</v>
      </c>
      <c r="C11" s="728" t="s">
        <v>2171</v>
      </c>
      <c r="D11" s="728"/>
      <c r="E11" s="731"/>
      <c r="G11" s="568" t="str">
        <f t="shared" si="1"/>
        <v>Opciones:</v>
      </c>
    </row>
    <row r="12" spans="1:55" s="28" customFormat="1" ht="116.25">
      <c r="B12" s="28">
        <f t="shared" si="0"/>
        <v>1</v>
      </c>
      <c r="C12" s="515" t="str">
        <f>iCity_Description!B10</f>
        <v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v>
      </c>
      <c r="D12" s="660"/>
      <c r="G12" s="751" t="str">
        <f t="shared" si="1"/>
        <v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v>
      </c>
    </row>
    <row r="13" spans="1:55" s="28" customFormat="1" hidden="1">
      <c r="B13" s="28">
        <v>0</v>
      </c>
      <c r="C13" s="257"/>
      <c r="D13" s="257"/>
      <c r="G13" s="538">
        <f t="shared" si="1"/>
        <v>0</v>
      </c>
    </row>
    <row r="14" spans="1:55" s="567" customFormat="1">
      <c r="B14" s="567">
        <f t="shared" si="0"/>
        <v>1</v>
      </c>
      <c r="C14" s="728" t="s">
        <v>2172</v>
      </c>
      <c r="D14" s="728" t="s">
        <v>2153</v>
      </c>
      <c r="E14" s="728" t="s">
        <v>2438</v>
      </c>
      <c r="G14" s="568" t="str">
        <f t="shared" si="1"/>
        <v>Puntos 2016:</v>
      </c>
    </row>
    <row r="15" spans="1:55" s="567" customFormat="1">
      <c r="B15" s="567">
        <f t="shared" si="0"/>
        <v>1</v>
      </c>
      <c r="C15" s="727">
        <f>iCity_Description!B11</f>
        <v>0</v>
      </c>
      <c r="D15" s="727">
        <f ca="1">iCity_Description!B12</f>
        <v>0</v>
      </c>
      <c r="E15" s="727">
        <f ca="1">iCity_Description!B13</f>
        <v>37.5</v>
      </c>
      <c r="G15" s="568">
        <f t="shared" si="1"/>
        <v>0</v>
      </c>
    </row>
    <row r="16" spans="1:55" customFormat="1" hidden="1">
      <c r="A16" s="28"/>
      <c r="B16" s="28">
        <v>0</v>
      </c>
      <c r="C16" s="257"/>
      <c r="D16" s="257"/>
      <c r="F16" s="28"/>
      <c r="G16" s="538">
        <f t="shared" si="1"/>
        <v>0</v>
      </c>
    </row>
    <row r="17" spans="1:7" s="567" customFormat="1">
      <c r="B17" s="567">
        <f t="shared" si="0"/>
        <v>1</v>
      </c>
      <c r="C17" s="728" t="s">
        <v>2154</v>
      </c>
      <c r="D17" s="728"/>
      <c r="E17" s="731"/>
      <c r="G17" s="568" t="str">
        <f t="shared" si="1"/>
        <v>Justificación Texto 2016:</v>
      </c>
    </row>
    <row r="18" spans="1:7" s="535" customFormat="1" ht="180">
      <c r="B18" s="28">
        <f t="shared" si="0"/>
        <v>1</v>
      </c>
      <c r="C18" s="792" t="str">
        <f>iCity_Description!B14</f>
        <v xml:space="preserve">La Ley Nº 3956 de 2009 sobre Gestión Integral de los Residuos Sólidos establece el régimen jurídico para la producción y gestión responsable de los residuos sólidos. Si bien la ley en el Artículo 23 reconoce y menciona el reciclaje, lo hace de manera general y no contempla la inclusión de los actores informales. La Ley solo reconoce como “sistemas de aprovechamiento”, el reciclaje, la recuperación, la reducción, el compostaje, la lombricultura y otros que la tecnología desarrolle y tenga habilitación de las autoridades competentes" dejando de lado cualquier mención relacionada a los recicladores informales.  [1,2]
 </v>
      </c>
      <c r="D18" s="792"/>
      <c r="E18" s="792"/>
      <c r="G18" s="732" t="str">
        <f t="shared" si="1"/>
        <v xml:space="preserve">La Ley Nº 3956 de 2009 sobre Gestión Integral de los Residuos Sólidos establece el régimen jurídico para la producción y gestión responsable de los residuos sólidos. Si bien la ley en el Artículo 23 reconoce y menciona el reciclaje, lo hace de manera general y no contempla la inclusión de los actores informales. La Ley solo reconoce como “sistemas de aprovechamiento”, el reciclaje, la recuperación, la reducción, el compostaje, la lombricultura y otros que la tecnología desarrolle y tenga habilitación de las autoridades competentes" dejando de lado cualquier mención relacionada a los recicladores informales.  [1,2]
 </v>
      </c>
    </row>
    <row r="19" spans="1:7" customFormat="1" hidden="1">
      <c r="A19" s="28"/>
      <c r="B19" s="28">
        <v>0</v>
      </c>
      <c r="C19" s="257"/>
      <c r="D19" s="257"/>
      <c r="F19" s="28"/>
      <c r="G19" s="538">
        <f t="shared" si="1"/>
        <v>0</v>
      </c>
    </row>
    <row r="20" spans="1:7" s="567" customFormat="1">
      <c r="B20" s="567">
        <f t="shared" si="0"/>
        <v>1</v>
      </c>
      <c r="C20" s="728" t="s">
        <v>2155</v>
      </c>
      <c r="D20" s="728"/>
      <c r="E20" s="731"/>
      <c r="G20" s="568" t="str">
        <f t="shared" si="1"/>
        <v>Referencias 2016:</v>
      </c>
    </row>
    <row r="21" spans="1:7" customFormat="1" ht="93.75">
      <c r="A21" s="28"/>
      <c r="B21" s="28">
        <f t="shared" si="0"/>
        <v>1</v>
      </c>
      <c r="C21" s="792" t="str">
        <f>iCity_Description!B15</f>
        <v>[1] Congreso de la Nación Paraguaya, "LEY Nº 3956
GESTIÓN  INTEGRAL DE LOS RESIDUOS SÓLIDOS EN LA REPÚBLICA DEL PARAGUAY" publicada el 28 de Diciembre de 2009 [http://www.bacn.gov.py/MzIwOA==&amp;ley-n-3956] 
[2] Flores, Laura Emilce. Dirección General de Salud Ambiental, Ministerio de Salud Publica y Bienestar Social. 8 de Septiembre de 2016</v>
      </c>
      <c r="D21" s="792"/>
      <c r="E21" s="792"/>
      <c r="F21" s="28"/>
      <c r="G21" s="538" t="str">
        <f t="shared" si="1"/>
        <v>[1] Congreso de la Nación Paraguaya, "LEY Nº 3956
GESTIÓN  INTEGRAL DE LOS RESIDUOS SÓLIDOS EN LA REPÚBLICA DEL PARAGUAY" publicada el 28 de Diciembre de 2009 [http://www.bacn.gov.py/MzIwOA==&amp;ley-n-3956] 
[2] Flores, Laura Emilce. Dirección General de Salud Ambiental, Ministerio de Salud Publica y Bienestar Social. 8 de Septiembre de 2016</v>
      </c>
    </row>
    <row r="22" spans="1:7" customFormat="1">
      <c r="A22" s="28"/>
      <c r="C22" s="257"/>
      <c r="D22" s="257"/>
      <c r="F22" s="28"/>
      <c r="G22" s="538"/>
    </row>
    <row r="23" spans="1:7" customFormat="1" ht="15" hidden="1" customHeight="1">
      <c r="A23" s="28"/>
      <c r="C23" s="257"/>
      <c r="D23" s="257"/>
      <c r="F23" s="28"/>
      <c r="G23" s="538"/>
    </row>
    <row r="24" spans="1:7" customFormat="1" ht="15" hidden="1" customHeight="1">
      <c r="A24" s="28"/>
      <c r="C24" s="257"/>
      <c r="D24" s="257"/>
      <c r="F24" s="28"/>
      <c r="G24" s="538"/>
    </row>
    <row r="25" spans="1:7" customFormat="1" ht="15" hidden="1" customHeight="1">
      <c r="A25" s="28"/>
      <c r="C25" s="257"/>
      <c r="D25" s="257"/>
      <c r="F25" s="28"/>
      <c r="G25" s="538"/>
    </row>
    <row r="26" spans="1:7" customFormat="1" ht="15" hidden="1" customHeight="1">
      <c r="A26" s="28"/>
      <c r="C26" s="257"/>
      <c r="D26" s="257"/>
      <c r="F26" s="28"/>
      <c r="G26" s="538"/>
    </row>
    <row r="27" spans="1:7" customFormat="1" ht="15" hidden="1" customHeight="1">
      <c r="A27" s="28"/>
      <c r="C27" s="257"/>
      <c r="D27" s="257"/>
      <c r="F27" s="28"/>
      <c r="G27" s="538"/>
    </row>
    <row r="28" spans="1:7" customFormat="1" ht="15" hidden="1" customHeight="1">
      <c r="A28" s="28"/>
      <c r="C28" s="257"/>
      <c r="D28" s="257"/>
      <c r="F28" s="28"/>
      <c r="G28" s="538"/>
    </row>
    <row r="29" spans="1:7" customFormat="1" ht="15" hidden="1" customHeight="1">
      <c r="A29" s="28"/>
      <c r="C29" s="257"/>
      <c r="D29" s="257"/>
      <c r="F29" s="28"/>
      <c r="G29" s="538"/>
    </row>
    <row r="30" spans="1:7" customFormat="1" ht="15" hidden="1" customHeight="1">
      <c r="A30" s="28"/>
      <c r="C30" s="257"/>
      <c r="D30" s="257"/>
      <c r="F30" s="28"/>
      <c r="G30" s="538"/>
    </row>
    <row r="31" spans="1:7" customFormat="1" ht="15" hidden="1" customHeight="1">
      <c r="A31" s="28"/>
      <c r="C31" s="257"/>
      <c r="D31" s="257"/>
      <c r="F31" s="28"/>
      <c r="G31" s="538"/>
    </row>
    <row r="32" spans="1:7" customFormat="1" ht="15" hidden="1" customHeight="1">
      <c r="A32" s="28"/>
      <c r="C32" s="257"/>
      <c r="D32" s="257"/>
      <c r="F32" s="28"/>
      <c r="G32" s="538"/>
    </row>
    <row r="33" spans="1:7" customFormat="1" ht="15" hidden="1" customHeight="1">
      <c r="A33" s="28"/>
      <c r="C33" s="257"/>
      <c r="D33" s="257"/>
      <c r="F33" s="28"/>
      <c r="G33" s="538"/>
    </row>
    <row r="34" spans="1:7" customFormat="1" ht="15" hidden="1" customHeight="1">
      <c r="A34" s="28"/>
      <c r="C34" s="257"/>
      <c r="D34" s="257"/>
      <c r="F34" s="28"/>
      <c r="G34" s="538"/>
    </row>
    <row r="35" spans="1:7" customFormat="1" ht="15" hidden="1" customHeight="1">
      <c r="A35" s="28"/>
      <c r="C35" s="257"/>
      <c r="D35" s="257"/>
      <c r="F35" s="28"/>
      <c r="G35" s="538"/>
    </row>
    <row r="36" spans="1:7" customFormat="1" ht="15" hidden="1" customHeight="1">
      <c r="A36" s="28"/>
      <c r="C36" s="257"/>
      <c r="D36" s="257"/>
      <c r="F36" s="28"/>
      <c r="G36" s="538"/>
    </row>
    <row r="37" spans="1:7" customFormat="1" ht="15" hidden="1" customHeight="1">
      <c r="A37" s="28"/>
      <c r="C37" s="257"/>
      <c r="D37" s="257"/>
      <c r="F37" s="28"/>
      <c r="G37" s="538"/>
    </row>
    <row r="38" spans="1:7" customFormat="1" ht="15" hidden="1" customHeight="1">
      <c r="A38" s="28"/>
      <c r="C38" s="257"/>
      <c r="D38" s="257"/>
      <c r="F38" s="28"/>
      <c r="G38" s="538"/>
    </row>
    <row r="39" spans="1:7" customFormat="1" ht="15" hidden="1" customHeight="1">
      <c r="A39" s="28"/>
      <c r="C39" s="257"/>
      <c r="D39" s="257"/>
      <c r="F39" s="28"/>
      <c r="G39" s="538"/>
    </row>
    <row r="40" spans="1:7" customFormat="1" ht="15" hidden="1" customHeight="1">
      <c r="A40" s="28"/>
      <c r="C40" s="257"/>
      <c r="D40" s="257"/>
      <c r="F40" s="28"/>
      <c r="G40" s="538"/>
    </row>
    <row r="41" spans="1:7" customFormat="1" ht="15" hidden="1" customHeight="1">
      <c r="A41" s="28"/>
      <c r="C41" s="257"/>
      <c r="D41" s="257"/>
      <c r="F41" s="28"/>
      <c r="G41" s="538"/>
    </row>
    <row r="42" spans="1:7" customFormat="1" ht="15" hidden="1" customHeight="1">
      <c r="A42" s="28"/>
      <c r="C42" s="257"/>
      <c r="D42" s="257"/>
      <c r="F42" s="28"/>
      <c r="G42" s="538"/>
    </row>
    <row r="43" spans="1:7" customFormat="1" ht="15" hidden="1" customHeight="1">
      <c r="A43" s="28"/>
      <c r="C43" s="257"/>
      <c r="D43" s="257"/>
      <c r="F43" s="28"/>
      <c r="G43" s="538"/>
    </row>
    <row r="44" spans="1:7" customFormat="1" hidden="1">
      <c r="A44" s="28"/>
      <c r="C44" s="257"/>
      <c r="D44" s="257"/>
      <c r="F44" s="28"/>
      <c r="G44" s="538"/>
    </row>
    <row r="45" spans="1:7" customFormat="1" hidden="1">
      <c r="A45" s="28"/>
      <c r="C45" s="257"/>
      <c r="D45" s="257"/>
      <c r="F45" s="28"/>
      <c r="G45" s="538"/>
    </row>
    <row r="46" spans="1:7" customFormat="1" hidden="1">
      <c r="A46" s="28"/>
      <c r="C46" s="257"/>
      <c r="D46" s="257"/>
      <c r="F46" s="28"/>
      <c r="G46" s="538"/>
    </row>
    <row r="47" spans="1:7" customFormat="1" hidden="1">
      <c r="A47" s="28"/>
      <c r="C47" s="257"/>
      <c r="D47" s="257"/>
      <c r="F47" s="28"/>
      <c r="G47" s="538"/>
    </row>
    <row r="48" spans="1:7" customFormat="1" hidden="1">
      <c r="A48" s="28"/>
      <c r="C48" s="257"/>
      <c r="D48" s="257"/>
      <c r="F48" s="28"/>
      <c r="G48" s="538"/>
    </row>
    <row r="49" spans="1:7" customFormat="1" hidden="1">
      <c r="A49" s="28"/>
      <c r="C49" s="257"/>
      <c r="D49" s="257"/>
      <c r="F49" s="28"/>
      <c r="G49" s="538"/>
    </row>
    <row r="50" spans="1:7" customFormat="1" hidden="1">
      <c r="A50" s="28"/>
      <c r="C50" s="257"/>
      <c r="D50" s="257"/>
      <c r="F50" s="28"/>
      <c r="G50" s="538"/>
    </row>
    <row r="51" spans="1:7" customFormat="1" hidden="1">
      <c r="A51" s="28"/>
      <c r="C51" s="257"/>
      <c r="D51" s="257"/>
      <c r="F51" s="28"/>
      <c r="G51" s="538"/>
    </row>
    <row r="52" spans="1:7" customFormat="1" hidden="1">
      <c r="A52" s="28"/>
      <c r="C52" s="257"/>
      <c r="D52" s="257"/>
      <c r="F52" s="28"/>
      <c r="G52" s="538"/>
    </row>
    <row r="53" spans="1:7" customFormat="1" hidden="1">
      <c r="A53" s="28"/>
      <c r="C53" s="257"/>
      <c r="D53" s="257"/>
      <c r="F53" s="28"/>
      <c r="G53" s="538"/>
    </row>
    <row r="54" spans="1:7" customFormat="1" hidden="1">
      <c r="A54" s="28"/>
      <c r="C54" s="257"/>
      <c r="D54" s="257"/>
      <c r="F54" s="28"/>
      <c r="G54" s="538"/>
    </row>
    <row r="55" spans="1:7" customFormat="1" hidden="1">
      <c r="A55" s="28"/>
      <c r="C55" s="257"/>
      <c r="D55" s="257"/>
      <c r="F55" s="28"/>
      <c r="G55" s="538"/>
    </row>
    <row r="56" spans="1:7" customFormat="1" hidden="1">
      <c r="A56" s="28"/>
      <c r="C56" s="257"/>
      <c r="D56" s="257"/>
      <c r="F56" s="28"/>
      <c r="G56" s="538"/>
    </row>
    <row r="57" spans="1:7" customFormat="1" hidden="1">
      <c r="A57" s="28"/>
      <c r="C57" s="257"/>
      <c r="D57" s="257"/>
      <c r="F57" s="28"/>
      <c r="G57" s="538"/>
    </row>
    <row r="58" spans="1:7" customFormat="1" hidden="1">
      <c r="A58" s="28"/>
      <c r="C58" s="257"/>
      <c r="D58" s="257"/>
      <c r="F58" s="28"/>
      <c r="G58" s="538"/>
    </row>
    <row r="59" spans="1:7" customFormat="1" hidden="1">
      <c r="A59" s="28"/>
      <c r="C59" s="257"/>
      <c r="D59" s="257"/>
      <c r="F59" s="28"/>
      <c r="G59" s="538"/>
    </row>
    <row r="60" spans="1:7" customFormat="1" hidden="1">
      <c r="A60" s="28"/>
      <c r="C60" s="257"/>
      <c r="D60" s="257"/>
      <c r="F60" s="28"/>
      <c r="G60" s="538"/>
    </row>
    <row r="61" spans="1:7" customFormat="1" hidden="1">
      <c r="A61" s="28"/>
      <c r="C61" s="257"/>
      <c r="D61" s="257"/>
      <c r="F61" s="28"/>
      <c r="G61" s="538"/>
    </row>
    <row r="62" spans="1:7" customFormat="1" hidden="1">
      <c r="A62" s="28"/>
      <c r="C62" s="257"/>
      <c r="D62" s="257"/>
      <c r="F62" s="28"/>
      <c r="G62" s="538"/>
    </row>
    <row r="63" spans="1:7" customFormat="1" hidden="1">
      <c r="A63" s="28"/>
      <c r="C63" s="257"/>
      <c r="D63" s="257"/>
      <c r="F63" s="28"/>
      <c r="G63" s="538"/>
    </row>
    <row r="64" spans="1:7" customFormat="1" hidden="1">
      <c r="A64" s="28"/>
      <c r="C64" s="257"/>
      <c r="D64" s="257"/>
      <c r="F64" s="28"/>
      <c r="G64" s="538"/>
    </row>
    <row r="65" spans="1:7" customFormat="1" hidden="1">
      <c r="A65" s="28"/>
      <c r="C65" s="257"/>
      <c r="D65" s="257"/>
      <c r="F65" s="28"/>
      <c r="G65" s="538"/>
    </row>
    <row r="66" spans="1:7" customFormat="1" hidden="1">
      <c r="A66" s="28"/>
      <c r="C66" s="257"/>
      <c r="D66" s="257"/>
      <c r="F66" s="28"/>
      <c r="G66" s="538"/>
    </row>
    <row r="67" spans="1:7" customFormat="1" hidden="1">
      <c r="A67" s="28"/>
      <c r="C67" s="257"/>
      <c r="D67" s="257"/>
      <c r="F67" s="28"/>
      <c r="G67" s="538"/>
    </row>
    <row r="68" spans="1:7" customFormat="1" hidden="1">
      <c r="A68" s="28"/>
      <c r="C68" s="257"/>
      <c r="D68" s="257"/>
      <c r="F68" s="28"/>
      <c r="G68" s="538"/>
    </row>
    <row r="69" spans="1:7" customFormat="1" hidden="1">
      <c r="A69" s="28"/>
      <c r="C69" s="257"/>
      <c r="D69" s="257"/>
      <c r="F69" s="28"/>
      <c r="G69" s="538"/>
    </row>
    <row r="70" spans="1:7" customFormat="1" hidden="1">
      <c r="A70" s="28"/>
      <c r="C70" s="257"/>
      <c r="D70" s="257"/>
      <c r="F70" s="28"/>
      <c r="G70" s="538"/>
    </row>
    <row r="71" spans="1:7" customFormat="1" hidden="1">
      <c r="A71" s="28"/>
      <c r="C71" s="257"/>
      <c r="D71" s="257"/>
      <c r="F71" s="28"/>
      <c r="G71" s="538"/>
    </row>
    <row r="72" spans="1:7" customFormat="1" hidden="1">
      <c r="A72" s="28"/>
      <c r="C72" s="257"/>
      <c r="D72" s="257"/>
      <c r="F72" s="28"/>
      <c r="G72" s="538"/>
    </row>
    <row r="73" spans="1:7" customFormat="1" hidden="1">
      <c r="A73" s="28"/>
      <c r="C73" s="257"/>
      <c r="D73" s="257"/>
      <c r="F73" s="28"/>
      <c r="G73" s="538"/>
    </row>
    <row r="74" spans="1:7" customFormat="1" hidden="1">
      <c r="A74" s="28"/>
      <c r="C74" s="257"/>
      <c r="D74" s="257"/>
      <c r="F74" s="28"/>
      <c r="G74" s="538"/>
    </row>
    <row r="75" spans="1:7" customFormat="1" hidden="1">
      <c r="A75" s="28"/>
      <c r="C75" s="257"/>
      <c r="D75" s="257"/>
      <c r="F75" s="28"/>
      <c r="G75" s="538"/>
    </row>
    <row r="76" spans="1:7" customFormat="1" hidden="1">
      <c r="A76" s="28"/>
      <c r="C76" s="257"/>
      <c r="D76" s="257"/>
      <c r="F76" s="28"/>
      <c r="G76" s="538"/>
    </row>
    <row r="77" spans="1:7" customFormat="1" hidden="1">
      <c r="A77" s="28"/>
      <c r="C77" s="257"/>
      <c r="D77" s="257"/>
      <c r="F77" s="28"/>
      <c r="G77" s="538"/>
    </row>
    <row r="78" spans="1:7" customFormat="1" hidden="1">
      <c r="A78" s="28"/>
      <c r="C78" s="257"/>
      <c r="D78" s="257"/>
      <c r="F78" s="28"/>
      <c r="G78" s="538"/>
    </row>
    <row r="79" spans="1:7" customFormat="1" hidden="1">
      <c r="A79" s="28"/>
      <c r="C79" s="257"/>
      <c r="D79" s="257"/>
      <c r="F79" s="28"/>
      <c r="G79" s="538"/>
    </row>
    <row r="80" spans="1:7" customFormat="1" hidden="1">
      <c r="A80" s="28"/>
      <c r="C80" s="257"/>
      <c r="D80" s="257"/>
      <c r="F80" s="28"/>
      <c r="G80" s="538"/>
    </row>
    <row r="81" spans="1:7" customFormat="1" hidden="1">
      <c r="A81" s="28"/>
      <c r="C81" s="257"/>
      <c r="D81" s="257"/>
      <c r="F81" s="28"/>
      <c r="G81" s="538"/>
    </row>
    <row r="82" spans="1:7" customFormat="1" hidden="1">
      <c r="A82" s="28"/>
      <c r="C82" s="257"/>
      <c r="D82" s="257"/>
      <c r="F82" s="28"/>
      <c r="G82" s="538"/>
    </row>
    <row r="83" spans="1:7" customFormat="1" hidden="1">
      <c r="A83" s="28"/>
      <c r="C83" s="257"/>
      <c r="D83" s="257"/>
      <c r="F83" s="28"/>
      <c r="G83" s="538"/>
    </row>
    <row r="84" spans="1:7" customFormat="1" hidden="1">
      <c r="A84" s="28"/>
      <c r="C84" s="257"/>
      <c r="D84" s="257"/>
      <c r="F84" s="28"/>
      <c r="G84" s="538"/>
    </row>
    <row r="85" spans="1:7" customFormat="1" hidden="1">
      <c r="A85" s="28"/>
      <c r="C85" s="257"/>
      <c r="D85" s="257"/>
      <c r="F85" s="28"/>
      <c r="G85" s="538"/>
    </row>
    <row r="86" spans="1:7" customFormat="1" hidden="1">
      <c r="A86" s="28"/>
      <c r="C86" s="257"/>
      <c r="D86" s="257"/>
      <c r="F86" s="28"/>
      <c r="G86" s="538"/>
    </row>
    <row r="87" spans="1:7" customFormat="1" hidden="1">
      <c r="A87" s="28"/>
      <c r="C87" s="257"/>
      <c r="D87" s="257"/>
      <c r="F87" s="28"/>
      <c r="G87" s="538"/>
    </row>
    <row r="88" spans="1:7" customFormat="1" hidden="1">
      <c r="A88" s="28"/>
      <c r="C88" s="257"/>
      <c r="D88" s="257"/>
      <c r="F88" s="28"/>
      <c r="G88" s="538"/>
    </row>
    <row r="89" spans="1:7" customFormat="1" hidden="1">
      <c r="A89" s="28"/>
      <c r="C89" s="257"/>
      <c r="D89" s="257"/>
      <c r="F89" s="28"/>
      <c r="G89" s="538"/>
    </row>
    <row r="90" spans="1:7" customFormat="1" hidden="1">
      <c r="A90" s="28"/>
      <c r="C90" s="257"/>
      <c r="D90" s="257"/>
      <c r="F90" s="28"/>
      <c r="G90" s="538"/>
    </row>
    <row r="91" spans="1:7" customFormat="1" hidden="1">
      <c r="A91" s="28"/>
      <c r="C91" s="257"/>
      <c r="D91" s="257"/>
      <c r="F91" s="28"/>
      <c r="G91" s="538"/>
    </row>
    <row r="92" spans="1:7" customFormat="1" hidden="1">
      <c r="A92" s="28"/>
      <c r="C92" s="257"/>
      <c r="D92" s="257"/>
      <c r="F92" s="28"/>
      <c r="G92" s="538"/>
    </row>
    <row r="93" spans="1:7" customFormat="1" hidden="1">
      <c r="A93" s="28"/>
      <c r="C93" s="257"/>
      <c r="D93" s="257"/>
      <c r="F93" s="28"/>
      <c r="G93" s="538"/>
    </row>
    <row r="94" spans="1:7" customFormat="1" hidden="1">
      <c r="A94" s="28"/>
      <c r="C94" s="257"/>
      <c r="D94" s="257"/>
      <c r="F94" s="28"/>
      <c r="G94" s="538"/>
    </row>
    <row r="95" spans="1:7" customFormat="1" hidden="1">
      <c r="A95" s="28"/>
      <c r="C95" s="257"/>
      <c r="D95" s="257"/>
      <c r="F95" s="28"/>
      <c r="G95" s="538"/>
    </row>
    <row r="96" spans="1:7" customFormat="1" hidden="1">
      <c r="A96" s="28"/>
      <c r="C96" s="257"/>
      <c r="D96" s="257"/>
      <c r="F96" s="28"/>
      <c r="G96" s="538"/>
    </row>
    <row r="97" spans="1:16" customFormat="1" hidden="1">
      <c r="A97" s="28"/>
      <c r="C97" s="257"/>
      <c r="D97" s="257"/>
      <c r="F97" s="28"/>
      <c r="G97" s="538"/>
    </row>
    <row r="98" spans="1:16" customFormat="1" hidden="1">
      <c r="A98" s="28"/>
      <c r="C98" s="257"/>
      <c r="D98" s="257"/>
      <c r="F98" s="28"/>
      <c r="G98" s="538"/>
    </row>
    <row r="99" spans="1:16" customFormat="1" hidden="1">
      <c r="A99" s="28"/>
      <c r="C99" s="257"/>
      <c r="D99" s="257"/>
      <c r="F99" s="28"/>
      <c r="G99" s="538"/>
    </row>
    <row r="100" spans="1:16" s="261" customFormat="1" hidden="1">
      <c r="C100" s="157"/>
      <c r="D100" s="157"/>
      <c r="G100" s="538"/>
      <c r="O100" s="264"/>
      <c r="P100" s="264"/>
    </row>
    <row r="101" spans="1:16" s="261" customFormat="1" hidden="1">
      <c r="C101" s="157"/>
      <c r="D101" s="157"/>
      <c r="G101" s="538"/>
      <c r="O101" s="264"/>
      <c r="P101" s="264"/>
    </row>
    <row r="102" spans="1:16" s="261" customFormat="1" hidden="1">
      <c r="C102" s="157"/>
      <c r="D102" s="157"/>
      <c r="G102" s="538"/>
      <c r="O102" s="264"/>
      <c r="P102" s="264"/>
    </row>
    <row r="103" spans="1:16" s="261" customFormat="1" hidden="1">
      <c r="C103" s="157"/>
      <c r="D103" s="157"/>
      <c r="G103" s="538"/>
      <c r="O103" s="264"/>
      <c r="P103" s="264"/>
    </row>
    <row r="104" spans="1:16" s="261" customFormat="1" hidden="1">
      <c r="C104" s="157"/>
      <c r="D104" s="157"/>
      <c r="G104" s="538"/>
      <c r="O104" s="264"/>
      <c r="P104" s="264"/>
    </row>
    <row r="105" spans="1:16" s="261" customFormat="1" hidden="1">
      <c r="C105" s="157"/>
      <c r="D105" s="157"/>
      <c r="G105" s="538"/>
      <c r="O105" s="264"/>
      <c r="P105" s="264"/>
    </row>
    <row r="106" spans="1:16" hidden="1">
      <c r="A106" s="261"/>
      <c r="B106" s="261"/>
    </row>
    <row r="107" spans="1:16" hidden="1"/>
    <row r="108" spans="1:16" hidden="1">
      <c r="A108" s="261"/>
    </row>
    <row r="109" spans="1:16" hidden="1">
      <c r="B109" s="261"/>
    </row>
    <row r="110" spans="1:16" hidden="1"/>
    <row r="111" spans="1:16" hidden="1">
      <c r="A111" s="261"/>
    </row>
    <row r="112" spans="1:16" hidden="1">
      <c r="A112" s="261"/>
    </row>
  </sheetData>
  <sheetProtection password="BF31" sheet="1" objects="1" scenarios="1"/>
  <mergeCells count="3">
    <mergeCell ref="C9:E9"/>
    <mergeCell ref="C18:E18"/>
    <mergeCell ref="C21:E21"/>
  </mergeCells>
  <pageMargins left="0.55118110236220474" right="0.55118110236220474" top="0.59055118110236227" bottom="0.78740157480314965" header="0.51181102362204722" footer="0.51181102362204722"/>
  <pageSetup paperSize="9" orientation="landscape" horizontalDpi="1200" verticalDpi="1200" r:id="rId1"/>
  <headerFooter alignWithMargins="0">
    <oddHeader>&amp;RResultados del Modelo de Reciclaje Inclusivo</oddHeader>
  </headerFooter>
  <drawing r:id="rId2"/>
  <legacyDrawing r:id="rId3"/>
</worksheet>
</file>

<file path=xl/worksheets/sheet20.xml><?xml version="1.0" encoding="utf-8"?>
<worksheet xmlns="http://schemas.openxmlformats.org/spreadsheetml/2006/main" xmlns:r="http://schemas.openxmlformats.org/officeDocument/2006/relationships">
  <sheetPr codeName="Sheet46">
    <pageSetUpPr autoPageBreaks="0" fitToPage="1"/>
  </sheetPr>
  <dimension ref="A1:BD114"/>
  <sheetViews>
    <sheetView showGridLines="0" showRowColHeaders="0" zoomScale="80" zoomScaleNormal="80" workbookViewId="0">
      <pane ySplit="4" topLeftCell="A5" activePane="bottomLeft" state="frozen"/>
      <selection pane="bottomLeft"/>
    </sheetView>
  </sheetViews>
  <sheetFormatPr defaultColWidth="43.7109375" defaultRowHeight="18.75" zeroHeight="1"/>
  <cols>
    <col min="1" max="1" width="2.7109375" style="229" customWidth="1"/>
    <col min="2" max="2" width="3" style="229" hidden="1" customWidth="1"/>
    <col min="3" max="3" width="100.42578125" style="157" customWidth="1"/>
    <col min="4" max="4" width="100.42578125" style="229" customWidth="1"/>
    <col min="5" max="5" width="2.7109375" style="229" customWidth="1"/>
    <col min="6" max="6" width="150.7109375" style="538" customWidth="1"/>
    <col min="7" max="13" width="7.140625" style="229" customWidth="1"/>
    <col min="14" max="15" width="7.140625" style="222" customWidth="1"/>
    <col min="16" max="52" width="7.140625" style="229" customWidth="1"/>
    <col min="53" max="427" width="5.7109375" style="229" customWidth="1"/>
    <col min="428" max="16384" width="43.7109375" style="229"/>
  </cols>
  <sheetData>
    <row r="1" spans="1:54"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BA1" s="329">
        <v>3</v>
      </c>
      <c r="BB1" s="329">
        <v>4</v>
      </c>
    </row>
    <row r="2" spans="1:54" s="213" customFormat="1" ht="30" customHeight="1">
      <c r="A2" s="211"/>
      <c r="B2" s="212"/>
      <c r="C2" s="212"/>
      <c r="D2" s="212"/>
      <c r="E2" s="212"/>
      <c r="F2" s="212"/>
      <c r="G2" s="212"/>
      <c r="H2" s="212"/>
      <c r="I2" s="212"/>
      <c r="J2" s="212"/>
      <c r="K2" s="212"/>
      <c r="L2" s="212"/>
      <c r="P2" s="212"/>
      <c r="R2" s="214"/>
      <c r="S2" s="214"/>
      <c r="V2" s="214"/>
      <c r="BA2" s="329"/>
      <c r="BB2" s="329"/>
    </row>
    <row r="3" spans="1:54" s="214" customFormat="1" ht="64.5" customHeight="1">
      <c r="A3" s="215"/>
      <c r="B3" s="215"/>
      <c r="C3" s="215"/>
      <c r="D3" s="215"/>
      <c r="E3" s="215"/>
      <c r="F3" s="215"/>
      <c r="G3" s="215"/>
      <c r="H3" s="215"/>
      <c r="I3" s="215"/>
      <c r="J3" s="215"/>
      <c r="K3" s="215"/>
      <c r="L3" s="215"/>
      <c r="P3" s="215"/>
    </row>
    <row r="4" spans="1:54" s="28" customFormat="1" ht="15" hidden="1" customHeight="1">
      <c r="C4" s="257"/>
      <c r="D4" s="229"/>
      <c r="F4" s="538"/>
    </row>
    <row r="5" spans="1:54" s="28" customFormat="1" ht="23.25" customHeight="1">
      <c r="C5" s="537" t="str">
        <f ca="1">iCity_Description!C2&amp;", "&amp;iCity_Description!F2</f>
        <v>Asunción,  Paraguay</v>
      </c>
      <c r="F5" s="538"/>
    </row>
    <row r="6" spans="1:54" s="28" customFormat="1" ht="21" hidden="1">
      <c r="C6" s="537"/>
      <c r="F6" s="538"/>
    </row>
    <row r="7" spans="1:54" s="28" customFormat="1" ht="11.25" customHeight="1">
      <c r="C7" s="257"/>
      <c r="F7" s="538"/>
    </row>
    <row r="8" spans="1:54" s="567" customFormat="1">
      <c r="B8" s="567">
        <f>IF(C8="",0,1)</f>
        <v>1</v>
      </c>
      <c r="C8" s="728" t="s">
        <v>2152</v>
      </c>
      <c r="D8" s="731"/>
      <c r="F8" s="568" t="str">
        <f>C8</f>
        <v>Pregunta:</v>
      </c>
    </row>
    <row r="9" spans="1:54" s="28" customFormat="1">
      <c r="B9" s="28">
        <f t="shared" ref="B9:B21" si="0">IF(C9="",0,1)</f>
        <v>1</v>
      </c>
      <c r="C9" s="789" t="str">
        <f>iCityAddNotes!C4</f>
        <v>P1. Número de recicladores de base en el municipio</v>
      </c>
      <c r="D9" s="789"/>
      <c r="E9" s="534"/>
      <c r="F9" s="538" t="str">
        <f t="shared" ref="F9:F21" si="1">C9</f>
        <v>P1. Número de recicladores de base en el municipio</v>
      </c>
      <c r="G9" s="534"/>
      <c r="H9" s="534"/>
      <c r="I9" s="534"/>
      <c r="J9" s="534"/>
      <c r="K9" s="534"/>
      <c r="L9" s="534"/>
      <c r="M9" s="534"/>
      <c r="N9" s="534"/>
      <c r="O9" s="534"/>
      <c r="P9" s="534"/>
      <c r="Q9" s="534"/>
      <c r="R9" s="534"/>
      <c r="S9" s="534"/>
      <c r="T9" s="534"/>
      <c r="U9" s="534"/>
      <c r="V9" s="534"/>
      <c r="W9" s="534"/>
      <c r="X9" s="534"/>
      <c r="Y9" s="534"/>
      <c r="Z9" s="534"/>
      <c r="AA9" s="534"/>
      <c r="AB9" s="534"/>
      <c r="AC9" s="534"/>
      <c r="AD9" s="534"/>
      <c r="AE9" s="534"/>
      <c r="AF9" s="534"/>
      <c r="AG9" s="534"/>
    </row>
    <row r="10" spans="1:54" s="28" customFormat="1">
      <c r="B10" s="28">
        <v>1</v>
      </c>
      <c r="C10" s="257"/>
      <c r="D10" s="534"/>
      <c r="E10" s="534"/>
      <c r="F10" s="538">
        <f t="shared" si="1"/>
        <v>0</v>
      </c>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row>
    <row r="11" spans="1:54" s="567" customFormat="1">
      <c r="B11" s="567">
        <f t="shared" si="0"/>
        <v>1</v>
      </c>
      <c r="C11" s="728" t="str">
        <f>iCityAddNotes!A5</f>
        <v>Definición:</v>
      </c>
      <c r="D11" s="729"/>
      <c r="E11" s="730"/>
      <c r="F11" s="568" t="str">
        <f t="shared" si="1"/>
        <v>Definición:</v>
      </c>
      <c r="G11" s="730"/>
      <c r="H11" s="730"/>
      <c r="I11" s="730"/>
      <c r="J11" s="730"/>
      <c r="K11" s="730"/>
      <c r="L11" s="730"/>
      <c r="M11" s="730"/>
      <c r="N11" s="730"/>
      <c r="O11" s="730"/>
      <c r="P11" s="730"/>
      <c r="Q11" s="730"/>
      <c r="R11" s="730"/>
      <c r="S11" s="730"/>
      <c r="T11" s="730"/>
      <c r="U11" s="730"/>
      <c r="V11" s="730"/>
      <c r="W11" s="730"/>
      <c r="X11" s="730"/>
      <c r="Y11" s="730"/>
      <c r="Z11" s="730"/>
      <c r="AA11" s="730"/>
      <c r="AB11" s="730"/>
      <c r="AC11" s="730"/>
      <c r="AD11" s="730"/>
      <c r="AE11" s="730"/>
      <c r="AF11" s="730"/>
      <c r="AG11" s="730"/>
    </row>
    <row r="12" spans="1:54" s="28" customFormat="1" ht="15.75">
      <c r="B12" s="28">
        <f t="shared" si="0"/>
        <v>1</v>
      </c>
      <c r="C12" s="789" t="str">
        <f>iCityAddNotes!B5</f>
        <v>Personas fisicas dedicadas a recuperar, separar o reducir, de los residuos urbanos, aquellos que posean valor comercial para su reutilizacion o reciclaje</v>
      </c>
      <c r="D12" s="789"/>
      <c r="F12" s="536" t="str">
        <f t="shared" si="1"/>
        <v>Personas fisicas dedicadas a recuperar, separar o reducir, de los residuos urbanos, aquellos que posean valor comercial para su reutilizacion o reciclaje</v>
      </c>
    </row>
    <row r="13" spans="1:54" s="28" customFormat="1">
      <c r="B13" s="28">
        <v>1</v>
      </c>
      <c r="C13" s="257"/>
      <c r="F13" s="538">
        <f t="shared" si="1"/>
        <v>0</v>
      </c>
    </row>
    <row r="14" spans="1:54" s="567" customFormat="1">
      <c r="B14" s="567">
        <f t="shared" si="0"/>
        <v>1</v>
      </c>
      <c r="C14" s="728" t="s">
        <v>2162</v>
      </c>
      <c r="D14" s="728" t="str">
        <f>iCityAddNotes!A6</f>
        <v>Año:</v>
      </c>
      <c r="F14" s="568" t="str">
        <f t="shared" si="1"/>
        <v>Dato:</v>
      </c>
    </row>
    <row r="15" spans="1:54" s="28" customFormat="1" ht="21">
      <c r="B15" s="28">
        <f t="shared" si="0"/>
        <v>1</v>
      </c>
      <c r="C15" s="531" t="str">
        <f>iCityAddNotes!B9</f>
        <v>N/D</v>
      </c>
      <c r="D15" s="531">
        <f>iCityAddNotes!B6</f>
        <v>2014</v>
      </c>
      <c r="F15" s="766" t="str">
        <f t="shared" si="1"/>
        <v>N/D</v>
      </c>
    </row>
    <row r="16" spans="1:54" s="28" customFormat="1">
      <c r="B16" s="28">
        <v>1</v>
      </c>
      <c r="C16" s="257"/>
      <c r="F16" s="538">
        <f t="shared" si="1"/>
        <v>0</v>
      </c>
    </row>
    <row r="17" spans="2:6" s="567" customFormat="1">
      <c r="B17" s="567">
        <f t="shared" si="0"/>
        <v>1</v>
      </c>
      <c r="C17" s="728" t="str">
        <f>iCityAddNotes!A7</f>
        <v>Fuente:</v>
      </c>
      <c r="D17" s="731"/>
      <c r="F17" s="568" t="str">
        <f t="shared" si="1"/>
        <v>Fuente:</v>
      </c>
    </row>
    <row r="18" spans="2:6" s="535" customFormat="1" ht="37.5">
      <c r="B18" s="28">
        <f t="shared" si="0"/>
        <v>1</v>
      </c>
      <c r="C18" s="789" t="str">
        <f>iCityAddNotes!B7</f>
        <v xml:space="preserve"> Ordenanza Municipal 408/14 "GESTION INTEGRAL DE LOS RESIDUOS SOLIDOS URBANOS Y LA PROMOCION DE LA CULTURA DE BASURA CERO."</v>
      </c>
      <c r="D18" s="789"/>
      <c r="F18" s="538" t="str">
        <f t="shared" si="1"/>
        <v xml:space="preserve"> Ordenanza Municipal 408/14 "GESTION INTEGRAL DE LOS RESIDUOS SOLIDOS URBANOS Y LA PROMOCION DE LA CULTURA DE BASURA CERO."</v>
      </c>
    </row>
    <row r="19" spans="2:6" s="28" customFormat="1">
      <c r="B19" s="28">
        <v>1</v>
      </c>
      <c r="C19" s="257"/>
      <c r="F19" s="538">
        <f t="shared" si="1"/>
        <v>0</v>
      </c>
    </row>
    <row r="20" spans="2:6" s="567" customFormat="1">
      <c r="B20" s="567">
        <f>IF(C21="",0,1)</f>
        <v>1</v>
      </c>
      <c r="C20" s="728" t="str">
        <f>iCityAddNotes!A10</f>
        <v>Notas:</v>
      </c>
      <c r="D20" s="731"/>
      <c r="F20" s="568" t="str">
        <f t="shared" si="1"/>
        <v>Notas:</v>
      </c>
    </row>
    <row r="21" spans="2:6" s="28" customFormat="1" ht="173.25">
      <c r="B21" s="28">
        <f t="shared" si="0"/>
        <v>1</v>
      </c>
      <c r="C21" s="789" t="str">
        <f>iCityAddNotes!B10</f>
        <v>Un estimado de 4.000 recicladores según estas fuentes
[1]Ultima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v>
      </c>
      <c r="D21" s="789"/>
      <c r="F21" s="536" t="str">
        <f t="shared" si="1"/>
        <v>Un estimado de 4.000 recicladores según estas fuentes
[1]Ultima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v>
      </c>
    </row>
    <row r="22" spans="2:6" s="28" customFormat="1">
      <c r="C22" s="257"/>
      <c r="F22" s="538"/>
    </row>
    <row r="23" spans="2:6" s="28" customFormat="1">
      <c r="C23" s="257"/>
      <c r="F23" s="538"/>
    </row>
    <row r="24" spans="2:6" s="28" customFormat="1">
      <c r="C24" s="257"/>
      <c r="F24" s="538"/>
    </row>
    <row r="25" spans="2:6" s="28" customFormat="1">
      <c r="C25" s="257"/>
      <c r="F25" s="538"/>
    </row>
    <row r="26" spans="2:6" s="28" customFormat="1" ht="15" customHeight="1">
      <c r="C26" s="257"/>
      <c r="F26" s="538"/>
    </row>
    <row r="27" spans="2:6" s="28" customFormat="1" ht="15" customHeight="1">
      <c r="C27" s="257"/>
      <c r="F27" s="538"/>
    </row>
    <row r="28" spans="2:6" s="28" customFormat="1" ht="15" customHeight="1">
      <c r="C28" s="257"/>
      <c r="F28" s="538"/>
    </row>
    <row r="29" spans="2:6" s="28" customFormat="1" ht="15" customHeight="1">
      <c r="C29" s="257"/>
      <c r="F29" s="538"/>
    </row>
    <row r="30" spans="2:6" s="28" customFormat="1" ht="15" customHeight="1">
      <c r="C30" s="257"/>
      <c r="F30" s="538"/>
    </row>
    <row r="31" spans="2:6" s="28" customFormat="1" ht="15" customHeight="1">
      <c r="C31" s="257"/>
      <c r="F31" s="538"/>
    </row>
    <row r="32" spans="2:6" s="28" customFormat="1" ht="15" hidden="1" customHeight="1">
      <c r="C32" s="257"/>
      <c r="F32" s="538"/>
    </row>
    <row r="33" spans="3:6" s="28" customFormat="1" ht="15" hidden="1" customHeight="1">
      <c r="C33" s="257"/>
      <c r="F33" s="538"/>
    </row>
    <row r="34" spans="3:6" s="28" customFormat="1" ht="15" hidden="1" customHeight="1">
      <c r="C34" s="257"/>
      <c r="F34" s="538"/>
    </row>
    <row r="35" spans="3:6" s="28" customFormat="1" ht="15" hidden="1" customHeight="1">
      <c r="C35" s="257"/>
      <c r="F35" s="538"/>
    </row>
    <row r="36" spans="3:6" s="28" customFormat="1" ht="15" hidden="1" customHeight="1">
      <c r="C36" s="257"/>
      <c r="F36" s="538"/>
    </row>
    <row r="37" spans="3:6" s="28" customFormat="1" ht="15" hidden="1" customHeight="1">
      <c r="C37" s="257"/>
      <c r="F37" s="538"/>
    </row>
    <row r="38" spans="3:6" s="28" customFormat="1" ht="15" hidden="1" customHeight="1">
      <c r="C38" s="257"/>
      <c r="F38" s="538"/>
    </row>
    <row r="39" spans="3:6" s="28" customFormat="1" ht="15" hidden="1" customHeight="1">
      <c r="C39" s="257"/>
      <c r="F39" s="538"/>
    </row>
    <row r="40" spans="3:6" s="28" customFormat="1" ht="15" hidden="1" customHeight="1">
      <c r="C40" s="257"/>
      <c r="F40" s="538"/>
    </row>
    <row r="41" spans="3:6" s="28" customFormat="1" ht="15" hidden="1" customHeight="1">
      <c r="C41" s="257"/>
      <c r="F41" s="538"/>
    </row>
    <row r="42" spans="3:6" s="28" customFormat="1" ht="15" hidden="1" customHeight="1">
      <c r="C42" s="257"/>
      <c r="F42" s="538"/>
    </row>
    <row r="43" spans="3:6" s="28" customFormat="1" ht="15" hidden="1" customHeight="1">
      <c r="C43" s="257"/>
      <c r="F43" s="538"/>
    </row>
    <row r="44" spans="3:6" s="28" customFormat="1" hidden="1">
      <c r="C44" s="257"/>
      <c r="F44" s="538"/>
    </row>
    <row r="45" spans="3:6" s="28" customFormat="1" hidden="1">
      <c r="C45" s="257"/>
      <c r="F45" s="538"/>
    </row>
    <row r="46" spans="3:6" s="28" customFormat="1" hidden="1">
      <c r="C46" s="257"/>
      <c r="F46" s="538"/>
    </row>
    <row r="47" spans="3:6" s="28" customFormat="1" hidden="1">
      <c r="C47" s="257"/>
      <c r="F47" s="538"/>
    </row>
    <row r="48" spans="3:6" s="28" customFormat="1" hidden="1">
      <c r="C48" s="257"/>
      <c r="F48" s="538"/>
    </row>
    <row r="49" spans="3:6" s="28" customFormat="1" hidden="1">
      <c r="C49" s="257"/>
      <c r="F49" s="538"/>
    </row>
    <row r="50" spans="3:6" s="28" customFormat="1" hidden="1">
      <c r="C50" s="257"/>
      <c r="F50" s="538"/>
    </row>
    <row r="51" spans="3:6" s="28" customFormat="1" hidden="1">
      <c r="C51" s="257"/>
      <c r="F51" s="538"/>
    </row>
    <row r="52" spans="3:6" s="28" customFormat="1" hidden="1">
      <c r="C52" s="257"/>
      <c r="F52" s="538"/>
    </row>
    <row r="53" spans="3:6" s="28" customFormat="1" hidden="1">
      <c r="C53" s="257"/>
      <c r="F53" s="538"/>
    </row>
    <row r="54" spans="3:6" s="28" customFormat="1" hidden="1">
      <c r="C54" s="257"/>
      <c r="F54" s="538"/>
    </row>
    <row r="55" spans="3:6" s="28" customFormat="1" hidden="1">
      <c r="C55" s="257"/>
      <c r="F55" s="538"/>
    </row>
    <row r="56" spans="3:6" s="28" customFormat="1" hidden="1">
      <c r="C56" s="257"/>
      <c r="F56" s="538"/>
    </row>
    <row r="57" spans="3:6" s="28" customFormat="1" hidden="1">
      <c r="C57" s="257"/>
      <c r="F57" s="538"/>
    </row>
    <row r="58" spans="3:6" s="28" customFormat="1" hidden="1">
      <c r="C58" s="257"/>
      <c r="F58" s="538"/>
    </row>
    <row r="59" spans="3:6" s="28" customFormat="1" hidden="1">
      <c r="C59" s="257"/>
      <c r="F59" s="538"/>
    </row>
    <row r="60" spans="3:6" s="28" customFormat="1" hidden="1">
      <c r="C60" s="257"/>
      <c r="F60" s="538"/>
    </row>
    <row r="61" spans="3:6" s="28" customFormat="1" hidden="1">
      <c r="C61" s="257"/>
      <c r="F61" s="538"/>
    </row>
    <row r="62" spans="3:6" s="28" customFormat="1" hidden="1">
      <c r="C62" s="257"/>
      <c r="F62" s="538"/>
    </row>
    <row r="63" spans="3:6" s="28" customFormat="1" hidden="1">
      <c r="C63" s="257"/>
      <c r="F63" s="538"/>
    </row>
    <row r="64" spans="3:6" s="28" customFormat="1" hidden="1">
      <c r="C64" s="257"/>
      <c r="F64" s="538"/>
    </row>
    <row r="65" spans="3:6" s="28" customFormat="1" hidden="1">
      <c r="C65" s="257"/>
      <c r="F65" s="538"/>
    </row>
    <row r="66" spans="3:6" s="28" customFormat="1" hidden="1">
      <c r="C66" s="257"/>
      <c r="F66" s="538"/>
    </row>
    <row r="67" spans="3:6" s="28" customFormat="1" hidden="1">
      <c r="C67" s="257"/>
      <c r="F67" s="538"/>
    </row>
    <row r="68" spans="3:6" s="28" customFormat="1" hidden="1">
      <c r="C68" s="257"/>
      <c r="F68" s="538"/>
    </row>
    <row r="69" spans="3:6" s="28" customFormat="1" hidden="1">
      <c r="C69" s="257"/>
      <c r="F69" s="538"/>
    </row>
    <row r="70" spans="3:6" s="28" customFormat="1" hidden="1">
      <c r="C70" s="257"/>
      <c r="F70" s="538"/>
    </row>
    <row r="71" spans="3:6" s="28" customFormat="1" hidden="1">
      <c r="C71" s="257"/>
      <c r="F71" s="538"/>
    </row>
    <row r="72" spans="3:6" s="28" customFormat="1" hidden="1">
      <c r="C72" s="257"/>
      <c r="F72" s="538"/>
    </row>
    <row r="73" spans="3:6" s="28" customFormat="1" hidden="1">
      <c r="C73" s="257"/>
      <c r="F73" s="538"/>
    </row>
    <row r="74" spans="3:6" s="28" customFormat="1" hidden="1">
      <c r="C74" s="257"/>
      <c r="F74" s="538"/>
    </row>
    <row r="75" spans="3:6" s="28" customFormat="1" hidden="1">
      <c r="C75" s="257"/>
      <c r="F75" s="538"/>
    </row>
    <row r="76" spans="3:6" s="28" customFormat="1" hidden="1">
      <c r="C76" s="257"/>
      <c r="F76" s="538"/>
    </row>
    <row r="77" spans="3:6" s="28" customFormat="1" hidden="1">
      <c r="C77" s="257"/>
      <c r="F77" s="538"/>
    </row>
    <row r="78" spans="3:6" s="28" customFormat="1" hidden="1">
      <c r="C78" s="257"/>
      <c r="F78" s="538"/>
    </row>
    <row r="79" spans="3:6" s="28" customFormat="1" hidden="1">
      <c r="C79" s="257"/>
      <c r="F79" s="538"/>
    </row>
    <row r="80" spans="3:6" s="28" customFormat="1" hidden="1">
      <c r="C80" s="257"/>
      <c r="F80" s="538"/>
    </row>
    <row r="81" spans="3:6" s="28" customFormat="1" hidden="1">
      <c r="C81" s="257"/>
      <c r="F81" s="538"/>
    </row>
    <row r="82" spans="3:6" s="28" customFormat="1" hidden="1">
      <c r="C82" s="257"/>
      <c r="F82" s="538"/>
    </row>
    <row r="83" spans="3:6" s="28" customFormat="1" hidden="1">
      <c r="C83" s="257"/>
      <c r="F83" s="538"/>
    </row>
    <row r="84" spans="3:6" s="28" customFormat="1" hidden="1">
      <c r="C84" s="257"/>
      <c r="F84" s="538"/>
    </row>
    <row r="85" spans="3:6" s="28" customFormat="1" hidden="1">
      <c r="C85" s="257"/>
      <c r="F85" s="538"/>
    </row>
    <row r="86" spans="3:6" s="28" customFormat="1" hidden="1">
      <c r="C86" s="257"/>
      <c r="F86" s="538"/>
    </row>
    <row r="87" spans="3:6" s="28" customFormat="1" hidden="1">
      <c r="C87" s="257"/>
      <c r="F87" s="538"/>
    </row>
    <row r="88" spans="3:6" s="28" customFormat="1" hidden="1">
      <c r="C88" s="257"/>
      <c r="F88" s="538"/>
    </row>
    <row r="89" spans="3:6" s="28" customFormat="1" hidden="1">
      <c r="C89" s="257"/>
      <c r="F89" s="538"/>
    </row>
    <row r="90" spans="3:6" s="28" customFormat="1" hidden="1">
      <c r="C90" s="257"/>
      <c r="F90" s="538"/>
    </row>
    <row r="91" spans="3:6" s="28" customFormat="1" hidden="1">
      <c r="C91" s="257"/>
      <c r="F91" s="538"/>
    </row>
    <row r="92" spans="3:6" s="28" customFormat="1" hidden="1">
      <c r="C92" s="257"/>
      <c r="F92" s="538"/>
    </row>
    <row r="93" spans="3:6" s="28" customFormat="1" hidden="1">
      <c r="C93" s="257"/>
      <c r="F93" s="538"/>
    </row>
    <row r="94" spans="3:6" s="28" customFormat="1" hidden="1">
      <c r="C94" s="257"/>
      <c r="F94" s="538"/>
    </row>
    <row r="95" spans="3:6" s="28" customFormat="1" hidden="1">
      <c r="C95" s="257"/>
      <c r="F95" s="538"/>
    </row>
    <row r="96" spans="3:6" s="28" customFormat="1" hidden="1">
      <c r="C96" s="257"/>
      <c r="F96" s="538"/>
    </row>
    <row r="97" spans="1:56" s="28" customFormat="1" hidden="1">
      <c r="C97" s="257"/>
      <c r="F97" s="538"/>
    </row>
    <row r="98" spans="1:56" s="28" customFormat="1" hidden="1">
      <c r="C98" s="257"/>
      <c r="F98" s="538"/>
    </row>
    <row r="99" spans="1:56" s="28" customFormat="1" hidden="1">
      <c r="C99" s="257"/>
      <c r="F99" s="538"/>
    </row>
    <row r="100" spans="1:56" s="261" customFormat="1" hidden="1">
      <c r="C100" s="157"/>
      <c r="F100" s="538"/>
      <c r="N100" s="264"/>
      <c r="O100" s="264"/>
    </row>
    <row r="101" spans="1:56" s="261" customFormat="1" hidden="1">
      <c r="C101" s="157"/>
      <c r="F101" s="538"/>
      <c r="N101" s="264"/>
      <c r="O101" s="264"/>
    </row>
    <row r="102" spans="1:56" s="261" customFormat="1" hidden="1">
      <c r="C102" s="157"/>
      <c r="F102" s="538"/>
      <c r="N102" s="264"/>
      <c r="O102" s="264"/>
    </row>
    <row r="103" spans="1:56" s="261" customFormat="1" hidden="1">
      <c r="C103" s="157"/>
      <c r="F103" s="538"/>
      <c r="N103" s="264"/>
      <c r="O103" s="264"/>
    </row>
    <row r="104" spans="1:56" s="261" customFormat="1" hidden="1">
      <c r="C104" s="157"/>
      <c r="F104" s="538"/>
      <c r="N104" s="264"/>
      <c r="O104" s="264"/>
    </row>
    <row r="105" spans="1:56" s="261" customFormat="1" hidden="1">
      <c r="C105" s="157"/>
      <c r="F105" s="538"/>
      <c r="N105" s="264"/>
      <c r="O105" s="264"/>
    </row>
    <row r="106" spans="1:56" hidden="1">
      <c r="A106" s="261"/>
      <c r="B106" s="261"/>
    </row>
    <row r="107" spans="1:56" hidden="1"/>
    <row r="108" spans="1:56" hidden="1">
      <c r="A108" s="261"/>
    </row>
    <row r="109" spans="1:56" s="157" customFormat="1" hidden="1">
      <c r="A109" s="229"/>
      <c r="B109" s="261"/>
      <c r="D109" s="229"/>
      <c r="E109" s="229"/>
      <c r="F109" s="538"/>
      <c r="G109" s="229"/>
      <c r="H109" s="229"/>
      <c r="I109" s="229"/>
      <c r="J109" s="229"/>
      <c r="K109" s="229"/>
      <c r="L109" s="229"/>
      <c r="M109" s="229"/>
      <c r="N109" s="222"/>
      <c r="O109" s="222"/>
      <c r="P109" s="229"/>
      <c r="Q109" s="229"/>
      <c r="R109" s="229"/>
      <c r="S109" s="229"/>
      <c r="T109" s="229"/>
      <c r="U109" s="229"/>
      <c r="V109" s="229"/>
      <c r="W109" s="229"/>
      <c r="X109" s="229"/>
      <c r="Y109" s="229"/>
      <c r="Z109" s="229"/>
      <c r="AA109" s="229"/>
      <c r="AB109" s="229"/>
      <c r="AC109" s="229"/>
      <c r="AD109" s="229"/>
      <c r="AE109" s="229"/>
      <c r="AF109" s="229"/>
      <c r="AG109" s="229"/>
      <c r="AH109" s="229"/>
      <c r="AI109" s="229"/>
      <c r="AJ109" s="229"/>
      <c r="AK109" s="229"/>
      <c r="AL109" s="229"/>
      <c r="AM109" s="229"/>
      <c r="AN109" s="229"/>
      <c r="AO109" s="229"/>
      <c r="AP109" s="229"/>
      <c r="AQ109" s="229"/>
      <c r="AR109" s="229"/>
      <c r="AS109" s="229"/>
      <c r="AT109" s="229"/>
      <c r="AU109" s="229"/>
      <c r="AV109" s="229"/>
      <c r="AW109" s="229"/>
      <c r="AX109" s="229"/>
      <c r="AY109" s="229"/>
      <c r="AZ109" s="229"/>
      <c r="BA109" s="229"/>
      <c r="BB109" s="229"/>
      <c r="BC109" s="229"/>
      <c r="BD109" s="229"/>
    </row>
    <row r="110" spans="1:56" hidden="1"/>
    <row r="111" spans="1:56" hidden="1"/>
    <row r="112" spans="1:56" hidden="1">
      <c r="A112" s="261"/>
    </row>
    <row r="113" spans="1:1" hidden="1"/>
    <row r="114" spans="1:1" hidden="1">
      <c r="A114" s="261"/>
    </row>
  </sheetData>
  <sheetProtection password="BF31" sheet="1" objects="1" scenarios="1"/>
  <mergeCells count="4">
    <mergeCell ref="C9:D9"/>
    <mergeCell ref="C12:D12"/>
    <mergeCell ref="C18:D18"/>
    <mergeCell ref="C21:D21"/>
  </mergeCells>
  <pageMargins left="0.55118110236220474" right="0.55118110236220474" top="0.59055118110236227" bottom="0.78740157480314965" header="0.51181102362204722" footer="0.51181102362204722"/>
  <pageSetup paperSize="9" scale="65" orientation="landscape" horizontalDpi="1200" verticalDpi="1200" r:id="rId1"/>
  <headerFooter alignWithMargins="0">
    <oddHeader>&amp;RResultados del Modelo de Reciclaje Inclusivo</oddHeader>
  </headerFooter>
  <drawing r:id="rId2"/>
  <legacyDrawing r:id="rId3"/>
</worksheet>
</file>

<file path=xl/worksheets/sheet21.xml><?xml version="1.0" encoding="utf-8"?>
<worksheet xmlns="http://schemas.openxmlformats.org/spreadsheetml/2006/main" xmlns:r="http://schemas.openxmlformats.org/officeDocument/2006/relationships">
  <sheetPr codeName="Tabelle1">
    <tabColor rgb="FFFFFF00"/>
    <pageSetUpPr fitToPage="1"/>
  </sheetPr>
  <dimension ref="A1:AJ1797"/>
  <sheetViews>
    <sheetView showRowColHeaders="0" zoomScale="80" zoomScaleNormal="80" workbookViewId="0">
      <selection activeCell="C34" sqref="C34"/>
    </sheetView>
  </sheetViews>
  <sheetFormatPr defaultColWidth="12.5703125" defaultRowHeight="12.75"/>
  <cols>
    <col min="1" max="1" width="168.28515625" style="479" customWidth="1"/>
    <col min="2" max="5" width="13" style="434" bestFit="1" customWidth="1"/>
    <col min="6" max="6" width="15.140625" style="470" customWidth="1"/>
    <col min="7" max="7" width="23.7109375" style="470" customWidth="1"/>
    <col min="8" max="8" width="13" style="434" bestFit="1" customWidth="1"/>
    <col min="9" max="9" width="14.5703125" style="434" customWidth="1"/>
    <col min="10" max="10" width="13.7109375" style="434" customWidth="1"/>
    <col min="11" max="12" width="13" style="434" bestFit="1" customWidth="1"/>
    <col min="13" max="17" width="13.140625" style="434" bestFit="1" customWidth="1"/>
    <col min="18" max="18" width="11" style="434" customWidth="1"/>
    <col min="19" max="22" width="12.7109375" style="434" bestFit="1" customWidth="1"/>
    <col min="23" max="16384" width="12.5703125" style="434"/>
  </cols>
  <sheetData>
    <row r="1" spans="1:36">
      <c r="A1" s="479" t="str">
        <f>uxb_works!A92</f>
        <v>Indi-X</v>
      </c>
      <c r="B1" s="479">
        <f>uxb_works!B92+1</f>
        <v>2</v>
      </c>
      <c r="C1" s="479">
        <f>uxb_works!C92</f>
        <v>1</v>
      </c>
      <c r="D1" s="479" t="str">
        <f>uxb_works!D92</f>
        <v>1) NORMATIVA</v>
      </c>
      <c r="E1" s="479">
        <f>uxb_works!E92</f>
        <v>1</v>
      </c>
      <c r="F1" s="479">
        <f>uxb_works!F92</f>
        <v>0</v>
      </c>
      <c r="G1" s="473"/>
      <c r="H1" s="480"/>
    </row>
    <row r="2" spans="1:36">
      <c r="A2" s="479" t="str">
        <f>uxb_works!A93</f>
        <v>Indi-Y</v>
      </c>
      <c r="B2" s="479">
        <f>uxb_works!B93+1</f>
        <v>22</v>
      </c>
      <c r="C2" s="479">
        <f>uxb_works!C93</f>
        <v>1</v>
      </c>
      <c r="D2" s="479" t="str">
        <f>uxb_works!D93</f>
        <v>2) ORGANIZATIVA</v>
      </c>
      <c r="E2" s="479">
        <f>uxb_works!E93</f>
        <v>1</v>
      </c>
      <c r="F2" s="479">
        <f>uxb_works!F93</f>
        <v>0</v>
      </c>
      <c r="G2" s="473"/>
      <c r="H2" s="480"/>
    </row>
    <row r="3" spans="1:36">
      <c r="A3" s="479" t="str">
        <f>uxb_works!A94</f>
        <v>Indi-Z</v>
      </c>
      <c r="B3" s="479">
        <f>uxb_works!B94+1</f>
        <v>33</v>
      </c>
      <c r="C3" s="479">
        <f>uxb_works!C94</f>
        <v>1</v>
      </c>
      <c r="D3" s="479" t="str">
        <f>uxb_works!D94</f>
        <v>3) MERCADO</v>
      </c>
      <c r="E3" s="479">
        <f>uxb_works!E94</f>
        <v>1</v>
      </c>
      <c r="F3" s="479">
        <f>uxb_works!F94</f>
        <v>0</v>
      </c>
      <c r="G3" s="473"/>
      <c r="H3" s="480"/>
    </row>
    <row r="4" spans="1:36">
      <c r="A4" s="479" t="str">
        <f>uxb_works!A6</f>
        <v>CITY_HIGHLIGHT_DD</v>
      </c>
      <c r="B4" s="479">
        <f>uxb_works!B6</f>
        <v>1</v>
      </c>
      <c r="C4" s="479" t="str">
        <f ca="1">uxb_works!C6</f>
        <v>&lt;ninguno&gt;</v>
      </c>
      <c r="G4" s="473"/>
      <c r="H4" s="480"/>
    </row>
    <row r="5" spans="1:36">
      <c r="F5" s="434"/>
      <c r="G5" s="473"/>
      <c r="H5" s="480"/>
      <c r="V5" s="481"/>
      <c r="W5" s="481"/>
      <c r="X5" s="482"/>
      <c r="Y5" s="481"/>
      <c r="Z5" s="481"/>
      <c r="AA5" s="482"/>
      <c r="AB5" s="482"/>
      <c r="AC5" s="482"/>
    </row>
    <row r="6" spans="1:36">
      <c r="F6" s="434"/>
      <c r="G6" s="473"/>
      <c r="H6" s="480"/>
      <c r="S6" s="483" t="s">
        <v>671</v>
      </c>
      <c r="T6" s="434" t="s">
        <v>672</v>
      </c>
      <c r="U6" s="434" t="s">
        <v>673</v>
      </c>
    </row>
    <row r="7" spans="1:36">
      <c r="F7" s="434"/>
      <c r="G7" s="473"/>
      <c r="T7" s="434" t="s">
        <v>674</v>
      </c>
      <c r="U7" s="434" t="s">
        <v>675</v>
      </c>
    </row>
    <row r="8" spans="1:36">
      <c r="F8" s="434"/>
      <c r="G8" s="459" t="s">
        <v>676</v>
      </c>
      <c r="H8" s="435">
        <f t="array" aca="1" ref="H8" ca="1">1+MAX(IF(H33:H65550&lt;&gt;0,ROW(H33:H65550),0))-ROW(H33)</f>
        <v>22</v>
      </c>
      <c r="I8" s="436" t="s">
        <v>677</v>
      </c>
      <c r="J8" s="460"/>
      <c r="K8" s="484" t="s">
        <v>678</v>
      </c>
      <c r="L8" s="460"/>
      <c r="M8" s="460"/>
      <c r="N8" s="485" t="s">
        <v>679</v>
      </c>
      <c r="O8" s="461"/>
      <c r="S8" s="486" t="s">
        <v>680</v>
      </c>
      <c r="T8" s="434" t="s">
        <v>681</v>
      </c>
      <c r="U8" s="434" t="s">
        <v>682</v>
      </c>
      <c r="V8" s="437" t="s">
        <v>683</v>
      </c>
      <c r="W8" s="438" t="s">
        <v>684</v>
      </c>
      <c r="X8" s="438" t="s">
        <v>685</v>
      </c>
      <c r="Y8" s="438" t="s">
        <v>686</v>
      </c>
      <c r="Z8" s="439" t="s">
        <v>687</v>
      </c>
      <c r="AA8" s="437" t="s">
        <v>688</v>
      </c>
      <c r="AB8" s="438" t="s">
        <v>689</v>
      </c>
      <c r="AC8" s="438" t="s">
        <v>690</v>
      </c>
      <c r="AD8" s="438" t="s">
        <v>691</v>
      </c>
      <c r="AE8" s="439" t="s">
        <v>692</v>
      </c>
      <c r="AF8" s="437" t="s">
        <v>693</v>
      </c>
      <c r="AG8" s="438" t="s">
        <v>694</v>
      </c>
      <c r="AH8" s="438" t="s">
        <v>695</v>
      </c>
      <c r="AI8" s="438" t="s">
        <v>696</v>
      </c>
      <c r="AJ8" s="439" t="s">
        <v>697</v>
      </c>
    </row>
    <row r="9" spans="1:36">
      <c r="F9" s="434"/>
      <c r="G9" s="473"/>
      <c r="H9" s="440"/>
      <c r="I9" s="440"/>
      <c r="J9" s="440"/>
      <c r="K9" s="451" t="s">
        <v>79</v>
      </c>
      <c r="L9" s="452" t="s">
        <v>698</v>
      </c>
      <c r="M9" s="452" t="s">
        <v>699</v>
      </c>
      <c r="N9" s="470" t="s">
        <v>700</v>
      </c>
      <c r="O9" s="469" t="s">
        <v>701</v>
      </c>
      <c r="S9" s="441">
        <v>0</v>
      </c>
      <c r="T9" s="442">
        <v>0.5</v>
      </c>
      <c r="U9" s="443">
        <v>-0.5</v>
      </c>
      <c r="V9" s="440">
        <f t="shared" ref="V9:V29" ca="1" si="0">IF($S9&gt;H$23,H$23,$S9)</f>
        <v>0</v>
      </c>
      <c r="W9" s="440">
        <f t="shared" ref="W9:W29" ca="1" si="1">H$24+V9*H$25</f>
        <v>-0.35777777777777775</v>
      </c>
      <c r="X9" s="444"/>
      <c r="Y9" s="444">
        <f t="shared" ref="Y9:Y29" ca="1" si="2">(W9*$H$13+T9*$I$13+U9*$J$13+$D$27)*$C$27</f>
        <v>0.59221351722724891</v>
      </c>
      <c r="Z9" s="445">
        <f t="shared" ref="Z9:Z29" ca="1" si="3">(W9*$H$14+T9*$I$14+U9*$J$14+$E$27)*$C$27</f>
        <v>-0.35041716889415753</v>
      </c>
      <c r="AA9" s="440">
        <f t="shared" ref="AA9:AA29" ca="1" si="4">IF($S9&gt;I$23,I$23,$S9)</f>
        <v>0</v>
      </c>
      <c r="AB9" s="440">
        <f t="shared" ref="AB9:AB29" ca="1" si="5">I$24+AA9*I$25</f>
        <v>-0.24825174825174823</v>
      </c>
      <c r="AC9" s="444"/>
      <c r="AD9" s="444">
        <f t="shared" ref="AD9:AD29" ca="1" si="6">(T9*$H$13+AB9*$I$13+U9*$J$13+$D$27)*$C$27</f>
        <v>-0.4042904075922033</v>
      </c>
      <c r="AE9" s="445">
        <f t="shared" ref="AE9:AE29" ca="1" si="7">(T9*$H$14+AB9*$I$14+U9*$J$14+$E$27)*$C$27</f>
        <v>-0.6254823078297409</v>
      </c>
      <c r="AF9" s="440">
        <f t="shared" ref="AF9:AF29" ca="1" si="8">IF($S9&gt;J$23,J$23,$S9)</f>
        <v>0</v>
      </c>
      <c r="AG9" s="440">
        <f t="shared" ref="AG9:AG29" ca="1" si="9">J$24+AF9*J$25</f>
        <v>-0.28256537837209167</v>
      </c>
      <c r="AH9" s="440"/>
      <c r="AI9" s="444">
        <f t="shared" ref="AI9:AI29" ca="1" si="10">(U9*$H$13+T9*$I$13+AG9*$J$13+$D$27)*$C$27</f>
        <v>0.64085638205578854</v>
      </c>
      <c r="AJ9" s="445">
        <f t="shared" ref="AJ9:AJ29" ca="1" si="11">(U9*$H$14+T9*$I$14+AG9*$J$14+$E$27)*$C$27</f>
        <v>-9.5290676535133678E-2</v>
      </c>
    </row>
    <row r="10" spans="1:36" ht="15.95" customHeight="1">
      <c r="B10" s="434" t="s">
        <v>702</v>
      </c>
      <c r="F10" s="434"/>
      <c r="G10" s="483" t="s">
        <v>703</v>
      </c>
      <c r="H10" s="440"/>
      <c r="I10" s="440"/>
      <c r="J10" s="440"/>
      <c r="K10" s="446">
        <v>0.5</v>
      </c>
      <c r="L10" s="447">
        <v>-0.5</v>
      </c>
      <c r="M10" s="447">
        <v>-0.5</v>
      </c>
      <c r="N10" s="448">
        <f t="shared" ref="N10:N20" si="12">(K10*$H$13+L10*$I$13+M10*$J$13+$D$27)*$C$27</f>
        <v>-0.64085638205578865</v>
      </c>
      <c r="O10" s="449">
        <f t="shared" ref="O10:O20" si="13">(K10*$H$14+L10*$I$14+M10*$J$14+$E$27)*$C$27</f>
        <v>-0.58243082125727907</v>
      </c>
      <c r="P10" s="450"/>
      <c r="Q10" s="450"/>
      <c r="R10" s="450"/>
      <c r="S10" s="451">
        <v>0</v>
      </c>
      <c r="T10" s="452">
        <v>0.6</v>
      </c>
      <c r="U10" s="453">
        <v>-0.5</v>
      </c>
      <c r="V10" s="440">
        <f t="shared" ca="1" si="0"/>
        <v>0</v>
      </c>
      <c r="W10" s="440">
        <f t="shared" ca="1" si="1"/>
        <v>-0.35777777777777775</v>
      </c>
      <c r="X10" s="444">
        <f ca="1">H$22+V10*H$21</f>
        <v>10</v>
      </c>
      <c r="Y10" s="444">
        <f t="shared" ca="1" si="2"/>
        <v>0.68618277930583971</v>
      </c>
      <c r="Z10" s="445">
        <f t="shared" ca="1" si="3"/>
        <v>-0.36751817606044096</v>
      </c>
      <c r="AA10" s="440">
        <f t="shared" ca="1" si="4"/>
        <v>0</v>
      </c>
      <c r="AB10" s="440">
        <f t="shared" ca="1" si="5"/>
        <v>-0.24825174825174823</v>
      </c>
      <c r="AC10" s="444">
        <f ca="1">I$22+AA10*I$21</f>
        <v>20</v>
      </c>
      <c r="AD10" s="444">
        <f t="shared" ca="1" si="6"/>
        <v>-0.43849242192477017</v>
      </c>
      <c r="AE10" s="445">
        <f t="shared" ca="1" si="7"/>
        <v>-0.6724669388690363</v>
      </c>
      <c r="AF10" s="440">
        <f t="shared" ca="1" si="8"/>
        <v>0</v>
      </c>
      <c r="AG10" s="440">
        <f t="shared" ca="1" si="9"/>
        <v>-0.28256537837209167</v>
      </c>
      <c r="AH10" s="440">
        <f ca="1">J$22+AF10*J$21</f>
        <v>20</v>
      </c>
      <c r="AI10" s="444">
        <f t="shared" ca="1" si="10"/>
        <v>0.73482564413437945</v>
      </c>
      <c r="AJ10" s="445">
        <f t="shared" ca="1" si="11"/>
        <v>-0.11239168370141711</v>
      </c>
    </row>
    <row r="11" spans="1:36" ht="15.95" customHeight="1">
      <c r="B11" s="434" t="s">
        <v>704</v>
      </c>
      <c r="F11" s="434"/>
      <c r="G11" s="473" t="s">
        <v>705</v>
      </c>
      <c r="H11" s="454">
        <f>SIN(RADIANS(C13))</f>
        <v>0.86602540378443871</v>
      </c>
      <c r="I11" s="436">
        <f>SIN(RADIANS(D13))</f>
        <v>1.22514845490862E-16</v>
      </c>
      <c r="J11" s="455">
        <f>SIN(RADIANS(E13))</f>
        <v>0.93969262078590832</v>
      </c>
      <c r="K11" s="446">
        <v>-0.5</v>
      </c>
      <c r="L11" s="447">
        <v>-0.5</v>
      </c>
      <c r="M11" s="447">
        <v>-0.5</v>
      </c>
      <c r="N11" s="448">
        <f t="shared" si="12"/>
        <v>-0.29883623873011983</v>
      </c>
      <c r="O11" s="449">
        <f t="shared" si="13"/>
        <v>-0.11258451086432519</v>
      </c>
      <c r="P11" s="450"/>
      <c r="Q11" s="450"/>
      <c r="R11" s="450"/>
      <c r="S11" s="451">
        <v>0</v>
      </c>
      <c r="T11" s="452">
        <v>0.5</v>
      </c>
      <c r="U11" s="453">
        <v>-0.5</v>
      </c>
      <c r="V11" s="440">
        <f t="shared" ca="1" si="0"/>
        <v>0</v>
      </c>
      <c r="W11" s="440">
        <f t="shared" ca="1" si="1"/>
        <v>-0.35777777777777775</v>
      </c>
      <c r="X11" s="444"/>
      <c r="Y11" s="444">
        <f t="shared" ca="1" si="2"/>
        <v>0.59221351722724891</v>
      </c>
      <c r="Z11" s="445">
        <f t="shared" ca="1" si="3"/>
        <v>-0.35041716889415753</v>
      </c>
      <c r="AA11" s="440">
        <f t="shared" ca="1" si="4"/>
        <v>0</v>
      </c>
      <c r="AB11" s="440">
        <f t="shared" ca="1" si="5"/>
        <v>-0.24825174825174823</v>
      </c>
      <c r="AC11" s="444"/>
      <c r="AD11" s="444">
        <f t="shared" ca="1" si="6"/>
        <v>-0.4042904075922033</v>
      </c>
      <c r="AE11" s="445">
        <f t="shared" ca="1" si="7"/>
        <v>-0.6254823078297409</v>
      </c>
      <c r="AF11" s="440">
        <f t="shared" ca="1" si="8"/>
        <v>0</v>
      </c>
      <c r="AG11" s="440">
        <f t="shared" ca="1" si="9"/>
        <v>-0.28256537837209167</v>
      </c>
      <c r="AH11" s="440"/>
      <c r="AI11" s="444">
        <f t="shared" ca="1" si="10"/>
        <v>0.64085638205578854</v>
      </c>
      <c r="AJ11" s="445">
        <f t="shared" ca="1" si="11"/>
        <v>-9.5290676535133678E-2</v>
      </c>
    </row>
    <row r="12" spans="1:36" ht="15.95" customHeight="1">
      <c r="B12" s="434" t="s">
        <v>706</v>
      </c>
      <c r="F12" s="434"/>
      <c r="G12" s="473" t="s">
        <v>707</v>
      </c>
      <c r="H12" s="456">
        <f>COS(RADIANS(C13))</f>
        <v>-0.49999999999999978</v>
      </c>
      <c r="I12" s="457">
        <f>COS(RADIANS(D13))</f>
        <v>-1</v>
      </c>
      <c r="J12" s="458">
        <f>COS(RADIANS(E13))</f>
        <v>0.34202014332566882</v>
      </c>
      <c r="K12" s="446">
        <v>-0.5</v>
      </c>
      <c r="L12" s="447">
        <v>-0.5</v>
      </c>
      <c r="M12" s="447">
        <v>0.5</v>
      </c>
      <c r="N12" s="448">
        <f t="shared" si="12"/>
        <v>-0.29883623873011972</v>
      </c>
      <c r="O12" s="449">
        <f t="shared" si="13"/>
        <v>0.75344089292011351</v>
      </c>
      <c r="P12" s="450"/>
      <c r="Q12" s="450"/>
      <c r="R12" s="450"/>
      <c r="S12" s="451">
        <v>1</v>
      </c>
      <c r="T12" s="452">
        <v>0.5</v>
      </c>
      <c r="U12" s="453">
        <v>-0.5</v>
      </c>
      <c r="V12" s="440">
        <f t="shared" ca="1" si="0"/>
        <v>1</v>
      </c>
      <c r="W12" s="440">
        <f t="shared" ca="1" si="1"/>
        <v>-0.21555555555555553</v>
      </c>
      <c r="X12" s="444"/>
      <c r="Y12" s="444">
        <f t="shared" ca="1" si="2"/>
        <v>0.54357065239870928</v>
      </c>
      <c r="Z12" s="445">
        <f t="shared" ca="1" si="3"/>
        <v>-0.41723975526115542</v>
      </c>
      <c r="AA12" s="440">
        <f t="shared" ca="1" si="4"/>
        <v>1</v>
      </c>
      <c r="AB12" s="440">
        <f t="shared" ca="1" si="5"/>
        <v>3.4965034965035446E-3</v>
      </c>
      <c r="AC12" s="444"/>
      <c r="AD12" s="444">
        <f t="shared" ca="1" si="6"/>
        <v>-0.16772443312861796</v>
      </c>
      <c r="AE12" s="445">
        <f t="shared" ca="1" si="7"/>
        <v>-0.66853379440220273</v>
      </c>
      <c r="AF12" s="440">
        <f t="shared" ca="1" si="8"/>
        <v>1</v>
      </c>
      <c r="AG12" s="440">
        <f t="shared" ca="1" si="9"/>
        <v>-6.5130756744183338E-2</v>
      </c>
      <c r="AH12" s="440"/>
      <c r="AI12" s="444">
        <f t="shared" ca="1" si="10"/>
        <v>0.64085638205578854</v>
      </c>
      <c r="AJ12" s="445">
        <f t="shared" ca="1" si="11"/>
        <v>9.3013229456892291E-2</v>
      </c>
    </row>
    <row r="13" spans="1:36" ht="15.95" customHeight="1">
      <c r="B13" s="434" t="s">
        <v>708</v>
      </c>
      <c r="C13" s="459">
        <v>120</v>
      </c>
      <c r="D13" s="460">
        <v>180</v>
      </c>
      <c r="E13" s="461">
        <v>70</v>
      </c>
      <c r="F13" s="434"/>
      <c r="G13" s="473" t="s">
        <v>709</v>
      </c>
      <c r="H13" s="440">
        <f>I12*J12*H18</f>
        <v>-0.34202014332566882</v>
      </c>
      <c r="I13" s="440">
        <f>-J11*I12*I18</f>
        <v>0.93969262078590832</v>
      </c>
      <c r="J13" s="440">
        <f>I11*J18</f>
        <v>1.22514845490862E-16</v>
      </c>
      <c r="K13" s="446">
        <v>0.5</v>
      </c>
      <c r="L13" s="447">
        <v>-0.5</v>
      </c>
      <c r="M13" s="447">
        <v>0.5</v>
      </c>
      <c r="N13" s="448">
        <f t="shared" si="12"/>
        <v>-0.64085638205578843</v>
      </c>
      <c r="O13" s="449">
        <f t="shared" si="13"/>
        <v>0.28359458252715963</v>
      </c>
      <c r="P13" s="450"/>
      <c r="Q13" s="450"/>
      <c r="R13" s="450"/>
      <c r="S13" s="451">
        <v>1</v>
      </c>
      <c r="T13" s="452">
        <v>0.6</v>
      </c>
      <c r="U13" s="453">
        <v>-0.5</v>
      </c>
      <c r="V13" s="440">
        <f t="shared" ca="1" si="0"/>
        <v>1</v>
      </c>
      <c r="W13" s="440">
        <f t="shared" ca="1" si="1"/>
        <v>-0.21555555555555553</v>
      </c>
      <c r="X13" s="444">
        <f ca="1">H$22+V13*H$21</f>
        <v>20</v>
      </c>
      <c r="Y13" s="444">
        <f t="shared" ca="1" si="2"/>
        <v>0.63753991447730018</v>
      </c>
      <c r="Z13" s="445">
        <f t="shared" ca="1" si="3"/>
        <v>-0.43434076242743885</v>
      </c>
      <c r="AA13" s="440">
        <f t="shared" ca="1" si="4"/>
        <v>1</v>
      </c>
      <c r="AB13" s="440">
        <f t="shared" ca="1" si="5"/>
        <v>3.4965034965035446E-3</v>
      </c>
      <c r="AC13" s="444">
        <f ca="1">I$22+AA13*I$21</f>
        <v>40</v>
      </c>
      <c r="AD13" s="444">
        <f t="shared" ca="1" si="6"/>
        <v>-0.20192644746118482</v>
      </c>
      <c r="AE13" s="445">
        <f t="shared" ca="1" si="7"/>
        <v>-0.71551842544149813</v>
      </c>
      <c r="AF13" s="440">
        <f t="shared" ca="1" si="8"/>
        <v>1</v>
      </c>
      <c r="AG13" s="440">
        <f t="shared" ca="1" si="9"/>
        <v>-6.5130756744183338E-2</v>
      </c>
      <c r="AH13" s="440">
        <f ca="1">J$22+AF13*J$21</f>
        <v>40</v>
      </c>
      <c r="AI13" s="444">
        <f t="shared" ca="1" si="10"/>
        <v>0.73482564413437945</v>
      </c>
      <c r="AJ13" s="445">
        <f t="shared" ca="1" si="11"/>
        <v>7.5912222290608858E-2</v>
      </c>
    </row>
    <row r="14" spans="1:36" ht="15.95" customHeight="1">
      <c r="B14" s="434" t="s">
        <v>710</v>
      </c>
      <c r="C14" s="462">
        <v>0</v>
      </c>
      <c r="D14" s="463">
        <v>0</v>
      </c>
      <c r="E14" s="464">
        <v>0</v>
      </c>
      <c r="G14" s="473" t="s">
        <v>711</v>
      </c>
      <c r="H14" s="440">
        <f>(J12*I11*H11+J11*H12)*H18</f>
        <v>-0.46984631039295388</v>
      </c>
      <c r="I14" s="440">
        <f>(-J11*I11*H11+J12*H12)*I18</f>
        <v>-0.17101007166283444</v>
      </c>
      <c r="J14" s="440">
        <f>-I12*H11*J18</f>
        <v>0.86602540378443871</v>
      </c>
      <c r="K14" s="446">
        <v>0.5</v>
      </c>
      <c r="L14" s="447">
        <v>-0.5</v>
      </c>
      <c r="M14" s="447">
        <v>-0.5</v>
      </c>
      <c r="N14" s="448">
        <f t="shared" si="12"/>
        <v>-0.64085638205578865</v>
      </c>
      <c r="O14" s="449">
        <f t="shared" si="13"/>
        <v>-0.58243082125727907</v>
      </c>
      <c r="P14" s="450"/>
      <c r="Q14" s="450"/>
      <c r="R14" s="450"/>
      <c r="S14" s="451">
        <v>1</v>
      </c>
      <c r="T14" s="452">
        <v>0.5</v>
      </c>
      <c r="U14" s="453">
        <v>-0.5</v>
      </c>
      <c r="V14" s="440">
        <f t="shared" ca="1" si="0"/>
        <v>1</v>
      </c>
      <c r="W14" s="440">
        <f t="shared" ca="1" si="1"/>
        <v>-0.21555555555555553</v>
      </c>
      <c r="X14" s="444"/>
      <c r="Y14" s="444">
        <f t="shared" ca="1" si="2"/>
        <v>0.54357065239870928</v>
      </c>
      <c r="Z14" s="445">
        <f t="shared" ca="1" si="3"/>
        <v>-0.41723975526115542</v>
      </c>
      <c r="AA14" s="440">
        <f t="shared" ca="1" si="4"/>
        <v>1</v>
      </c>
      <c r="AB14" s="440">
        <f t="shared" ca="1" si="5"/>
        <v>3.4965034965035446E-3</v>
      </c>
      <c r="AC14" s="444"/>
      <c r="AD14" s="444">
        <f t="shared" ca="1" si="6"/>
        <v>-0.16772443312861796</v>
      </c>
      <c r="AE14" s="445">
        <f t="shared" ca="1" si="7"/>
        <v>-0.66853379440220273</v>
      </c>
      <c r="AF14" s="440">
        <f t="shared" ca="1" si="8"/>
        <v>1</v>
      </c>
      <c r="AG14" s="440">
        <f t="shared" ca="1" si="9"/>
        <v>-6.5130756744183338E-2</v>
      </c>
      <c r="AH14" s="440"/>
      <c r="AI14" s="444">
        <f t="shared" ca="1" si="10"/>
        <v>0.64085638205578854</v>
      </c>
      <c r="AJ14" s="445">
        <f t="shared" ca="1" si="11"/>
        <v>9.3013229456892291E-2</v>
      </c>
    </row>
    <row r="15" spans="1:36" ht="15.95" customHeight="1">
      <c r="G15" s="483" t="s">
        <v>712</v>
      </c>
      <c r="H15" s="440"/>
      <c r="I15" s="440"/>
      <c r="J15" s="440"/>
      <c r="K15" s="446">
        <v>0.5</v>
      </c>
      <c r="L15" s="447">
        <v>0.5</v>
      </c>
      <c r="M15" s="447">
        <v>-0.5</v>
      </c>
      <c r="N15" s="448">
        <f t="shared" si="12"/>
        <v>0.29883623873011972</v>
      </c>
      <c r="O15" s="449">
        <f t="shared" si="13"/>
        <v>-0.75344089292011351</v>
      </c>
      <c r="P15" s="450"/>
      <c r="Q15" s="450"/>
      <c r="R15" s="450"/>
      <c r="S15" s="451">
        <v>2</v>
      </c>
      <c r="T15" s="452">
        <v>0.5</v>
      </c>
      <c r="U15" s="453">
        <v>-0.5</v>
      </c>
      <c r="V15" s="440">
        <f t="shared" ca="1" si="0"/>
        <v>2</v>
      </c>
      <c r="W15" s="440">
        <f t="shared" ca="1" si="1"/>
        <v>-7.3333333333333306E-2</v>
      </c>
      <c r="X15" s="444"/>
      <c r="Y15" s="444">
        <f t="shared" ca="1" si="2"/>
        <v>0.49492778757016981</v>
      </c>
      <c r="Z15" s="445">
        <f t="shared" ca="1" si="3"/>
        <v>-0.48406234162815331</v>
      </c>
      <c r="AA15" s="440">
        <f t="shared" ca="1" si="4"/>
        <v>2</v>
      </c>
      <c r="AB15" s="440">
        <f t="shared" ca="1" si="5"/>
        <v>0.25524475524475532</v>
      </c>
      <c r="AC15" s="444"/>
      <c r="AD15" s="444">
        <f t="shared" ca="1" si="6"/>
        <v>6.8841541334967365E-2</v>
      </c>
      <c r="AE15" s="445">
        <f t="shared" ca="1" si="7"/>
        <v>-0.71158528097466456</v>
      </c>
      <c r="AF15" s="440">
        <f t="shared" ca="1" si="8"/>
        <v>2</v>
      </c>
      <c r="AG15" s="440">
        <f t="shared" ca="1" si="9"/>
        <v>0.15230386488372499</v>
      </c>
      <c r="AH15" s="440"/>
      <c r="AI15" s="444">
        <f t="shared" ca="1" si="10"/>
        <v>0.64085638205578854</v>
      </c>
      <c r="AJ15" s="445">
        <f t="shared" ca="1" si="11"/>
        <v>0.28131713544891823</v>
      </c>
    </row>
    <row r="16" spans="1:36" ht="15.95" customHeight="1">
      <c r="B16" s="434" t="s">
        <v>713</v>
      </c>
      <c r="F16" s="434"/>
      <c r="G16" s="473" t="s">
        <v>714</v>
      </c>
      <c r="H16" s="440">
        <f ca="1">MIN(C33:C54)</f>
        <v>0</v>
      </c>
      <c r="I16" s="440">
        <f ca="1">MIN(D33:D54)</f>
        <v>0</v>
      </c>
      <c r="J16" s="440">
        <f ca="1">MIN(E33:E54)</f>
        <v>0</v>
      </c>
      <c r="K16" s="446">
        <v>-0.5</v>
      </c>
      <c r="L16" s="447">
        <v>0.5</v>
      </c>
      <c r="M16" s="447">
        <v>-0.5</v>
      </c>
      <c r="N16" s="448">
        <f t="shared" si="12"/>
        <v>0.64085638205578843</v>
      </c>
      <c r="O16" s="449">
        <f t="shared" si="13"/>
        <v>-0.28359458252715963</v>
      </c>
      <c r="P16" s="450"/>
      <c r="Q16" s="450"/>
      <c r="R16" s="450"/>
      <c r="S16" s="451">
        <v>2</v>
      </c>
      <c r="T16" s="452">
        <v>0.6</v>
      </c>
      <c r="U16" s="453">
        <v>-0.5</v>
      </c>
      <c r="V16" s="440">
        <f t="shared" ca="1" si="0"/>
        <v>2</v>
      </c>
      <c r="W16" s="440">
        <f t="shared" ca="1" si="1"/>
        <v>-7.3333333333333306E-2</v>
      </c>
      <c r="X16" s="444">
        <f ca="1">H$22+V16*H$21</f>
        <v>30</v>
      </c>
      <c r="Y16" s="444">
        <f t="shared" ca="1" si="2"/>
        <v>0.58889704964876055</v>
      </c>
      <c r="Z16" s="445">
        <f t="shared" ca="1" si="3"/>
        <v>-0.50116334879443669</v>
      </c>
      <c r="AA16" s="440">
        <f t="shared" ca="1" si="4"/>
        <v>2</v>
      </c>
      <c r="AB16" s="440">
        <f t="shared" ca="1" si="5"/>
        <v>0.25524475524475532</v>
      </c>
      <c r="AC16" s="444">
        <f ca="1">I$22+AA16*I$21</f>
        <v>60</v>
      </c>
      <c r="AD16" s="444">
        <f t="shared" ca="1" si="6"/>
        <v>3.4639527002400493E-2</v>
      </c>
      <c r="AE16" s="445">
        <f t="shared" ca="1" si="7"/>
        <v>-0.75856991201395996</v>
      </c>
      <c r="AF16" s="440">
        <f t="shared" ca="1" si="8"/>
        <v>2</v>
      </c>
      <c r="AG16" s="440">
        <f t="shared" ca="1" si="9"/>
        <v>0.15230386488372499</v>
      </c>
      <c r="AH16" s="440">
        <f ca="1">J$22+AF16*J$21</f>
        <v>60</v>
      </c>
      <c r="AI16" s="444">
        <f t="shared" ca="1" si="10"/>
        <v>0.73482564413437945</v>
      </c>
      <c r="AJ16" s="445">
        <f t="shared" ca="1" si="11"/>
        <v>0.26421612828263485</v>
      </c>
    </row>
    <row r="17" spans="2:36" ht="15.95" customHeight="1">
      <c r="B17" s="434" t="s">
        <v>715</v>
      </c>
      <c r="F17" s="434"/>
      <c r="G17" s="473" t="s">
        <v>716</v>
      </c>
      <c r="H17" s="440">
        <f ca="1">MAX(C33:C54)-H16</f>
        <v>70.3125</v>
      </c>
      <c r="I17" s="440">
        <f ca="1">MAX(D33:D54)-I16</f>
        <v>79.444444444444429</v>
      </c>
      <c r="J17" s="440">
        <f ca="1">MAX(E33:E54)-J16</f>
        <v>91.981671779141109</v>
      </c>
      <c r="K17" s="446">
        <v>-0.5</v>
      </c>
      <c r="L17" s="447">
        <v>0.5</v>
      </c>
      <c r="M17" s="447">
        <v>0.5</v>
      </c>
      <c r="N17" s="448">
        <f t="shared" si="12"/>
        <v>0.64085638205578865</v>
      </c>
      <c r="O17" s="449">
        <f t="shared" si="13"/>
        <v>0.58243082125727907</v>
      </c>
      <c r="P17" s="450"/>
      <c r="Q17" s="450"/>
      <c r="R17" s="450"/>
      <c r="S17" s="451">
        <v>2</v>
      </c>
      <c r="T17" s="452">
        <v>0.5</v>
      </c>
      <c r="U17" s="453">
        <v>-0.5</v>
      </c>
      <c r="V17" s="440">
        <f t="shared" ca="1" si="0"/>
        <v>2</v>
      </c>
      <c r="W17" s="440">
        <f t="shared" ca="1" si="1"/>
        <v>-7.3333333333333306E-2</v>
      </c>
      <c r="X17" s="444"/>
      <c r="Y17" s="444">
        <f t="shared" ca="1" si="2"/>
        <v>0.49492778757016981</v>
      </c>
      <c r="Z17" s="445">
        <f t="shared" ca="1" si="3"/>
        <v>-0.48406234162815331</v>
      </c>
      <c r="AA17" s="440">
        <f t="shared" ca="1" si="4"/>
        <v>2</v>
      </c>
      <c r="AB17" s="440">
        <f t="shared" ca="1" si="5"/>
        <v>0.25524475524475532</v>
      </c>
      <c r="AC17" s="444"/>
      <c r="AD17" s="444">
        <f t="shared" ca="1" si="6"/>
        <v>6.8841541334967365E-2</v>
      </c>
      <c r="AE17" s="445">
        <f t="shared" ca="1" si="7"/>
        <v>-0.71158528097466456</v>
      </c>
      <c r="AF17" s="440">
        <f t="shared" ca="1" si="8"/>
        <v>2</v>
      </c>
      <c r="AG17" s="440">
        <f t="shared" ca="1" si="9"/>
        <v>0.15230386488372499</v>
      </c>
      <c r="AH17" s="440"/>
      <c r="AI17" s="444">
        <f t="shared" ca="1" si="10"/>
        <v>0.64085638205578854</v>
      </c>
      <c r="AJ17" s="445">
        <f t="shared" ca="1" si="11"/>
        <v>0.28131713544891823</v>
      </c>
    </row>
    <row r="18" spans="2:36" ht="15.95" customHeight="1">
      <c r="B18" s="434" t="s">
        <v>717</v>
      </c>
      <c r="F18" s="434"/>
      <c r="G18" s="473" t="s">
        <v>718</v>
      </c>
      <c r="H18" s="440">
        <f>IF(D23,H17/MAX($H17:$J17),1)</f>
        <v>1</v>
      </c>
      <c r="I18" s="440">
        <f>IF(D23,I17/MAX($H17:$J17),1)</f>
        <v>1</v>
      </c>
      <c r="J18" s="440">
        <f>IF(D23,J17/MAX($H17:$J17),1)</f>
        <v>1</v>
      </c>
      <c r="K18" s="446">
        <v>-0.5</v>
      </c>
      <c r="L18" s="447">
        <v>-0.5</v>
      </c>
      <c r="M18" s="447">
        <v>0.5</v>
      </c>
      <c r="N18" s="448">
        <f t="shared" si="12"/>
        <v>-0.29883623873011972</v>
      </c>
      <c r="O18" s="449">
        <f t="shared" si="13"/>
        <v>0.75344089292011351</v>
      </c>
      <c r="P18" s="450"/>
      <c r="Q18" s="450"/>
      <c r="R18" s="450"/>
      <c r="S18" s="451">
        <v>3</v>
      </c>
      <c r="T18" s="452">
        <v>0.5</v>
      </c>
      <c r="U18" s="453">
        <v>-0.5</v>
      </c>
      <c r="V18" s="440">
        <f t="shared" ca="1" si="0"/>
        <v>3</v>
      </c>
      <c r="W18" s="440">
        <f t="shared" ca="1" si="1"/>
        <v>6.8888888888888888E-2</v>
      </c>
      <c r="X18" s="444"/>
      <c r="Y18" s="444">
        <f t="shared" ca="1" si="2"/>
        <v>0.44628492274163023</v>
      </c>
      <c r="Z18" s="445">
        <f t="shared" ca="1" si="3"/>
        <v>-0.55088492799515121</v>
      </c>
      <c r="AA18" s="440">
        <f t="shared" ca="1" si="4"/>
        <v>2</v>
      </c>
      <c r="AB18" s="440">
        <f t="shared" ca="1" si="5"/>
        <v>0.25524475524475532</v>
      </c>
      <c r="AC18" s="444"/>
      <c r="AD18" s="444">
        <f t="shared" ca="1" si="6"/>
        <v>6.8841541334967365E-2</v>
      </c>
      <c r="AE18" s="445">
        <f t="shared" ca="1" si="7"/>
        <v>-0.71158528097466456</v>
      </c>
      <c r="AF18" s="440">
        <f t="shared" ca="1" si="8"/>
        <v>3</v>
      </c>
      <c r="AG18" s="440">
        <f t="shared" ca="1" si="9"/>
        <v>0.36973848651163327</v>
      </c>
      <c r="AH18" s="440"/>
      <c r="AI18" s="444">
        <f t="shared" ca="1" si="10"/>
        <v>0.64085638205578854</v>
      </c>
      <c r="AJ18" s="445">
        <f t="shared" ca="1" si="11"/>
        <v>0.46962104144094419</v>
      </c>
    </row>
    <row r="19" spans="2:36" ht="15.95" customHeight="1">
      <c r="B19" s="487"/>
      <c r="D19" s="434" t="b">
        <v>1</v>
      </c>
      <c r="F19" s="434"/>
      <c r="G19" s="483" t="s">
        <v>719</v>
      </c>
      <c r="H19" s="440"/>
      <c r="I19" s="440"/>
      <c r="J19" s="440"/>
      <c r="K19" s="446">
        <v>-0.5</v>
      </c>
      <c r="L19" s="447">
        <v>-0.5</v>
      </c>
      <c r="M19" s="447">
        <v>-0.5</v>
      </c>
      <c r="N19" s="448">
        <f t="shared" si="12"/>
        <v>-0.29883623873011983</v>
      </c>
      <c r="O19" s="449">
        <f t="shared" si="13"/>
        <v>-0.11258451086432519</v>
      </c>
      <c r="P19" s="450"/>
      <c r="Q19" s="450"/>
      <c r="R19" s="450"/>
      <c r="S19" s="451">
        <v>3</v>
      </c>
      <c r="T19" s="452">
        <v>0.6</v>
      </c>
      <c r="U19" s="453">
        <v>-0.5</v>
      </c>
      <c r="V19" s="440">
        <f t="shared" ca="1" si="0"/>
        <v>3</v>
      </c>
      <c r="W19" s="440">
        <f t="shared" ca="1" si="1"/>
        <v>6.8888888888888888E-2</v>
      </c>
      <c r="X19" s="444">
        <f ca="1">H$22+V19*H$21</f>
        <v>40</v>
      </c>
      <c r="Y19" s="444">
        <f t="shared" ca="1" si="2"/>
        <v>0.54025418482022103</v>
      </c>
      <c r="Z19" s="445">
        <f t="shared" ca="1" si="3"/>
        <v>-0.56798593516143459</v>
      </c>
      <c r="AA19" s="440">
        <f t="shared" ca="1" si="4"/>
        <v>2</v>
      </c>
      <c r="AB19" s="440">
        <f t="shared" ca="1" si="5"/>
        <v>0.25524475524475532</v>
      </c>
      <c r="AC19" s="444">
        <f ca="1">I$22+AA19*I$21</f>
        <v>60</v>
      </c>
      <c r="AD19" s="444">
        <f t="shared" ca="1" si="6"/>
        <v>3.4639527002400493E-2</v>
      </c>
      <c r="AE19" s="445">
        <f t="shared" ca="1" si="7"/>
        <v>-0.75856991201395996</v>
      </c>
      <c r="AF19" s="440">
        <f t="shared" ca="1" si="8"/>
        <v>3</v>
      </c>
      <c r="AG19" s="440">
        <f t="shared" ca="1" si="9"/>
        <v>0.36973848651163327</v>
      </c>
      <c r="AH19" s="440">
        <f ca="1">J$22+AF19*J$21</f>
        <v>80</v>
      </c>
      <c r="AI19" s="444">
        <f t="shared" ca="1" si="10"/>
        <v>0.73482564413437945</v>
      </c>
      <c r="AJ19" s="445">
        <f t="shared" ca="1" si="11"/>
        <v>0.45252003427466075</v>
      </c>
    </row>
    <row r="20" spans="2:36" ht="15.95" customHeight="1">
      <c r="B20" s="434" t="s">
        <v>720</v>
      </c>
      <c r="F20" s="434"/>
      <c r="G20" s="473" t="s">
        <v>721</v>
      </c>
      <c r="H20" s="440">
        <f ca="1">H17/5</f>
        <v>14.0625</v>
      </c>
      <c r="I20" s="440">
        <f ca="1">I17/5</f>
        <v>15.888888888888886</v>
      </c>
      <c r="J20" s="440">
        <f ca="1">J17/5</f>
        <v>18.396334355828223</v>
      </c>
      <c r="K20" s="465">
        <v>-0.5</v>
      </c>
      <c r="L20" s="466">
        <v>0.5</v>
      </c>
      <c r="M20" s="466">
        <v>-0.5</v>
      </c>
      <c r="N20" s="467">
        <f t="shared" si="12"/>
        <v>0.64085638205578843</v>
      </c>
      <c r="O20" s="468">
        <f t="shared" si="13"/>
        <v>-0.28359458252715963</v>
      </c>
      <c r="P20" s="450"/>
      <c r="Q20" s="450"/>
      <c r="R20" s="450"/>
      <c r="S20" s="451">
        <v>3</v>
      </c>
      <c r="T20" s="452">
        <v>0.5</v>
      </c>
      <c r="U20" s="453">
        <v>-0.5</v>
      </c>
      <c r="V20" s="440">
        <f t="shared" ca="1" si="0"/>
        <v>3</v>
      </c>
      <c r="W20" s="440">
        <f t="shared" ca="1" si="1"/>
        <v>6.8888888888888888E-2</v>
      </c>
      <c r="X20" s="444"/>
      <c r="Y20" s="444">
        <f t="shared" ca="1" si="2"/>
        <v>0.44628492274163023</v>
      </c>
      <c r="Z20" s="445">
        <f t="shared" ca="1" si="3"/>
        <v>-0.55088492799515121</v>
      </c>
      <c r="AA20" s="440">
        <f t="shared" ca="1" si="4"/>
        <v>2</v>
      </c>
      <c r="AB20" s="440">
        <f t="shared" ca="1" si="5"/>
        <v>0.25524475524475532</v>
      </c>
      <c r="AC20" s="444"/>
      <c r="AD20" s="444">
        <f t="shared" ca="1" si="6"/>
        <v>6.8841541334967365E-2</v>
      </c>
      <c r="AE20" s="445">
        <f t="shared" ca="1" si="7"/>
        <v>-0.71158528097466456</v>
      </c>
      <c r="AF20" s="440">
        <f t="shared" ca="1" si="8"/>
        <v>3</v>
      </c>
      <c r="AG20" s="440">
        <f t="shared" ca="1" si="9"/>
        <v>0.36973848651163327</v>
      </c>
      <c r="AH20" s="440"/>
      <c r="AI20" s="444">
        <f t="shared" ca="1" si="10"/>
        <v>0.64085638205578854</v>
      </c>
      <c r="AJ20" s="445">
        <f t="shared" ca="1" si="11"/>
        <v>0.46962104144094419</v>
      </c>
    </row>
    <row r="21" spans="2:36" ht="15.95" customHeight="1">
      <c r="B21" s="434" t="s">
        <v>722</v>
      </c>
      <c r="F21" s="434"/>
      <c r="G21" s="473" t="s">
        <v>723</v>
      </c>
      <c r="H21" s="440">
        <f ca="1">ROUND(H20,1-INT(LOG(ABS(H20))+1))</f>
        <v>10</v>
      </c>
      <c r="I21" s="440">
        <f ca="1">ROUND(I20,1-INT(LOG(ABS(I20))+1))</f>
        <v>20</v>
      </c>
      <c r="J21" s="440">
        <f ca="1">ROUND(J20,1-INT(LOG(ABS(J20))+1))</f>
        <v>20</v>
      </c>
      <c r="K21" s="473"/>
      <c r="S21" s="451">
        <v>4</v>
      </c>
      <c r="T21" s="452">
        <v>0.5</v>
      </c>
      <c r="U21" s="453">
        <v>-0.5</v>
      </c>
      <c r="V21" s="440">
        <f t="shared" ca="1" si="0"/>
        <v>4</v>
      </c>
      <c r="W21" s="440">
        <f t="shared" ca="1" si="1"/>
        <v>0.21111111111111114</v>
      </c>
      <c r="X21" s="444"/>
      <c r="Y21" s="444">
        <f t="shared" ca="1" si="2"/>
        <v>0.39764205791309065</v>
      </c>
      <c r="Z21" s="445">
        <f t="shared" ca="1" si="3"/>
        <v>-0.6177075143621491</v>
      </c>
      <c r="AA21" s="440">
        <f t="shared" ca="1" si="4"/>
        <v>2</v>
      </c>
      <c r="AB21" s="440">
        <f t="shared" ca="1" si="5"/>
        <v>0.25524475524475532</v>
      </c>
      <c r="AC21" s="444"/>
      <c r="AD21" s="444">
        <f t="shared" ca="1" si="6"/>
        <v>6.8841541334967365E-2</v>
      </c>
      <c r="AE21" s="445">
        <f t="shared" ca="1" si="7"/>
        <v>-0.71158528097466456</v>
      </c>
      <c r="AF21" s="440">
        <f t="shared" ca="1" si="8"/>
        <v>3</v>
      </c>
      <c r="AG21" s="440">
        <f t="shared" ca="1" si="9"/>
        <v>0.36973848651163327</v>
      </c>
      <c r="AH21" s="440"/>
      <c r="AI21" s="444">
        <f t="shared" ca="1" si="10"/>
        <v>0.64085638205578854</v>
      </c>
      <c r="AJ21" s="445">
        <f t="shared" ca="1" si="11"/>
        <v>0.46962104144094419</v>
      </c>
    </row>
    <row r="22" spans="2:36" ht="15.95" customHeight="1">
      <c r="B22" s="434" t="s">
        <v>724</v>
      </c>
      <c r="F22" s="434"/>
      <c r="G22" s="473" t="s">
        <v>725</v>
      </c>
      <c r="H22" s="440">
        <f ca="1">H21*(INT(H16/H21)+1)</f>
        <v>10</v>
      </c>
      <c r="I22" s="440">
        <f ca="1">I21*(INT(I16/I21)+1)</f>
        <v>20</v>
      </c>
      <c r="J22" s="440">
        <f ca="1">J21*(INT(J16/J21)+1)</f>
        <v>20</v>
      </c>
      <c r="K22" s="484" t="s">
        <v>726</v>
      </c>
      <c r="L22" s="461"/>
      <c r="M22" s="484" t="s">
        <v>727</v>
      </c>
      <c r="N22" s="485"/>
      <c r="O22" s="484" t="s">
        <v>728</v>
      </c>
      <c r="P22" s="488"/>
      <c r="Q22" s="485" t="s">
        <v>729</v>
      </c>
      <c r="R22" s="461"/>
      <c r="S22" s="451">
        <v>4</v>
      </c>
      <c r="T22" s="452">
        <v>0.6</v>
      </c>
      <c r="U22" s="453">
        <v>-0.5</v>
      </c>
      <c r="V22" s="440">
        <f t="shared" ca="1" si="0"/>
        <v>4</v>
      </c>
      <c r="W22" s="440">
        <f t="shared" ca="1" si="1"/>
        <v>0.21111111111111114</v>
      </c>
      <c r="X22" s="444">
        <f ca="1">H$22+V22*H$21</f>
        <v>50</v>
      </c>
      <c r="Y22" s="444">
        <f t="shared" ca="1" si="2"/>
        <v>0.49161131999168156</v>
      </c>
      <c r="Z22" s="445">
        <f t="shared" ca="1" si="3"/>
        <v>-0.63480852152843248</v>
      </c>
      <c r="AA22" s="440">
        <f t="shared" ca="1" si="4"/>
        <v>2</v>
      </c>
      <c r="AB22" s="440">
        <f t="shared" ca="1" si="5"/>
        <v>0.25524475524475532</v>
      </c>
      <c r="AC22" s="444">
        <f ca="1">I$22+AA22*I$21</f>
        <v>60</v>
      </c>
      <c r="AD22" s="444">
        <f t="shared" ca="1" si="6"/>
        <v>3.4639527002400493E-2</v>
      </c>
      <c r="AE22" s="445">
        <f t="shared" ca="1" si="7"/>
        <v>-0.75856991201395996</v>
      </c>
      <c r="AF22" s="440">
        <f t="shared" ca="1" si="8"/>
        <v>3</v>
      </c>
      <c r="AG22" s="440">
        <f t="shared" ca="1" si="9"/>
        <v>0.36973848651163327</v>
      </c>
      <c r="AH22" s="440">
        <f ca="1">J$22+AF22*J$21</f>
        <v>80</v>
      </c>
      <c r="AI22" s="444">
        <f t="shared" ca="1" si="10"/>
        <v>0.73482564413437945</v>
      </c>
      <c r="AJ22" s="445">
        <f t="shared" ca="1" si="11"/>
        <v>0.45252003427466075</v>
      </c>
    </row>
    <row r="23" spans="2:36" ht="15.95" customHeight="1">
      <c r="B23" s="487"/>
      <c r="D23" s="434" t="b">
        <v>0</v>
      </c>
      <c r="F23" s="434"/>
      <c r="G23" s="473" t="s">
        <v>730</v>
      </c>
      <c r="H23" s="440">
        <f ca="1">INT((H17+H16-H22)/H21)</f>
        <v>6</v>
      </c>
      <c r="I23" s="440">
        <f ca="1">INT((I17+I16-I22)/I21)</f>
        <v>2</v>
      </c>
      <c r="J23" s="440">
        <f ca="1">INT((J17+J16-J22)/J21)</f>
        <v>3</v>
      </c>
      <c r="K23" s="451" t="s">
        <v>731</v>
      </c>
      <c r="L23" s="453" t="s">
        <v>732</v>
      </c>
      <c r="M23" s="473"/>
      <c r="N23" s="470"/>
      <c r="O23" s="473"/>
      <c r="P23" s="469"/>
      <c r="Q23" s="470"/>
      <c r="R23" s="469"/>
      <c r="S23" s="451">
        <v>4</v>
      </c>
      <c r="T23" s="452">
        <v>0.5</v>
      </c>
      <c r="U23" s="453">
        <v>-0.5</v>
      </c>
      <c r="V23" s="440">
        <f t="shared" ca="1" si="0"/>
        <v>4</v>
      </c>
      <c r="W23" s="440">
        <f t="shared" ca="1" si="1"/>
        <v>0.21111111111111114</v>
      </c>
      <c r="X23" s="444"/>
      <c r="Y23" s="444">
        <f t="shared" ca="1" si="2"/>
        <v>0.39764205791309065</v>
      </c>
      <c r="Z23" s="445">
        <f t="shared" ca="1" si="3"/>
        <v>-0.6177075143621491</v>
      </c>
      <c r="AA23" s="440">
        <f t="shared" ca="1" si="4"/>
        <v>2</v>
      </c>
      <c r="AB23" s="440">
        <f t="shared" ca="1" si="5"/>
        <v>0.25524475524475532</v>
      </c>
      <c r="AC23" s="444"/>
      <c r="AD23" s="444">
        <f t="shared" ca="1" si="6"/>
        <v>6.8841541334967365E-2</v>
      </c>
      <c r="AE23" s="445">
        <f t="shared" ca="1" si="7"/>
        <v>-0.71158528097466456</v>
      </c>
      <c r="AF23" s="440">
        <f t="shared" ca="1" si="8"/>
        <v>3</v>
      </c>
      <c r="AG23" s="440">
        <f t="shared" ca="1" si="9"/>
        <v>0.36973848651163327</v>
      </c>
      <c r="AH23" s="440"/>
      <c r="AI23" s="444">
        <f t="shared" ca="1" si="10"/>
        <v>0.64085638205578854</v>
      </c>
      <c r="AJ23" s="445">
        <f t="shared" ca="1" si="11"/>
        <v>0.46962104144094419</v>
      </c>
    </row>
    <row r="24" spans="2:36" ht="15.95" customHeight="1">
      <c r="F24" s="434"/>
      <c r="G24" s="473" t="s">
        <v>733</v>
      </c>
      <c r="H24" s="440">
        <f ca="1">(H22-H16)/H17-0.5</f>
        <v>-0.35777777777777775</v>
      </c>
      <c r="I24" s="440">
        <f ca="1">(I22-I16)/I17-0.5</f>
        <v>-0.24825174825174823</v>
      </c>
      <c r="J24" s="440">
        <f ca="1">(J22-J16)/J17-0.5</f>
        <v>-0.28256537837209167</v>
      </c>
      <c r="K24" s="446">
        <v>-0.5</v>
      </c>
      <c r="L24" s="471">
        <v>-0.5</v>
      </c>
      <c r="M24" s="472">
        <f>(H$27*$H$13+K24*$I$13+L24*$J$13+$D$27)*$C$27</f>
        <v>-0.29883623873011983</v>
      </c>
      <c r="N24" s="449">
        <f>(H$27*$H$14+K24*$I$14+L24*$J$14+$E$27)*$C$27</f>
        <v>-0.11258451086432519</v>
      </c>
      <c r="O24" s="472">
        <f>(K24*$H$13+I$27*$I$13+L24*$J$13+$D$27)*$C$27</f>
        <v>-0.29883623873011983</v>
      </c>
      <c r="P24" s="449">
        <f>(K24*$H$14+I$27*$I$14+L24*$J$14+$E$27)*$C$27</f>
        <v>-0.11258451086432519</v>
      </c>
      <c r="Q24" s="472">
        <f>(K24*$H$13+L24*$I$13+J$27*$J$13+$D$27)*$C$27</f>
        <v>-0.29883623873011983</v>
      </c>
      <c r="R24" s="449">
        <f>(K24*$H$14+L24*$I$14+J$27*$J$14+$E$27)*$C$27</f>
        <v>-0.11258451086432519</v>
      </c>
      <c r="S24" s="451">
        <v>5</v>
      </c>
      <c r="T24" s="452">
        <v>0.5</v>
      </c>
      <c r="U24" s="453">
        <v>-0.5</v>
      </c>
      <c r="V24" s="440">
        <f t="shared" ca="1" si="0"/>
        <v>5</v>
      </c>
      <c r="W24" s="440">
        <f t="shared" ca="1" si="1"/>
        <v>0.35333333333333339</v>
      </c>
      <c r="X24" s="444"/>
      <c r="Y24" s="444">
        <f t="shared" ca="1" si="2"/>
        <v>0.34899919308455113</v>
      </c>
      <c r="Z24" s="445">
        <f t="shared" ca="1" si="3"/>
        <v>-0.68453010072914688</v>
      </c>
      <c r="AA24" s="440">
        <f t="shared" ca="1" si="4"/>
        <v>2</v>
      </c>
      <c r="AB24" s="440">
        <f t="shared" ca="1" si="5"/>
        <v>0.25524475524475532</v>
      </c>
      <c r="AC24" s="444"/>
      <c r="AD24" s="444">
        <f t="shared" ca="1" si="6"/>
        <v>6.8841541334967365E-2</v>
      </c>
      <c r="AE24" s="445">
        <f t="shared" ca="1" si="7"/>
        <v>-0.71158528097466456</v>
      </c>
      <c r="AF24" s="440">
        <f t="shared" ca="1" si="8"/>
        <v>3</v>
      </c>
      <c r="AG24" s="440">
        <f t="shared" ca="1" si="9"/>
        <v>0.36973848651163327</v>
      </c>
      <c r="AH24" s="440"/>
      <c r="AI24" s="444">
        <f t="shared" ca="1" si="10"/>
        <v>0.64085638205578854</v>
      </c>
      <c r="AJ24" s="445">
        <f t="shared" ca="1" si="11"/>
        <v>0.46962104144094419</v>
      </c>
    </row>
    <row r="25" spans="2:36" ht="15.95" customHeight="1">
      <c r="B25" s="470"/>
      <c r="C25" s="459" t="s">
        <v>720</v>
      </c>
      <c r="D25" s="460" t="s">
        <v>722</v>
      </c>
      <c r="E25" s="461" t="s">
        <v>724</v>
      </c>
      <c r="F25" s="434"/>
      <c r="G25" s="473" t="s">
        <v>734</v>
      </c>
      <c r="H25" s="440">
        <f ca="1">H21/H17</f>
        <v>0.14222222222222222</v>
      </c>
      <c r="I25" s="440">
        <f ca="1">I21/I17</f>
        <v>0.25174825174825177</v>
      </c>
      <c r="J25" s="440">
        <f ca="1">J21/J17</f>
        <v>0.21743462162790833</v>
      </c>
      <c r="K25" s="446">
        <v>0.5</v>
      </c>
      <c r="L25" s="471">
        <v>-0.5</v>
      </c>
      <c r="M25" s="472">
        <f>(H$27*$H$13+K25*$I$13+L25*$J$13+$D$27)*$C$27</f>
        <v>0.64085638205578843</v>
      </c>
      <c r="N25" s="449">
        <f>(H$27*$H$14+K25*$I$14+L25*$J$14+$E$27)*$C$27</f>
        <v>-0.28359458252715963</v>
      </c>
      <c r="O25" s="472">
        <f>(K25*$H$13+I$27*$I$13+L25*$J$13+$D$27)*$C$27</f>
        <v>-0.64085638205578865</v>
      </c>
      <c r="P25" s="449">
        <f>(K25*$H$14+I$27*$I$14+L25*$J$14+$E$27)*$C$27</f>
        <v>-0.58243082125727907</v>
      </c>
      <c r="Q25" s="472">
        <f>(K25*$H$13+L25*$I$13+J$27*$J$13+$D$27)*$C$27</f>
        <v>-0.64085638205578865</v>
      </c>
      <c r="R25" s="449">
        <f>(K25*$H$14+L25*$I$14+J$27*$J$14+$E$27)*$C$27</f>
        <v>-0.58243082125727907</v>
      </c>
      <c r="S25" s="451">
        <v>5</v>
      </c>
      <c r="T25" s="452">
        <v>0.6</v>
      </c>
      <c r="U25" s="453">
        <v>-0.5</v>
      </c>
      <c r="V25" s="440">
        <f t="shared" ca="1" si="0"/>
        <v>5</v>
      </c>
      <c r="W25" s="440">
        <f t="shared" ca="1" si="1"/>
        <v>0.35333333333333339</v>
      </c>
      <c r="X25" s="444">
        <f ca="1">H$22+V25*H$21</f>
        <v>60</v>
      </c>
      <c r="Y25" s="444">
        <f t="shared" ca="1" si="2"/>
        <v>0.44296845516314193</v>
      </c>
      <c r="Z25" s="445">
        <f t="shared" ca="1" si="3"/>
        <v>-0.70163110789543048</v>
      </c>
      <c r="AA25" s="440">
        <f t="shared" ca="1" si="4"/>
        <v>2</v>
      </c>
      <c r="AB25" s="440">
        <f t="shared" ca="1" si="5"/>
        <v>0.25524475524475532</v>
      </c>
      <c r="AC25" s="444">
        <f ca="1">I$22+AA25*I$21</f>
        <v>60</v>
      </c>
      <c r="AD25" s="444">
        <f t="shared" ca="1" si="6"/>
        <v>3.4639527002400493E-2</v>
      </c>
      <c r="AE25" s="445">
        <f t="shared" ca="1" si="7"/>
        <v>-0.75856991201395996</v>
      </c>
      <c r="AF25" s="440">
        <f t="shared" ca="1" si="8"/>
        <v>3</v>
      </c>
      <c r="AG25" s="440">
        <f t="shared" ca="1" si="9"/>
        <v>0.36973848651163327</v>
      </c>
      <c r="AH25" s="440">
        <f ca="1">J$22+AF25*J$21</f>
        <v>80</v>
      </c>
      <c r="AI25" s="444">
        <f t="shared" ca="1" si="10"/>
        <v>0.73482564413437945</v>
      </c>
      <c r="AJ25" s="445">
        <f t="shared" ca="1" si="11"/>
        <v>0.45252003427466075</v>
      </c>
    </row>
    <row r="26" spans="2:36" ht="15.95" customHeight="1">
      <c r="B26" s="470"/>
      <c r="C26" s="473">
        <v>0</v>
      </c>
      <c r="D26" s="470">
        <v>50</v>
      </c>
      <c r="E26" s="469">
        <v>50</v>
      </c>
      <c r="F26" s="434"/>
      <c r="G26" s="483" t="s">
        <v>735</v>
      </c>
      <c r="H26" s="440"/>
      <c r="I26" s="440"/>
      <c r="J26" s="440"/>
      <c r="K26" s="446">
        <v>0.5</v>
      </c>
      <c r="L26" s="471">
        <v>0.5</v>
      </c>
      <c r="M26" s="472">
        <f>(H$27*$H$13+K26*$I$13+L26*$J$13+$D$27)*$C$27</f>
        <v>0.64085638205578865</v>
      </c>
      <c r="N26" s="449">
        <f>(H$27*$H$14+K26*$I$14+L26*$J$14+$E$27)*$C$27</f>
        <v>0.58243082125727907</v>
      </c>
      <c r="O26" s="472">
        <f>(K26*$H$13+I$27*$I$13+L26*$J$13+$D$27)*$C$27</f>
        <v>-0.64085638205578843</v>
      </c>
      <c r="P26" s="449">
        <f>(K26*$H$14+I$27*$I$14+L26*$J$14+$E$27)*$C$27</f>
        <v>0.28359458252715963</v>
      </c>
      <c r="Q26" s="472">
        <f>(K26*$H$13+L26*$I$13+J$27*$J$13+$D$27)*$C$27</f>
        <v>0.29883623873011972</v>
      </c>
      <c r="R26" s="449">
        <f>(K26*$H$14+L26*$I$14+J$27*$J$14+$E$27)*$C$27</f>
        <v>-0.75344089292011351</v>
      </c>
      <c r="S26" s="451">
        <v>5</v>
      </c>
      <c r="T26" s="452">
        <v>0.5</v>
      </c>
      <c r="U26" s="453">
        <v>-0.5</v>
      </c>
      <c r="V26" s="440">
        <f t="shared" ca="1" si="0"/>
        <v>5</v>
      </c>
      <c r="W26" s="440">
        <f t="shared" ca="1" si="1"/>
        <v>0.35333333333333339</v>
      </c>
      <c r="X26" s="444"/>
      <c r="Y26" s="444">
        <f t="shared" ca="1" si="2"/>
        <v>0.34899919308455113</v>
      </c>
      <c r="Z26" s="445">
        <f t="shared" ca="1" si="3"/>
        <v>-0.68453010072914688</v>
      </c>
      <c r="AA26" s="440">
        <f t="shared" ca="1" si="4"/>
        <v>2</v>
      </c>
      <c r="AB26" s="440">
        <f t="shared" ca="1" si="5"/>
        <v>0.25524475524475532</v>
      </c>
      <c r="AC26" s="444"/>
      <c r="AD26" s="444">
        <f t="shared" ca="1" si="6"/>
        <v>6.8841541334967365E-2</v>
      </c>
      <c r="AE26" s="445">
        <f t="shared" ca="1" si="7"/>
        <v>-0.71158528097466456</v>
      </c>
      <c r="AF26" s="440">
        <f t="shared" ca="1" si="8"/>
        <v>3</v>
      </c>
      <c r="AG26" s="440">
        <f t="shared" ca="1" si="9"/>
        <v>0.36973848651163327</v>
      </c>
      <c r="AH26" s="440"/>
      <c r="AI26" s="444">
        <f t="shared" ca="1" si="10"/>
        <v>0.64085638205578854</v>
      </c>
      <c r="AJ26" s="445">
        <f t="shared" ca="1" si="11"/>
        <v>0.46962104144094419</v>
      </c>
    </row>
    <row r="27" spans="2:36" ht="15.95" customHeight="1">
      <c r="B27" s="470"/>
      <c r="C27" s="456">
        <f>(1+C26/50)^2</f>
        <v>1</v>
      </c>
      <c r="D27" s="457">
        <f>D26/100-0.5</f>
        <v>0</v>
      </c>
      <c r="E27" s="458">
        <f>-E26/100+0.5</f>
        <v>0</v>
      </c>
      <c r="F27" s="434"/>
      <c r="G27" s="473" t="s">
        <v>736</v>
      </c>
      <c r="H27" s="440">
        <f>C14/100-0.5</f>
        <v>-0.5</v>
      </c>
      <c r="I27" s="440">
        <f>D14/100-0.5</f>
        <v>-0.5</v>
      </c>
      <c r="J27" s="440">
        <f>E14/100-0.5</f>
        <v>-0.5</v>
      </c>
      <c r="K27" s="446">
        <v>-0.5</v>
      </c>
      <c r="L27" s="471">
        <v>0.5</v>
      </c>
      <c r="M27" s="472">
        <f>(H$27*$H$13+K27*$I$13+L27*$J$13+$D$27)*$C$27</f>
        <v>-0.29883623873011972</v>
      </c>
      <c r="N27" s="449">
        <f>(H$27*$H$14+K27*$I$14+L27*$J$14+$E$27)*$C$27</f>
        <v>0.75344089292011351</v>
      </c>
      <c r="O27" s="472">
        <f>(K27*$H$13+I$27*$I$13+L27*$J$13+$D$27)*$C$27</f>
        <v>-0.29883623873011972</v>
      </c>
      <c r="P27" s="449">
        <f>(K27*$H$14+I$27*$I$14+L27*$J$14+$E$27)*$C$27</f>
        <v>0.75344089292011351</v>
      </c>
      <c r="Q27" s="472">
        <f>(K27*$H$13+L27*$I$13+J$27*$J$13+$D$27)*$C$27</f>
        <v>0.64085638205578843</v>
      </c>
      <c r="R27" s="449">
        <f>(K27*$H$14+L27*$I$14+J$27*$J$14+$E$27)*$C$27</f>
        <v>-0.28359458252715963</v>
      </c>
      <c r="S27" s="451">
        <v>6</v>
      </c>
      <c r="T27" s="452">
        <v>0.5</v>
      </c>
      <c r="U27" s="453">
        <v>-0.5</v>
      </c>
      <c r="V27" s="440">
        <f t="shared" ca="1" si="0"/>
        <v>6</v>
      </c>
      <c r="W27" s="440">
        <f t="shared" ca="1" si="1"/>
        <v>0.49555555555555553</v>
      </c>
      <c r="X27" s="444"/>
      <c r="Y27" s="444">
        <f t="shared" ca="1" si="2"/>
        <v>0.30035632825601155</v>
      </c>
      <c r="Z27" s="445">
        <f t="shared" ca="1" si="3"/>
        <v>-0.75135268709614489</v>
      </c>
      <c r="AA27" s="440">
        <f t="shared" ca="1" si="4"/>
        <v>2</v>
      </c>
      <c r="AB27" s="440">
        <f t="shared" ca="1" si="5"/>
        <v>0.25524475524475532</v>
      </c>
      <c r="AC27" s="444"/>
      <c r="AD27" s="444">
        <f t="shared" ca="1" si="6"/>
        <v>6.8841541334967365E-2</v>
      </c>
      <c r="AE27" s="445">
        <f t="shared" ca="1" si="7"/>
        <v>-0.71158528097466456</v>
      </c>
      <c r="AF27" s="440">
        <f t="shared" ca="1" si="8"/>
        <v>3</v>
      </c>
      <c r="AG27" s="440">
        <f t="shared" ca="1" si="9"/>
        <v>0.36973848651163327</v>
      </c>
      <c r="AH27" s="440"/>
      <c r="AI27" s="444">
        <f t="shared" ca="1" si="10"/>
        <v>0.64085638205578854</v>
      </c>
      <c r="AJ27" s="445">
        <f t="shared" ca="1" si="11"/>
        <v>0.46962104144094419</v>
      </c>
    </row>
    <row r="28" spans="2:36" ht="15.95" customHeight="1">
      <c r="K28" s="465">
        <v>-0.5</v>
      </c>
      <c r="L28" s="474">
        <v>-0.5</v>
      </c>
      <c r="M28" s="472">
        <f>(H$27*$H$13+K28*$I$13+L28*$J$13+$D$27)*$C$27</f>
        <v>-0.29883623873011983</v>
      </c>
      <c r="N28" s="449">
        <f>(H$27*$H$14+K28*$I$14+L28*$J$14+$E$27)*$C$27</f>
        <v>-0.11258451086432519</v>
      </c>
      <c r="O28" s="472">
        <f>(K28*$H$13+I$27*$I$13+L28*$J$13+$D$27)*$C$27</f>
        <v>-0.29883623873011983</v>
      </c>
      <c r="P28" s="449">
        <f>(K28*$H$14+I$27*$I$14+L28*$J$14+$E$27)*$C$27</f>
        <v>-0.11258451086432519</v>
      </c>
      <c r="Q28" s="472">
        <f>(K28*$H$13+L28*$I$13+J$27*$J$13+$D$27)*$C$27</f>
        <v>-0.29883623873011983</v>
      </c>
      <c r="R28" s="449">
        <f>(K28*$H$14+L28*$I$14+J$27*$J$14+$E$27)*$C$27</f>
        <v>-0.11258451086432519</v>
      </c>
      <c r="S28" s="451">
        <v>6</v>
      </c>
      <c r="T28" s="452">
        <v>0.6</v>
      </c>
      <c r="U28" s="453">
        <v>-0.5</v>
      </c>
      <c r="V28" s="440">
        <f t="shared" ca="1" si="0"/>
        <v>6</v>
      </c>
      <c r="W28" s="440">
        <f t="shared" ca="1" si="1"/>
        <v>0.49555555555555553</v>
      </c>
      <c r="X28" s="444">
        <f ca="1">H$22+V28*H$21</f>
        <v>70</v>
      </c>
      <c r="Y28" s="444">
        <f t="shared" ca="1" si="2"/>
        <v>0.3943255903346024</v>
      </c>
      <c r="Z28" s="445">
        <f t="shared" ca="1" si="3"/>
        <v>-0.76845369426242827</v>
      </c>
      <c r="AA28" s="440">
        <f t="shared" ca="1" si="4"/>
        <v>2</v>
      </c>
      <c r="AB28" s="440">
        <f t="shared" ca="1" si="5"/>
        <v>0.25524475524475532</v>
      </c>
      <c r="AC28" s="444">
        <f ca="1">I$22+AA28*I$21</f>
        <v>60</v>
      </c>
      <c r="AD28" s="444">
        <f t="shared" ca="1" si="6"/>
        <v>3.4639527002400493E-2</v>
      </c>
      <c r="AE28" s="445">
        <f t="shared" ca="1" si="7"/>
        <v>-0.75856991201395996</v>
      </c>
      <c r="AF28" s="440">
        <f t="shared" ca="1" si="8"/>
        <v>3</v>
      </c>
      <c r="AG28" s="440">
        <f t="shared" ca="1" si="9"/>
        <v>0.36973848651163327</v>
      </c>
      <c r="AH28" s="440">
        <f ca="1">J$22+AF28*J$21</f>
        <v>80</v>
      </c>
      <c r="AI28" s="444">
        <f t="shared" ca="1" si="10"/>
        <v>0.73482564413437945</v>
      </c>
      <c r="AJ28" s="445">
        <f t="shared" ca="1" si="11"/>
        <v>0.45252003427466075</v>
      </c>
    </row>
    <row r="29" spans="2:36">
      <c r="K29" s="470"/>
      <c r="M29" s="473"/>
      <c r="N29" s="470"/>
      <c r="O29" s="473"/>
      <c r="P29" s="469"/>
      <c r="Q29" s="470"/>
      <c r="R29" s="469"/>
      <c r="S29" s="475">
        <v>6</v>
      </c>
      <c r="T29" s="476">
        <v>0.5</v>
      </c>
      <c r="U29" s="477">
        <v>-0.5</v>
      </c>
      <c r="V29" s="457">
        <f t="shared" ca="1" si="0"/>
        <v>6</v>
      </c>
      <c r="W29" s="457">
        <f t="shared" ca="1" si="1"/>
        <v>0.49555555555555553</v>
      </c>
      <c r="X29" s="457"/>
      <c r="Y29" s="457">
        <f t="shared" ca="1" si="2"/>
        <v>0.30035632825601155</v>
      </c>
      <c r="Z29" s="458">
        <f t="shared" ca="1" si="3"/>
        <v>-0.75135268709614489</v>
      </c>
      <c r="AA29" s="457">
        <f t="shared" ca="1" si="4"/>
        <v>2</v>
      </c>
      <c r="AB29" s="457">
        <f t="shared" ca="1" si="5"/>
        <v>0.25524475524475532</v>
      </c>
      <c r="AC29" s="457"/>
      <c r="AD29" s="457">
        <f t="shared" ca="1" si="6"/>
        <v>6.8841541334967365E-2</v>
      </c>
      <c r="AE29" s="458">
        <f t="shared" ca="1" si="7"/>
        <v>-0.71158528097466456</v>
      </c>
      <c r="AF29" s="457">
        <f t="shared" ca="1" si="8"/>
        <v>3</v>
      </c>
      <c r="AG29" s="457">
        <f t="shared" ca="1" si="9"/>
        <v>0.36973848651163327</v>
      </c>
      <c r="AH29" s="457"/>
      <c r="AI29" s="457">
        <f t="shared" ca="1" si="10"/>
        <v>0.64085638205578854</v>
      </c>
      <c r="AJ29" s="458">
        <f t="shared" ca="1" si="11"/>
        <v>0.46962104144094419</v>
      </c>
    </row>
    <row r="30" spans="2:36">
      <c r="C30" s="582"/>
      <c r="D30" s="583"/>
      <c r="E30" s="583"/>
      <c r="F30" s="434"/>
      <c r="G30" s="473"/>
      <c r="K30" s="470"/>
      <c r="M30" s="473"/>
      <c r="N30" s="470"/>
      <c r="O30" s="473"/>
      <c r="P30" s="469"/>
      <c r="Q30" s="470"/>
      <c r="R30" s="469"/>
      <c r="AI30" s="470"/>
    </row>
    <row r="31" spans="2:36">
      <c r="F31" s="434"/>
      <c r="G31" s="473"/>
      <c r="H31" s="483" t="s">
        <v>737</v>
      </c>
      <c r="I31" s="486"/>
      <c r="J31" s="486"/>
      <c r="K31" s="489" t="s">
        <v>679</v>
      </c>
      <c r="L31" s="486"/>
      <c r="M31" s="483" t="s">
        <v>738</v>
      </c>
      <c r="N31" s="489"/>
      <c r="O31" s="483" t="s">
        <v>739</v>
      </c>
      <c r="P31" s="490"/>
      <c r="Q31" s="489" t="s">
        <v>740</v>
      </c>
      <c r="R31" s="469"/>
      <c r="AI31" s="470"/>
    </row>
    <row r="32" spans="2:36" ht="18">
      <c r="B32" s="491" t="s">
        <v>741</v>
      </c>
      <c r="C32" s="492" t="s">
        <v>742</v>
      </c>
      <c r="D32" s="492" t="s">
        <v>743</v>
      </c>
      <c r="E32" s="492" t="s">
        <v>744</v>
      </c>
      <c r="F32" s="491" t="s">
        <v>745</v>
      </c>
      <c r="G32" s="434" t="s">
        <v>746</v>
      </c>
      <c r="H32" s="478" t="s">
        <v>747</v>
      </c>
      <c r="I32" s="478" t="s">
        <v>748</v>
      </c>
      <c r="J32" s="478" t="s">
        <v>749</v>
      </c>
      <c r="K32" s="470" t="s">
        <v>750</v>
      </c>
      <c r="L32" s="434" t="s">
        <v>751</v>
      </c>
      <c r="M32" s="462" t="s">
        <v>752</v>
      </c>
      <c r="N32" s="463" t="s">
        <v>753</v>
      </c>
      <c r="O32" s="493" t="s">
        <v>754</v>
      </c>
      <c r="P32" s="494" t="s">
        <v>755</v>
      </c>
      <c r="Q32" s="493" t="s">
        <v>756</v>
      </c>
      <c r="R32" s="494" t="s">
        <v>757</v>
      </c>
      <c r="AI32" s="470"/>
    </row>
    <row r="33" spans="1:35">
      <c r="A33" s="479">
        <v>1</v>
      </c>
      <c r="B33" s="495" t="str">
        <f>IF(B58=1,tblTerritories!C3,"")</f>
        <v>Asunción</v>
      </c>
      <c r="C33" s="582">
        <f t="shared" ref="C33:C54" ca="1" si="14">IF(C58=1,INDEX(aScores,$B$1,$A33),"")</f>
        <v>32.8125</v>
      </c>
      <c r="D33" s="583">
        <f t="shared" ref="D33:D54" ca="1" si="15">IF(D58=1,INDEX(aScores,$B$2,$A33),"")</f>
        <v>28.333333333333332</v>
      </c>
      <c r="E33" s="583">
        <f t="shared" ref="E33:E54" ca="1" si="16">IF(E58=1,INDEX(aScores,$B$3,$A33),"")</f>
        <v>27.448964052231986</v>
      </c>
      <c r="F33" s="478">
        <f>tblTerritories!G3</f>
        <v>1</v>
      </c>
      <c r="G33" s="496">
        <f t="shared" ref="G33:G43" ca="1" si="17">D$19*(L33-R33)</f>
        <v>0.25843735732349959</v>
      </c>
      <c r="H33" s="496">
        <f t="shared" ref="H33:J43" ca="1" si="18">(C33-H$16)/H$17-0.5</f>
        <v>-3.3333333333333326E-2</v>
      </c>
      <c r="I33" s="497">
        <f t="shared" ca="1" si="18"/>
        <v>-0.14335664335664328</v>
      </c>
      <c r="J33" s="497">
        <f t="shared" ca="1" si="18"/>
        <v>-0.20158224436124406</v>
      </c>
      <c r="K33" s="496">
        <f t="shared" ref="K33:K43" ca="1" si="19">(H33*$H$13+I33*$I$13+J33*$J$13+$D$27)*$C$27</f>
        <v>-0.12331050845868596</v>
      </c>
      <c r="L33" s="498">
        <f t="shared" ref="L33:L43" ca="1" si="20">(H33*$H$14+I33*$I$14+J33*$J$14+$E$27)*$C$27</f>
        <v>-0.1343983710351917</v>
      </c>
      <c r="M33" s="496">
        <f t="shared" ref="M33:M43" ca="1" si="21">(H$27*$H$13+I33*$I$13+J33*$J$13+$D$27)*$C$27</f>
        <v>3.6298891759959484E-2</v>
      </c>
      <c r="N33" s="498">
        <f t="shared" ref="N33:N43" ca="1" si="22">(H$27*$H$14+I33*$I$14+J33*$J$14+$E$27)*$C$27</f>
        <v>8.4863240481520136E-2</v>
      </c>
      <c r="O33" s="496">
        <f t="shared" ref="O33:O43" ca="1" si="23">(H33*$H$13+I$27*$I$13+J33*$J$13+$D$27)*$C$27</f>
        <v>-0.45844563894876522</v>
      </c>
      <c r="P33" s="498">
        <f t="shared" ref="P33:P43" ca="1" si="24">(H33*$H$14+I$27*$I$14+J33*$J$14+$E$27)*$C$27</f>
        <v>-7.3408765057537434E-2</v>
      </c>
      <c r="Q33" s="496">
        <f t="shared" ref="Q33:Q43" ca="1" si="25">(H33*$H$13+I33*$I$13+J$27*$J$13+$D$27)*$C$27</f>
        <v>-0.12331050845868599</v>
      </c>
      <c r="R33" s="498">
        <f t="shared" ref="R33:R43" ca="1" si="26">(H33*$H$14+I33*$I$14+J$27*$J$14+$E$27)*$C$27</f>
        <v>-0.39283572835869129</v>
      </c>
      <c r="AI33" s="470"/>
    </row>
    <row r="34" spans="1:35">
      <c r="A34" s="479">
        <v>2</v>
      </c>
      <c r="B34" s="495" t="str">
        <f>IF(B59=1,tblTerritories!C4,"")</f>
        <v>Bogotá</v>
      </c>
      <c r="C34" s="582">
        <f t="shared" ca="1" si="14"/>
        <v>62.5</v>
      </c>
      <c r="D34" s="583">
        <f t="shared" ca="1" si="15"/>
        <v>70</v>
      </c>
      <c r="E34" s="583">
        <f t="shared" ca="1" si="16"/>
        <v>62.932975866615465</v>
      </c>
      <c r="F34" s="478">
        <f>tblTerritories!G4</f>
        <v>1</v>
      </c>
      <c r="G34" s="496">
        <f t="shared" ca="1" si="17"/>
        <v>0.59252625856927987</v>
      </c>
      <c r="H34" s="496">
        <f t="shared" ca="1" si="18"/>
        <v>0.38888888888888884</v>
      </c>
      <c r="I34" s="497">
        <f t="shared" ca="1" si="18"/>
        <v>0.38111888111888126</v>
      </c>
      <c r="J34" s="497">
        <f t="shared" ca="1" si="18"/>
        <v>0.18419038977379099</v>
      </c>
      <c r="K34" s="496">
        <f t="shared" ca="1" si="19"/>
        <v>0.22512676671405671</v>
      </c>
      <c r="L34" s="498">
        <f t="shared" ca="1" si="20"/>
        <v>-8.8379620092398498E-2</v>
      </c>
      <c r="M34" s="496">
        <f t="shared" ca="1" si="21"/>
        <v>0.52914467189242897</v>
      </c>
      <c r="N34" s="498">
        <f t="shared" ca="1" si="22"/>
        <v>0.32926154470133828</v>
      </c>
      <c r="O34" s="496">
        <f t="shared" ca="1" si="23"/>
        <v>-0.60285414390849201</v>
      </c>
      <c r="P34" s="498">
        <f t="shared" ca="1" si="24"/>
        <v>6.23005829112179E-2</v>
      </c>
      <c r="Q34" s="496">
        <f t="shared" ca="1" si="25"/>
        <v>0.22512676671405663</v>
      </c>
      <c r="R34" s="498">
        <f t="shared" ca="1" si="26"/>
        <v>-0.6809058786616784</v>
      </c>
    </row>
    <row r="35" spans="1:35">
      <c r="A35" s="479">
        <v>3</v>
      </c>
      <c r="B35" s="495" t="str">
        <f>IF(B60=1,tblTerritories!C5,"")</f>
        <v>Buenos Aires</v>
      </c>
      <c r="C35" s="582">
        <f t="shared" ca="1" si="14"/>
        <v>65.104166666666657</v>
      </c>
      <c r="D35" s="583">
        <f t="shared" ca="1" si="15"/>
        <v>79.444444444444429</v>
      </c>
      <c r="E35" s="583">
        <f t="shared" ca="1" si="16"/>
        <v>91.981671779141109</v>
      </c>
      <c r="F35" s="478">
        <f>tblTerritories!G5</f>
        <v>1</v>
      </c>
      <c r="G35" s="497">
        <f ca="1">D$19*(L35-R35)</f>
        <v>0.8660254037844386</v>
      </c>
      <c r="H35" s="496">
        <f t="shared" ref="H35:J39" ca="1" si="27">(C35-H$16)/H$17-0.5</f>
        <v>0.42592592592592582</v>
      </c>
      <c r="I35" s="497">
        <f t="shared" ca="1" si="27"/>
        <v>0.5</v>
      </c>
      <c r="J35" s="497">
        <f t="shared" ca="1" si="27"/>
        <v>0.5</v>
      </c>
      <c r="K35" s="496">
        <f ca="1">(H35*$H$13+I35*$I$13+J35*$J$13+$D$27)*$C$27</f>
        <v>0.32417106416165087</v>
      </c>
      <c r="L35" s="498">
        <f ca="1">(H35*$H$14+I35*$I$14+J35*$J$14+$E$27)*$C$27</f>
        <v>0.14738794126380333</v>
      </c>
      <c r="M35" s="496">
        <f ca="1">(H$27*$H$13+I35*$I$13+J35*$J$13+$D$27)*$C$27</f>
        <v>0.64085638205578865</v>
      </c>
      <c r="N35" s="498">
        <f ca="1">(H$27*$H$14+I35*$I$14+J35*$J$14+$E$27)*$C$27</f>
        <v>0.58243082125727907</v>
      </c>
      <c r="O35" s="496">
        <f ca="1">(H35*$H$13+I$27*$I$13+J35*$J$13+$D$27)*$C$27</f>
        <v>-0.61552155662425745</v>
      </c>
      <c r="P35" s="498">
        <f ca="1">(H35*$H$14+I$27*$I$14+J35*$J$14+$E$27)*$C$27</f>
        <v>0.31839801292663772</v>
      </c>
      <c r="Q35" s="496">
        <f ca="1">(H35*$H$13+I35*$I$13+J$27*$J$13+$D$27)*$C$27</f>
        <v>0.32417106416165076</v>
      </c>
      <c r="R35" s="498">
        <f ca="1">(H35*$H$14+I35*$I$14+J$27*$J$14+$E$27)*$C$27</f>
        <v>-0.71863746252063532</v>
      </c>
    </row>
    <row r="36" spans="1:35">
      <c r="A36" s="479">
        <v>4</v>
      </c>
      <c r="B36" s="495" t="str">
        <f>IF(B61=1,tblTerritories!C6,"")</f>
        <v>Ciudad de Belice</v>
      </c>
      <c r="C36" s="582">
        <f t="shared" ca="1" si="14"/>
        <v>15.625</v>
      </c>
      <c r="D36" s="583">
        <f t="shared" ca="1" si="15"/>
        <v>0</v>
      </c>
      <c r="E36" s="583">
        <f t="shared" ca="1" si="16"/>
        <v>36.590144901111159</v>
      </c>
      <c r="F36" s="478">
        <f>tblTerritories!G6</f>
        <v>1</v>
      </c>
      <c r="G36" s="497">
        <f ca="1">D$19*(L36-R36)</f>
        <v>0.34450336028467221</v>
      </c>
      <c r="H36" s="496">
        <f t="shared" ca="1" si="27"/>
        <v>-0.27777777777777779</v>
      </c>
      <c r="I36" s="497">
        <f t="shared" ca="1" si="27"/>
        <v>-0.5</v>
      </c>
      <c r="J36" s="497">
        <f t="shared" ca="1" si="27"/>
        <v>-0.10220178440582778</v>
      </c>
      <c r="K36" s="496">
        <f ca="1">(H36*$H$13+I36*$I$13+J36*$J$13+$D$27)*$C$27</f>
        <v>-0.37484071502471283</v>
      </c>
      <c r="L36" s="498">
        <f ca="1">(H36*$H$14+I36*$I$14+J36*$J$14+$E$27)*$C$27</f>
        <v>0.12750855822191282</v>
      </c>
      <c r="M36" s="496">
        <f ca="1">(H$27*$H$13+I36*$I$13+J36*$J$13+$D$27)*$C$27</f>
        <v>-0.29883623873011977</v>
      </c>
      <c r="N36" s="498">
        <f ca="1">(H$27*$H$14+I36*$I$14+J36*$J$14+$E$27)*$C$27</f>
        <v>0.23191884942034702</v>
      </c>
      <c r="O36" s="496">
        <f ca="1">(H36*$H$13+I$27*$I$13+J36*$J$13+$D$27)*$C$27</f>
        <v>-0.37484071502471283</v>
      </c>
      <c r="P36" s="498">
        <f ca="1">(H36*$H$14+I$27*$I$14+J36*$J$14+$E$27)*$C$27</f>
        <v>0.12750855822191282</v>
      </c>
      <c r="Q36" s="496">
        <f ca="1">(H36*$H$13+I36*$I$13+J$27*$J$13+$D$27)*$C$27</f>
        <v>-0.37484071502471289</v>
      </c>
      <c r="R36" s="498">
        <f ca="1">(H36*$H$14+I36*$I$14+J$27*$J$14+$E$27)*$C$27</f>
        <v>-0.2169948020627594</v>
      </c>
    </row>
    <row r="37" spans="1:35">
      <c r="A37" s="479">
        <v>5</v>
      </c>
      <c r="B37" s="495" t="str">
        <f>IF(B62=1,tblTerritories!C7,"")</f>
        <v>Ciudad de México</v>
      </c>
      <c r="C37" s="582">
        <f t="shared" ca="1" si="14"/>
        <v>33.854166666666664</v>
      </c>
      <c r="D37" s="583">
        <f t="shared" ca="1" si="15"/>
        <v>51.666666666666664</v>
      </c>
      <c r="E37" s="583">
        <f t="shared" ca="1" si="16"/>
        <v>50.503734027986333</v>
      </c>
      <c r="F37" s="478">
        <f>tblTerritories!G7</f>
        <v>1</v>
      </c>
      <c r="G37" s="497">
        <f ca="1">D$19*(L37-R37)</f>
        <v>0.47550251923261105</v>
      </c>
      <c r="H37" s="496">
        <f t="shared" ca="1" si="27"/>
        <v>-1.8518518518518545E-2</v>
      </c>
      <c r="I37" s="497">
        <f t="shared" ca="1" si="27"/>
        <v>0.15034965034965042</v>
      </c>
      <c r="J37" s="497">
        <f t="shared" ca="1" si="27"/>
        <v>4.9063014958586337E-2</v>
      </c>
      <c r="K37" s="496">
        <f ca="1">(H37*$H$13+I37*$I$13+J37*$J$13+$D$27)*$C$27</f>
        <v>0.14761616332919072</v>
      </c>
      <c r="L37" s="498">
        <f ca="1">(H37*$H$14+I37*$I$14+J37*$J$14+$E$27)*$C$27</f>
        <v>2.5479370459485395E-2</v>
      </c>
      <c r="M37" s="496">
        <f ca="1">(H$27*$H$13+I37*$I$13+J37*$J$13+$D$27)*$C$27</f>
        <v>0.31229252863414236</v>
      </c>
      <c r="N37" s="498">
        <f ca="1">(H$27*$H$14+I37*$I$14+J37*$J$14+$E$27)*$C$27</f>
        <v>0.25170166805609279</v>
      </c>
      <c r="O37" s="496">
        <f ca="1">(H37*$H$13+I$27*$I$13+J37*$J$13+$D$27)*$C$27</f>
        <v>-0.46351260403507138</v>
      </c>
      <c r="P37" s="498">
        <f ca="1">(H37*$H$14+I$27*$I$14+J37*$J$14+$E$27)*$C$27</f>
        <v>0.13669571077167841</v>
      </c>
      <c r="Q37" s="496">
        <f ca="1">(H37*$H$13+I37*$I$13+J$27*$J$13+$D$27)*$C$27</f>
        <v>0.14761616332919067</v>
      </c>
      <c r="R37" s="498">
        <f ca="1">(H37*$H$14+I37*$I$14+J$27*$J$14+$E$27)*$C$27</f>
        <v>-0.45002314877312566</v>
      </c>
    </row>
    <row r="38" spans="1:35">
      <c r="A38" s="479">
        <v>6</v>
      </c>
      <c r="B38" s="495" t="str">
        <f>IF(B63=1,tblTerritories!C8,"")</f>
        <v>Lima</v>
      </c>
      <c r="C38" s="582">
        <f t="shared" ca="1" si="14"/>
        <v>62.5</v>
      </c>
      <c r="D38" s="583">
        <f t="shared" ca="1" si="15"/>
        <v>46.666666666666664</v>
      </c>
      <c r="E38" s="583">
        <f t="shared" ca="1" si="16"/>
        <v>52.14261120983226</v>
      </c>
      <c r="F38" s="478">
        <f>tblTerritories!G8</f>
        <v>1</v>
      </c>
      <c r="G38" s="497">
        <f ca="1">D$19*(L38-R38)</f>
        <v>0.49093286797175073</v>
      </c>
      <c r="H38" s="496">
        <f t="shared" ca="1" si="27"/>
        <v>0.38888888888888884</v>
      </c>
      <c r="I38" s="497">
        <f t="shared" ca="1" si="27"/>
        <v>8.7412587412587506E-2</v>
      </c>
      <c r="J38" s="497">
        <f t="shared" ca="1" si="27"/>
        <v>6.6880446955050465E-2</v>
      </c>
      <c r="K38" s="496">
        <f ca="1">(H38*$H$13+I38*$I$13+J38*$J$13+$D$27)*$C$27</f>
        <v>-5.0866870160126192E-2</v>
      </c>
      <c r="L38" s="498">
        <f ca="1">(H38*$H$14+I38*$I$14+J38*$J$14+$E$27)*$C$27</f>
        <v>-0.13974627635538886</v>
      </c>
      <c r="M38" s="496">
        <f ca="1">(H$27*$H$13+I38*$I$13+J38*$J$13+$D$27)*$C$27</f>
        <v>0.2531510350182461</v>
      </c>
      <c r="N38" s="498">
        <f ca="1">(H$27*$H$14+I38*$I$14+J38*$J$14+$E$27)*$C$27</f>
        <v>0.27789488843834786</v>
      </c>
      <c r="O38" s="496">
        <f ca="1">(H38*$H$13+I$27*$I$13+J38*$J$13+$D$27)*$C$27</f>
        <v>-0.60285414390849201</v>
      </c>
      <c r="P38" s="498">
        <f ca="1">(H38*$H$14+I$27*$I$14+J38*$J$14+$E$27)*$C$27</f>
        <v>-3.9292807686311278E-2</v>
      </c>
      <c r="Q38" s="496">
        <f ca="1">(H38*$H$13+I38*$I$13+J$27*$J$13+$D$27)*$C$27</f>
        <v>-5.0866870160126261E-2</v>
      </c>
      <c r="R38" s="498">
        <f ca="1">(H38*$H$14+I38*$I$14+J$27*$J$14+$E$27)*$C$27</f>
        <v>-0.63067914432713956</v>
      </c>
    </row>
    <row r="39" spans="1:35">
      <c r="A39" s="479">
        <v>7</v>
      </c>
      <c r="B39" s="495" t="str">
        <f>IF(B64=1,tblTerritories!C9,"")</f>
        <v>Montevideo</v>
      </c>
      <c r="C39" s="582">
        <f t="shared" ca="1" si="14"/>
        <v>43.229166666666664</v>
      </c>
      <c r="D39" s="583">
        <f t="shared" ca="1" si="15"/>
        <v>33.333333333333329</v>
      </c>
      <c r="E39" s="583">
        <f t="shared" ca="1" si="16"/>
        <v>41.189746928694348</v>
      </c>
      <c r="F39" s="478">
        <f>tblTerritories!G9</f>
        <v>1</v>
      </c>
      <c r="G39" s="497">
        <f ca="1">D$19*(L39-R39)</f>
        <v>0.38780951167481004</v>
      </c>
      <c r="H39" s="496">
        <f t="shared" ca="1" si="27"/>
        <v>0.11481481481481481</v>
      </c>
      <c r="I39" s="497">
        <f t="shared" ca="1" si="27"/>
        <v>-8.0419580419580416E-2</v>
      </c>
      <c r="J39" s="497">
        <f t="shared" ca="1" si="27"/>
        <v>-5.2196148080502269E-2</v>
      </c>
      <c r="K39" s="496">
        <f ca="1">(H39*$H$13+I39*$I$13+J39*$J$13+$D$27)*$C$27</f>
        <v>-0.11483866570585172</v>
      </c>
      <c r="L39" s="498">
        <f ca="1">(H39*$H$14+I39*$I$14+J39*$J$14+$E$27)*$C$27</f>
        <v>-8.5395949125952803E-2</v>
      </c>
      <c r="M39" s="496">
        <f ca="1">(H$27*$H$13+I39*$I$13+J39*$J$13+$D$27)*$C$27</f>
        <v>9.544038537585578E-2</v>
      </c>
      <c r="N39" s="498">
        <f ca="1">(H$27*$H$14+I39*$I$14+J39*$J$14+$E$27)*$C$27</f>
        <v>0.20347252318971515</v>
      </c>
      <c r="O39" s="496">
        <f ca="1">(H39*$H$13+I$27*$I$13+J39*$J$13+$D$27)*$C$27</f>
        <v>-0.50911528981182719</v>
      </c>
      <c r="P39" s="498">
        <f ca="1">(H39*$H$14+I$27*$I$14+J39*$J$14+$E$27)*$C$27</f>
        <v>-1.3643471505183115E-2</v>
      </c>
      <c r="Q39" s="496">
        <f ca="1">(H39*$H$13+I39*$I$13+J$27*$J$13+$D$27)*$C$27</f>
        <v>-0.11483866570585177</v>
      </c>
      <c r="R39" s="498">
        <f ca="1">(H39*$H$14+I39*$I$14+J$27*$J$14+$E$27)*$C$27</f>
        <v>-0.47320546080076281</v>
      </c>
    </row>
    <row r="40" spans="1:35">
      <c r="A40" s="479">
        <v>8</v>
      </c>
      <c r="B40" s="495" t="str">
        <f>IF(B65=1,tblTerritories!C10,"")</f>
        <v>Quito</v>
      </c>
      <c r="C40" s="582">
        <f t="shared" ca="1" si="14"/>
        <v>42.1875</v>
      </c>
      <c r="D40" s="583">
        <f t="shared" ca="1" si="15"/>
        <v>46.666666666666664</v>
      </c>
      <c r="E40" s="583">
        <f t="shared" ca="1" si="16"/>
        <v>34.863053613053609</v>
      </c>
      <c r="F40" s="478">
        <f>tblTerritories!G10</f>
        <v>1</v>
      </c>
      <c r="G40" s="497">
        <f t="shared" ca="1" si="17"/>
        <v>0.32824245850737033</v>
      </c>
      <c r="H40" s="496">
        <f t="shared" ca="1" si="18"/>
        <v>9.9999999999999978E-2</v>
      </c>
      <c r="I40" s="497">
        <f t="shared" ca="1" si="18"/>
        <v>8.7412587412587506E-2</v>
      </c>
      <c r="J40" s="497">
        <f t="shared" ca="1" si="18"/>
        <v>-0.12097825644261034</v>
      </c>
      <c r="K40" s="496">
        <f t="shared" ca="1" si="19"/>
        <v>4.7938949022844769E-2</v>
      </c>
      <c r="L40" s="498">
        <f t="shared" ca="1" si="20"/>
        <v>-0.16670330726180474</v>
      </c>
      <c r="M40" s="496">
        <f t="shared" ca="1" si="21"/>
        <v>0.2531510350182461</v>
      </c>
      <c r="N40" s="498">
        <f t="shared" ca="1" si="22"/>
        <v>0.11520447897396757</v>
      </c>
      <c r="O40" s="496">
        <f t="shared" ca="1" si="23"/>
        <v>-0.50404832472552108</v>
      </c>
      <c r="P40" s="498">
        <f t="shared" ca="1" si="24"/>
        <v>-6.624983859272715E-2</v>
      </c>
      <c r="Q40" s="496">
        <f t="shared" ca="1" si="25"/>
        <v>4.7938949022844721E-2</v>
      </c>
      <c r="R40" s="498">
        <f t="shared" ca="1" si="26"/>
        <v>-0.49494576576917509</v>
      </c>
    </row>
    <row r="41" spans="1:35">
      <c r="A41" s="479">
        <v>9</v>
      </c>
      <c r="B41" s="495" t="str">
        <f>IF(B66=1,tblTerritories!C11,"")</f>
        <v>San José</v>
      </c>
      <c r="C41" s="582">
        <f t="shared" ca="1" si="14"/>
        <v>26.041666666666664</v>
      </c>
      <c r="D41" s="583">
        <f t="shared" ca="1" si="15"/>
        <v>0</v>
      </c>
      <c r="E41" s="583">
        <f t="shared" ca="1" si="16"/>
        <v>26.041666666666664</v>
      </c>
      <c r="F41" s="478">
        <f>tblTerritories!G11</f>
        <v>1</v>
      </c>
      <c r="G41" s="497">
        <f t="shared" ca="1" si="17"/>
        <v>0.24518737759378376</v>
      </c>
      <c r="H41" s="496">
        <f t="shared" ca="1" si="18"/>
        <v>-0.12962962962962965</v>
      </c>
      <c r="I41" s="497">
        <f t="shared" ca="1" si="18"/>
        <v>-0.5</v>
      </c>
      <c r="J41" s="497">
        <f t="shared" ca="1" si="18"/>
        <v>-0.21688200308866107</v>
      </c>
      <c r="K41" s="496">
        <f t="shared" ca="1" si="19"/>
        <v>-0.42551036588777486</v>
      </c>
      <c r="L41" s="498">
        <f t="shared" ca="1" si="20"/>
        <v>-4.1414285267931755E-2</v>
      </c>
      <c r="M41" s="496">
        <f t="shared" ca="1" si="21"/>
        <v>-0.29883623873011977</v>
      </c>
      <c r="N41" s="498">
        <f t="shared" ca="1" si="22"/>
        <v>0.13260286672945856</v>
      </c>
      <c r="O41" s="496">
        <f t="shared" ca="1" si="23"/>
        <v>-0.42551036588777486</v>
      </c>
      <c r="P41" s="498">
        <f t="shared" ca="1" si="24"/>
        <v>-4.1414285267931755E-2</v>
      </c>
      <c r="Q41" s="496">
        <f t="shared" ca="1" si="25"/>
        <v>-0.42551036588777491</v>
      </c>
      <c r="R41" s="498">
        <f t="shared" ca="1" si="26"/>
        <v>-0.28660166286171551</v>
      </c>
    </row>
    <row r="42" spans="1:35">
      <c r="A42" s="479">
        <v>10</v>
      </c>
      <c r="B42" s="495" t="str">
        <f>IF(B67=1,tblTerritories!C12,"")</f>
        <v>San Pablo</v>
      </c>
      <c r="C42" s="582">
        <f t="shared" ca="1" si="14"/>
        <v>70.3125</v>
      </c>
      <c r="D42" s="583">
        <f t="shared" ca="1" si="15"/>
        <v>68.888888888888886</v>
      </c>
      <c r="E42" s="583">
        <f t="shared" ca="1" si="16"/>
        <v>72.149295791585246</v>
      </c>
      <c r="F42" s="478">
        <f>tblTerritories!G12</f>
        <v>1</v>
      </c>
      <c r="G42" s="497">
        <f t="shared" ca="1" si="17"/>
        <v>0.67929971060647709</v>
      </c>
      <c r="H42" s="496">
        <f t="shared" ca="1" si="18"/>
        <v>0.5</v>
      </c>
      <c r="I42" s="497">
        <f t="shared" ca="1" si="18"/>
        <v>0.3671328671328673</v>
      </c>
      <c r="J42" s="497">
        <f t="shared" ca="1" si="18"/>
        <v>0.28438774155816882</v>
      </c>
      <c r="K42" s="496">
        <f t="shared" ca="1" si="19"/>
        <v>0.17398197442989433</v>
      </c>
      <c r="L42" s="498">
        <f t="shared" ca="1" si="20"/>
        <v>-5.1419564400392692E-2</v>
      </c>
      <c r="M42" s="496">
        <f t="shared" ca="1" si="21"/>
        <v>0.51600211775556315</v>
      </c>
      <c r="N42" s="498">
        <f t="shared" ca="1" si="22"/>
        <v>0.41842674599256113</v>
      </c>
      <c r="O42" s="496">
        <f t="shared" ca="1" si="23"/>
        <v>-0.64085638205578854</v>
      </c>
      <c r="P42" s="498">
        <f t="shared" ca="1" si="24"/>
        <v>9.6868889349198017E-2</v>
      </c>
      <c r="Q42" s="496">
        <f t="shared" ca="1" si="25"/>
        <v>0.17398197442989424</v>
      </c>
      <c r="R42" s="498">
        <f t="shared" ca="1" si="26"/>
        <v>-0.73071927500686984</v>
      </c>
    </row>
    <row r="43" spans="1:35">
      <c r="A43" s="479">
        <v>11</v>
      </c>
      <c r="B43" s="495" t="str">
        <f>IF(B68=1,tblTerritories!C13,"")</f>
        <v>Santa Cruz</v>
      </c>
      <c r="C43" s="582">
        <f t="shared" ca="1" si="14"/>
        <v>52.083333333333329</v>
      </c>
      <c r="D43" s="583">
        <f t="shared" ca="1" si="15"/>
        <v>46.666666666666664</v>
      </c>
      <c r="E43" s="583">
        <f t="shared" ca="1" si="16"/>
        <v>47.77740919612085</v>
      </c>
      <c r="F43" s="478">
        <f>tblTerritories!G13</f>
        <v>1</v>
      </c>
      <c r="G43" s="497">
        <f t="shared" ca="1" si="17"/>
        <v>0.44983363849044483</v>
      </c>
      <c r="H43" s="496">
        <f t="shared" ca="1" si="18"/>
        <v>0.2407407407407407</v>
      </c>
      <c r="I43" s="497">
        <f t="shared" ca="1" si="18"/>
        <v>8.7412587412587506E-2</v>
      </c>
      <c r="J43" s="497">
        <f t="shared" ca="1" si="18"/>
        <v>1.9423144546014237E-2</v>
      </c>
      <c r="K43" s="496">
        <f t="shared" ca="1" si="19"/>
        <v>-1.9721929706416103E-4</v>
      </c>
      <c r="L43" s="498">
        <f t="shared" ca="1" si="20"/>
        <v>-0.11123864503773856</v>
      </c>
      <c r="M43" s="496">
        <f t="shared" ca="1" si="21"/>
        <v>0.2531510350182461</v>
      </c>
      <c r="N43" s="498">
        <f t="shared" ca="1" si="22"/>
        <v>0.23679565895704208</v>
      </c>
      <c r="O43" s="496">
        <f t="shared" ca="1" si="23"/>
        <v>-0.55218449304542994</v>
      </c>
      <c r="P43" s="498">
        <f t="shared" ca="1" si="24"/>
        <v>-1.0785176368660977E-2</v>
      </c>
      <c r="Q43" s="496">
        <f t="shared" ca="1" si="25"/>
        <v>-1.9721929706422467E-4</v>
      </c>
      <c r="R43" s="498">
        <f t="shared" ca="1" si="26"/>
        <v>-0.56107228352818339</v>
      </c>
    </row>
    <row r="44" spans="1:35">
      <c r="A44" s="479">
        <v>12</v>
      </c>
      <c r="B44" s="495" t="str">
        <f>IF(B69=1,tblTerritories!C14,"")</f>
        <v>Santiago de Chile</v>
      </c>
      <c r="C44" s="582">
        <f t="shared" ca="1" si="14"/>
        <v>39.0625</v>
      </c>
      <c r="D44" s="583">
        <f t="shared" ca="1" si="15"/>
        <v>34.444444444444443</v>
      </c>
      <c r="E44" s="583">
        <f t="shared" ca="1" si="16"/>
        <v>55.437108967208651</v>
      </c>
      <c r="F44" s="478">
        <f>tblTerritories!G14</f>
        <v>1</v>
      </c>
      <c r="G44" s="497">
        <f t="shared" ref="G44:G54" ca="1" si="28">D$19*(L44-R44)</f>
        <v>0.5219512077715478</v>
      </c>
      <c r="H44" s="496">
        <f t="shared" ref="H44:H54" ca="1" si="29">(C44-H$16)/H$17-0.5</f>
        <v>5.555555555555558E-2</v>
      </c>
      <c r="I44" s="497">
        <f t="shared" ref="I44:I54" ca="1" si="30">(D44-I$16)/I$17-0.5</f>
        <v>-6.6433566433566349E-2</v>
      </c>
      <c r="J44" s="497">
        <f t="shared" ref="J44:J54" ca="1" si="31">(E44-J$16)/J$17-0.5</f>
        <v>0.10269734062150682</v>
      </c>
      <c r="K44" s="496">
        <f t="shared" ref="K44:K54" ca="1" si="32">(H44*$H$13+I44*$I$13+J44*$J$13+$D$27)*$C$27</f>
        <v>-8.1428251223760975E-2</v>
      </c>
      <c r="L44" s="498">
        <f t="shared" ref="L44:L54" ca="1" si="33">(H44*$H$14+I44*$I$14+J44*$J$14+$E$27)*$C$27</f>
        <v>7.4196742036341773E-2</v>
      </c>
      <c r="M44" s="496">
        <f t="shared" ref="M44:M54" ca="1" si="34">(H$27*$H$13+I44*$I$13+J44*$J$13+$D$27)*$C$27</f>
        <v>0.10858293951272172</v>
      </c>
      <c r="N44" s="498">
        <f t="shared" ref="N44:N54" ca="1" si="35">(H$27*$H$14+I44*$I$14+J44*$J$14+$E$27)*$C$27</f>
        <v>0.33522247003242728</v>
      </c>
      <c r="O44" s="496">
        <f t="shared" ref="O44:O54" ca="1" si="36">(H44*$H$13+I$27*$I$13+J44*$J$13+$D$27)*$C$27</f>
        <v>-0.48884742946660242</v>
      </c>
      <c r="P44" s="498">
        <f t="shared" ref="P44:P54" ca="1" si="37">(H44*$H$14+I$27*$I$14+J44*$J$14+$E$27)*$C$27</f>
        <v>0.14834096891113713</v>
      </c>
      <c r="Q44" s="496">
        <f t="shared" ref="Q44:Q54" ca="1" si="38">(H44*$H$13+I44*$I$13+J$27*$J$13+$D$27)*$C$27</f>
        <v>-8.1428251223761045E-2</v>
      </c>
      <c r="R44" s="497">
        <f t="shared" ref="R44:R54" ca="1" si="39">(H44*$H$14+I44*$I$14+J$27*$J$14+$E$27)*$C$27</f>
        <v>-0.44775446573520605</v>
      </c>
    </row>
    <row r="45" spans="1:35" hidden="1">
      <c r="A45" s="479">
        <v>13</v>
      </c>
      <c r="B45" s="495" t="str">
        <f>IF(B70=1,tblTerritories!C15,"")</f>
        <v>Escriba el nombre de la ciudad: incompleto</v>
      </c>
      <c r="C45" s="582">
        <f t="shared" ca="1" si="14"/>
        <v>4.6875</v>
      </c>
      <c r="D45" s="583">
        <f t="shared" ca="1" si="15"/>
        <v>0</v>
      </c>
      <c r="E45" s="583">
        <f t="shared" ca="1" si="16"/>
        <v>14.607286884894247</v>
      </c>
      <c r="F45" s="478">
        <f>tblTerritories!G15</f>
        <v>0</v>
      </c>
      <c r="G45" s="497">
        <f t="shared" ca="1" si="28"/>
        <v>0.137530458818584</v>
      </c>
      <c r="H45" s="496">
        <f t="shared" ca="1" si="29"/>
        <v>-0.43333333333333335</v>
      </c>
      <c r="I45" s="497">
        <f t="shared" ca="1" si="30"/>
        <v>-0.5</v>
      </c>
      <c r="J45" s="497">
        <f t="shared" ca="1" si="31"/>
        <v>-0.34119350515863556</v>
      </c>
      <c r="K45" s="496">
        <f t="shared" ca="1" si="32"/>
        <v>-0.3216375816184977</v>
      </c>
      <c r="L45" s="498">
        <f t="shared" ca="1" si="33"/>
        <v>-6.3771394052714037E-3</v>
      </c>
      <c r="M45" s="496">
        <f t="shared" ca="1" si="34"/>
        <v>-0.29883623873011983</v>
      </c>
      <c r="N45" s="498">
        <f t="shared" ca="1" si="35"/>
        <v>2.4945947954258807E-2</v>
      </c>
      <c r="O45" s="496">
        <f t="shared" ca="1" si="36"/>
        <v>-0.3216375816184977</v>
      </c>
      <c r="P45" s="498">
        <f t="shared" ca="1" si="37"/>
        <v>-6.3771394052714037E-3</v>
      </c>
      <c r="Q45" s="496">
        <f t="shared" ca="1" si="38"/>
        <v>-0.3216375816184977</v>
      </c>
      <c r="R45" s="497">
        <f t="shared" ca="1" si="39"/>
        <v>-0.1439075982238554</v>
      </c>
    </row>
    <row r="46" spans="1:35" hidden="1">
      <c r="A46" s="479">
        <v>14</v>
      </c>
      <c r="B46" s="495" t="str">
        <f>IF(B71=1,tblTerritories!C16,"")</f>
        <v>Ciudad_02: incompleto</v>
      </c>
      <c r="C46" s="582">
        <f t="shared" si="14"/>
        <v>0</v>
      </c>
      <c r="D46" s="583">
        <f t="shared" si="15"/>
        <v>0</v>
      </c>
      <c r="E46" s="583">
        <f t="shared" si="16"/>
        <v>0</v>
      </c>
      <c r="F46" s="478">
        <f>tblTerritories!G16</f>
        <v>0</v>
      </c>
      <c r="G46" s="497">
        <f t="shared" ca="1" si="28"/>
        <v>0</v>
      </c>
      <c r="H46" s="496">
        <f t="shared" ca="1" si="29"/>
        <v>-0.5</v>
      </c>
      <c r="I46" s="497">
        <f t="shared" ca="1" si="30"/>
        <v>-0.5</v>
      </c>
      <c r="J46" s="497">
        <f t="shared" ca="1" si="31"/>
        <v>-0.5</v>
      </c>
      <c r="K46" s="496">
        <f t="shared" ca="1" si="32"/>
        <v>-0.29883623873011983</v>
      </c>
      <c r="L46" s="498">
        <f t="shared" ca="1" si="33"/>
        <v>-0.11258451086432519</v>
      </c>
      <c r="M46" s="496">
        <f t="shared" ca="1" si="34"/>
        <v>-0.29883623873011983</v>
      </c>
      <c r="N46" s="498">
        <f t="shared" ca="1" si="35"/>
        <v>-0.11258451086432519</v>
      </c>
      <c r="O46" s="496">
        <f t="shared" ca="1" si="36"/>
        <v>-0.29883623873011983</v>
      </c>
      <c r="P46" s="498">
        <f t="shared" ca="1" si="37"/>
        <v>-0.11258451086432519</v>
      </c>
      <c r="Q46" s="496">
        <f t="shared" ca="1" si="38"/>
        <v>-0.29883623873011983</v>
      </c>
      <c r="R46" s="497">
        <f t="shared" ca="1" si="39"/>
        <v>-0.11258451086432519</v>
      </c>
    </row>
    <row r="47" spans="1:35" hidden="1">
      <c r="A47" s="479">
        <v>15</v>
      </c>
      <c r="B47" s="495" t="str">
        <f>IF(B72=1,tblTerritories!C17,"")</f>
        <v>Ciudad_03: incompleto</v>
      </c>
      <c r="C47" s="582">
        <f t="shared" si="14"/>
        <v>0</v>
      </c>
      <c r="D47" s="583">
        <f t="shared" si="15"/>
        <v>0</v>
      </c>
      <c r="E47" s="583">
        <f t="shared" si="16"/>
        <v>0</v>
      </c>
      <c r="F47" s="478">
        <f>tblTerritories!G17</f>
        <v>0</v>
      </c>
      <c r="G47" s="497">
        <f t="shared" ca="1" si="28"/>
        <v>0</v>
      </c>
      <c r="H47" s="496">
        <f t="shared" ca="1" si="29"/>
        <v>-0.5</v>
      </c>
      <c r="I47" s="497">
        <f t="shared" ca="1" si="30"/>
        <v>-0.5</v>
      </c>
      <c r="J47" s="497">
        <f t="shared" ca="1" si="31"/>
        <v>-0.5</v>
      </c>
      <c r="K47" s="496">
        <f t="shared" ca="1" si="32"/>
        <v>-0.29883623873011983</v>
      </c>
      <c r="L47" s="498">
        <f t="shared" ca="1" si="33"/>
        <v>-0.11258451086432519</v>
      </c>
      <c r="M47" s="496">
        <f t="shared" ca="1" si="34"/>
        <v>-0.29883623873011983</v>
      </c>
      <c r="N47" s="498">
        <f t="shared" ca="1" si="35"/>
        <v>-0.11258451086432519</v>
      </c>
      <c r="O47" s="496">
        <f t="shared" ca="1" si="36"/>
        <v>-0.29883623873011983</v>
      </c>
      <c r="P47" s="498">
        <f t="shared" ca="1" si="37"/>
        <v>-0.11258451086432519</v>
      </c>
      <c r="Q47" s="496">
        <f t="shared" ca="1" si="38"/>
        <v>-0.29883623873011983</v>
      </c>
      <c r="R47" s="497">
        <f t="shared" ca="1" si="39"/>
        <v>-0.11258451086432519</v>
      </c>
    </row>
    <row r="48" spans="1:35" hidden="1">
      <c r="A48" s="479">
        <v>16</v>
      </c>
      <c r="B48" s="495" t="str">
        <f>IF(B73=1,tblTerritories!C18,"")</f>
        <v>Ciudad_04: incompleto</v>
      </c>
      <c r="C48" s="582">
        <f t="shared" si="14"/>
        <v>0</v>
      </c>
      <c r="D48" s="583">
        <f t="shared" si="15"/>
        <v>0</v>
      </c>
      <c r="E48" s="583">
        <f t="shared" si="16"/>
        <v>0</v>
      </c>
      <c r="F48" s="478">
        <f>tblTerritories!G18</f>
        <v>0</v>
      </c>
      <c r="G48" s="497">
        <f t="shared" ca="1" si="28"/>
        <v>0</v>
      </c>
      <c r="H48" s="496">
        <f t="shared" ca="1" si="29"/>
        <v>-0.5</v>
      </c>
      <c r="I48" s="497">
        <f t="shared" ca="1" si="30"/>
        <v>-0.5</v>
      </c>
      <c r="J48" s="497">
        <f t="shared" ca="1" si="31"/>
        <v>-0.5</v>
      </c>
      <c r="K48" s="496">
        <f t="shared" ca="1" si="32"/>
        <v>-0.29883623873011983</v>
      </c>
      <c r="L48" s="498">
        <f t="shared" ca="1" si="33"/>
        <v>-0.11258451086432519</v>
      </c>
      <c r="M48" s="496">
        <f t="shared" ca="1" si="34"/>
        <v>-0.29883623873011983</v>
      </c>
      <c r="N48" s="498">
        <f t="shared" ca="1" si="35"/>
        <v>-0.11258451086432519</v>
      </c>
      <c r="O48" s="496">
        <f t="shared" ca="1" si="36"/>
        <v>-0.29883623873011983</v>
      </c>
      <c r="P48" s="498">
        <f t="shared" ca="1" si="37"/>
        <v>-0.11258451086432519</v>
      </c>
      <c r="Q48" s="496">
        <f t="shared" ca="1" si="38"/>
        <v>-0.29883623873011983</v>
      </c>
      <c r="R48" s="497">
        <f t="shared" ca="1" si="39"/>
        <v>-0.11258451086432519</v>
      </c>
    </row>
    <row r="49" spans="1:18" hidden="1">
      <c r="A49" s="479">
        <v>17</v>
      </c>
      <c r="B49" s="495" t="str">
        <f>IF(B74=1,tblTerritories!C19,"")</f>
        <v>Ciudad_05: incompleto</v>
      </c>
      <c r="C49" s="582">
        <f t="shared" si="14"/>
        <v>0</v>
      </c>
      <c r="D49" s="583">
        <f t="shared" si="15"/>
        <v>0</v>
      </c>
      <c r="E49" s="583">
        <f t="shared" si="16"/>
        <v>0</v>
      </c>
      <c r="F49" s="478">
        <f>tblTerritories!G19</f>
        <v>0</v>
      </c>
      <c r="G49" s="497">
        <f t="shared" ca="1" si="28"/>
        <v>0</v>
      </c>
      <c r="H49" s="496">
        <f t="shared" ca="1" si="29"/>
        <v>-0.5</v>
      </c>
      <c r="I49" s="497">
        <f t="shared" ca="1" si="30"/>
        <v>-0.5</v>
      </c>
      <c r="J49" s="497">
        <f t="shared" ca="1" si="31"/>
        <v>-0.5</v>
      </c>
      <c r="K49" s="496">
        <f t="shared" ca="1" si="32"/>
        <v>-0.29883623873011983</v>
      </c>
      <c r="L49" s="498">
        <f t="shared" ca="1" si="33"/>
        <v>-0.11258451086432519</v>
      </c>
      <c r="M49" s="496">
        <f t="shared" ca="1" si="34"/>
        <v>-0.29883623873011983</v>
      </c>
      <c r="N49" s="498">
        <f t="shared" ca="1" si="35"/>
        <v>-0.11258451086432519</v>
      </c>
      <c r="O49" s="496">
        <f t="shared" ca="1" si="36"/>
        <v>-0.29883623873011983</v>
      </c>
      <c r="P49" s="498">
        <f t="shared" ca="1" si="37"/>
        <v>-0.11258451086432519</v>
      </c>
      <c r="Q49" s="496">
        <f t="shared" ca="1" si="38"/>
        <v>-0.29883623873011983</v>
      </c>
      <c r="R49" s="497">
        <f t="shared" ca="1" si="39"/>
        <v>-0.11258451086432519</v>
      </c>
    </row>
    <row r="50" spans="1:18" hidden="1">
      <c r="A50" s="479">
        <v>18</v>
      </c>
      <c r="B50" s="495" t="str">
        <f>IF(B75=1,tblTerritories!C20,"")</f>
        <v>Ciudad_06: incompleto</v>
      </c>
      <c r="C50" s="582">
        <f t="shared" si="14"/>
        <v>0</v>
      </c>
      <c r="D50" s="583">
        <f t="shared" si="15"/>
        <v>0</v>
      </c>
      <c r="E50" s="583">
        <f t="shared" si="16"/>
        <v>0</v>
      </c>
      <c r="F50" s="478">
        <f>tblTerritories!G20</f>
        <v>0</v>
      </c>
      <c r="G50" s="497">
        <f t="shared" ca="1" si="28"/>
        <v>0</v>
      </c>
      <c r="H50" s="496">
        <f t="shared" ca="1" si="29"/>
        <v>-0.5</v>
      </c>
      <c r="I50" s="497">
        <f t="shared" ca="1" si="30"/>
        <v>-0.5</v>
      </c>
      <c r="J50" s="497">
        <f t="shared" ca="1" si="31"/>
        <v>-0.5</v>
      </c>
      <c r="K50" s="496">
        <f t="shared" ca="1" si="32"/>
        <v>-0.29883623873011983</v>
      </c>
      <c r="L50" s="498">
        <f t="shared" ca="1" si="33"/>
        <v>-0.11258451086432519</v>
      </c>
      <c r="M50" s="496">
        <f t="shared" ca="1" si="34"/>
        <v>-0.29883623873011983</v>
      </c>
      <c r="N50" s="498">
        <f t="shared" ca="1" si="35"/>
        <v>-0.11258451086432519</v>
      </c>
      <c r="O50" s="496">
        <f t="shared" ca="1" si="36"/>
        <v>-0.29883623873011983</v>
      </c>
      <c r="P50" s="498">
        <f t="shared" ca="1" si="37"/>
        <v>-0.11258451086432519</v>
      </c>
      <c r="Q50" s="496">
        <f t="shared" ca="1" si="38"/>
        <v>-0.29883623873011983</v>
      </c>
      <c r="R50" s="497">
        <f t="shared" ca="1" si="39"/>
        <v>-0.11258451086432519</v>
      </c>
    </row>
    <row r="51" spans="1:18" hidden="1">
      <c r="A51" s="479">
        <v>19</v>
      </c>
      <c r="B51" s="495" t="str">
        <f>IF(B76=1,tblTerritories!C21,"")</f>
        <v>Ciudad_07: incompleto</v>
      </c>
      <c r="C51" s="582">
        <f t="shared" si="14"/>
        <v>0</v>
      </c>
      <c r="D51" s="583">
        <f t="shared" si="15"/>
        <v>0</v>
      </c>
      <c r="E51" s="583">
        <f t="shared" si="16"/>
        <v>0</v>
      </c>
      <c r="F51" s="478">
        <f>tblTerritories!G21</f>
        <v>0</v>
      </c>
      <c r="G51" s="497">
        <f t="shared" ca="1" si="28"/>
        <v>0</v>
      </c>
      <c r="H51" s="496">
        <f t="shared" ca="1" si="29"/>
        <v>-0.5</v>
      </c>
      <c r="I51" s="497">
        <f t="shared" ca="1" si="30"/>
        <v>-0.5</v>
      </c>
      <c r="J51" s="497">
        <f t="shared" ca="1" si="31"/>
        <v>-0.5</v>
      </c>
      <c r="K51" s="496">
        <f t="shared" ca="1" si="32"/>
        <v>-0.29883623873011983</v>
      </c>
      <c r="L51" s="498">
        <f t="shared" ca="1" si="33"/>
        <v>-0.11258451086432519</v>
      </c>
      <c r="M51" s="496">
        <f t="shared" ca="1" si="34"/>
        <v>-0.29883623873011983</v>
      </c>
      <c r="N51" s="498">
        <f t="shared" ca="1" si="35"/>
        <v>-0.11258451086432519</v>
      </c>
      <c r="O51" s="496">
        <f t="shared" ca="1" si="36"/>
        <v>-0.29883623873011983</v>
      </c>
      <c r="P51" s="498">
        <f t="shared" ca="1" si="37"/>
        <v>-0.11258451086432519</v>
      </c>
      <c r="Q51" s="496">
        <f t="shared" ca="1" si="38"/>
        <v>-0.29883623873011983</v>
      </c>
      <c r="R51" s="497">
        <f t="shared" ca="1" si="39"/>
        <v>-0.11258451086432519</v>
      </c>
    </row>
    <row r="52" spans="1:18" hidden="1">
      <c r="A52" s="479">
        <v>20</v>
      </c>
      <c r="B52" s="495" t="str">
        <f>IF(B77=1,tblTerritories!C22,"")</f>
        <v>Ciudad_08: incompleto</v>
      </c>
      <c r="C52" s="582">
        <f t="shared" si="14"/>
        <v>0</v>
      </c>
      <c r="D52" s="583">
        <f t="shared" si="15"/>
        <v>0</v>
      </c>
      <c r="E52" s="583">
        <f t="shared" si="16"/>
        <v>0</v>
      </c>
      <c r="F52" s="478">
        <f>tblTerritories!G22</f>
        <v>0</v>
      </c>
      <c r="G52" s="497">
        <f t="shared" ca="1" si="28"/>
        <v>0</v>
      </c>
      <c r="H52" s="496">
        <f t="shared" ca="1" si="29"/>
        <v>-0.5</v>
      </c>
      <c r="I52" s="497">
        <f t="shared" ca="1" si="30"/>
        <v>-0.5</v>
      </c>
      <c r="J52" s="497">
        <f t="shared" ca="1" si="31"/>
        <v>-0.5</v>
      </c>
      <c r="K52" s="496">
        <f t="shared" ca="1" si="32"/>
        <v>-0.29883623873011983</v>
      </c>
      <c r="L52" s="498">
        <f t="shared" ca="1" si="33"/>
        <v>-0.11258451086432519</v>
      </c>
      <c r="M52" s="496">
        <f t="shared" ca="1" si="34"/>
        <v>-0.29883623873011983</v>
      </c>
      <c r="N52" s="498">
        <f t="shared" ca="1" si="35"/>
        <v>-0.11258451086432519</v>
      </c>
      <c r="O52" s="496">
        <f t="shared" ca="1" si="36"/>
        <v>-0.29883623873011983</v>
      </c>
      <c r="P52" s="498">
        <f t="shared" ca="1" si="37"/>
        <v>-0.11258451086432519</v>
      </c>
      <c r="Q52" s="496">
        <f t="shared" ca="1" si="38"/>
        <v>-0.29883623873011983</v>
      </c>
      <c r="R52" s="497">
        <f t="shared" ca="1" si="39"/>
        <v>-0.11258451086432519</v>
      </c>
    </row>
    <row r="53" spans="1:18" hidden="1">
      <c r="A53" s="479">
        <v>21</v>
      </c>
      <c r="B53" s="495" t="str">
        <f>IF(B78=1,tblTerritories!C23,"")</f>
        <v>Ciudad_09: incompleto</v>
      </c>
      <c r="C53" s="582">
        <f t="shared" si="14"/>
        <v>0</v>
      </c>
      <c r="D53" s="583">
        <f t="shared" si="15"/>
        <v>0</v>
      </c>
      <c r="E53" s="583">
        <f t="shared" si="16"/>
        <v>0</v>
      </c>
      <c r="F53" s="478">
        <f>tblTerritories!G23</f>
        <v>0</v>
      </c>
      <c r="G53" s="497">
        <f t="shared" ca="1" si="28"/>
        <v>0</v>
      </c>
      <c r="H53" s="496">
        <f t="shared" ca="1" si="29"/>
        <v>-0.5</v>
      </c>
      <c r="I53" s="497">
        <f t="shared" ca="1" si="30"/>
        <v>-0.5</v>
      </c>
      <c r="J53" s="497">
        <f t="shared" ca="1" si="31"/>
        <v>-0.5</v>
      </c>
      <c r="K53" s="496">
        <f t="shared" ca="1" si="32"/>
        <v>-0.29883623873011983</v>
      </c>
      <c r="L53" s="498">
        <f t="shared" ca="1" si="33"/>
        <v>-0.11258451086432519</v>
      </c>
      <c r="M53" s="496">
        <f t="shared" ca="1" si="34"/>
        <v>-0.29883623873011983</v>
      </c>
      <c r="N53" s="498">
        <f t="shared" ca="1" si="35"/>
        <v>-0.11258451086432519</v>
      </c>
      <c r="O53" s="496">
        <f t="shared" ca="1" si="36"/>
        <v>-0.29883623873011983</v>
      </c>
      <c r="P53" s="498">
        <f t="shared" ca="1" si="37"/>
        <v>-0.11258451086432519</v>
      </c>
      <c r="Q53" s="496">
        <f t="shared" ca="1" si="38"/>
        <v>-0.29883623873011983</v>
      </c>
      <c r="R53" s="497">
        <f t="shared" ca="1" si="39"/>
        <v>-0.11258451086432519</v>
      </c>
    </row>
    <row r="54" spans="1:18" hidden="1">
      <c r="A54" s="479">
        <v>22</v>
      </c>
      <c r="B54" s="495" t="str">
        <f>IF(B79=1,tblTerritories!C24,"")</f>
        <v>Ciudad_10: incompleto</v>
      </c>
      <c r="C54" s="582">
        <f t="shared" si="14"/>
        <v>0</v>
      </c>
      <c r="D54" s="583">
        <f t="shared" si="15"/>
        <v>0</v>
      </c>
      <c r="E54" s="583">
        <f t="shared" si="16"/>
        <v>0</v>
      </c>
      <c r="F54" s="478">
        <f>tblTerritories!G24</f>
        <v>0</v>
      </c>
      <c r="G54" s="497">
        <f t="shared" ca="1" si="28"/>
        <v>0</v>
      </c>
      <c r="H54" s="496">
        <f t="shared" ca="1" si="29"/>
        <v>-0.5</v>
      </c>
      <c r="I54" s="497">
        <f t="shared" ca="1" si="30"/>
        <v>-0.5</v>
      </c>
      <c r="J54" s="497">
        <f t="shared" ca="1" si="31"/>
        <v>-0.5</v>
      </c>
      <c r="K54" s="496">
        <f t="shared" ca="1" si="32"/>
        <v>-0.29883623873011983</v>
      </c>
      <c r="L54" s="498">
        <f t="shared" ca="1" si="33"/>
        <v>-0.11258451086432519</v>
      </c>
      <c r="M54" s="496">
        <f t="shared" ca="1" si="34"/>
        <v>-0.29883623873011983</v>
      </c>
      <c r="N54" s="498">
        <f t="shared" ca="1" si="35"/>
        <v>-0.11258451086432519</v>
      </c>
      <c r="O54" s="496">
        <f t="shared" ca="1" si="36"/>
        <v>-0.29883623873011983</v>
      </c>
      <c r="P54" s="498">
        <f t="shared" ca="1" si="37"/>
        <v>-0.11258451086432519</v>
      </c>
      <c r="Q54" s="496">
        <f t="shared" ca="1" si="38"/>
        <v>-0.29883623873011983</v>
      </c>
      <c r="R54" s="497">
        <f t="shared" ca="1" si="39"/>
        <v>-0.11258451086432519</v>
      </c>
    </row>
    <row r="55" spans="1:18">
      <c r="B55" s="495"/>
      <c r="C55" s="499"/>
      <c r="D55" s="500"/>
      <c r="E55" s="500"/>
      <c r="F55" s="478"/>
      <c r="G55" s="497"/>
      <c r="H55" s="497"/>
      <c r="I55" s="497"/>
      <c r="J55" s="497"/>
      <c r="K55" s="497"/>
      <c r="L55" s="497"/>
      <c r="M55" s="497"/>
      <c r="N55" s="497"/>
      <c r="O55" s="497"/>
      <c r="P55" s="497"/>
      <c r="Q55" s="497"/>
      <c r="R55" s="497"/>
    </row>
    <row r="56" spans="1:18">
      <c r="C56" s="499"/>
      <c r="D56" s="500"/>
      <c r="E56" s="500"/>
      <c r="F56" s="434"/>
      <c r="G56" s="434"/>
    </row>
    <row r="57" spans="1:18">
      <c r="D57" s="434" t="s">
        <v>92</v>
      </c>
      <c r="E57" s="434">
        <v>1</v>
      </c>
      <c r="F57" s="434"/>
      <c r="G57" s="434"/>
    </row>
    <row r="58" spans="1:18">
      <c r="A58" s="479">
        <f>A33</f>
        <v>1</v>
      </c>
      <c r="B58" s="434">
        <f>IF(C58=1,IF(uxb_works!$B$6&gt;1,IF(A58=$B$4-1,1,0),IF(uxb_works!$B$96,1,0)),0)</f>
        <v>1</v>
      </c>
      <c r="C58" s="434">
        <f>tblTerritories!$D3</f>
        <v>1</v>
      </c>
      <c r="D58" s="434">
        <f>tblTerritories!$D3</f>
        <v>1</v>
      </c>
      <c r="E58" s="434">
        <f>tblTerritories!$D3</f>
        <v>1</v>
      </c>
      <c r="F58" s="434"/>
      <c r="G58" s="434"/>
    </row>
    <row r="59" spans="1:18">
      <c r="A59" s="479">
        <f t="shared" ref="A59:A79" si="40">A34</f>
        <v>2</v>
      </c>
      <c r="B59" s="434">
        <f>IF(C59=1,IF(uxb_works!$B$6&gt;1,IF(A59=$B$4-1,1,0),IF(uxb_works!$B$96,1,0)),0)</f>
        <v>1</v>
      </c>
      <c r="C59" s="434">
        <f>tblTerritories!$D4</f>
        <v>1</v>
      </c>
      <c r="D59" s="434">
        <f>tblTerritories!$D4</f>
        <v>1</v>
      </c>
      <c r="E59" s="434">
        <f>tblTerritories!$D4</f>
        <v>1</v>
      </c>
      <c r="F59" s="434"/>
      <c r="G59" s="434"/>
    </row>
    <row r="60" spans="1:18">
      <c r="A60" s="479">
        <f t="shared" si="40"/>
        <v>3</v>
      </c>
      <c r="B60" s="434">
        <f>IF(C60=1,IF(uxb_works!$B$6&gt;1,IF(A60=$B$4-1,1,0),IF(uxb_works!$B$96,1,0)),0)</f>
        <v>1</v>
      </c>
      <c r="C60" s="434">
        <f>tblTerritories!$D5</f>
        <v>1</v>
      </c>
      <c r="D60" s="434">
        <f>tblTerritories!$D5</f>
        <v>1</v>
      </c>
      <c r="E60" s="434">
        <f>tblTerritories!$D5</f>
        <v>1</v>
      </c>
      <c r="F60" s="434"/>
      <c r="G60" s="434"/>
    </row>
    <row r="61" spans="1:18">
      <c r="A61" s="479">
        <f t="shared" si="40"/>
        <v>4</v>
      </c>
      <c r="B61" s="434">
        <f>IF(C61=1,IF(uxb_works!$B$6&gt;1,IF(A61=$B$4-1,1,0),IF(uxb_works!$B$96,1,0)),0)</f>
        <v>1</v>
      </c>
      <c r="C61" s="434">
        <f>tblTerritories!$D6</f>
        <v>1</v>
      </c>
      <c r="D61" s="434">
        <f>tblTerritories!$D6</f>
        <v>1</v>
      </c>
      <c r="E61" s="434">
        <f>tblTerritories!$D6</f>
        <v>1</v>
      </c>
      <c r="F61" s="434"/>
      <c r="G61" s="434"/>
    </row>
    <row r="62" spans="1:18">
      <c r="A62" s="479">
        <f t="shared" si="40"/>
        <v>5</v>
      </c>
      <c r="B62" s="434">
        <f>IF(C62=1,IF(uxb_works!$B$6&gt;1,IF(A62=$B$4-1,1,0),IF(uxb_works!$B$96,1,0)),0)</f>
        <v>1</v>
      </c>
      <c r="C62" s="434">
        <f>tblTerritories!$D7</f>
        <v>1</v>
      </c>
      <c r="D62" s="434">
        <f>tblTerritories!$D7</f>
        <v>1</v>
      </c>
      <c r="E62" s="434">
        <f>tblTerritories!$D7</f>
        <v>1</v>
      </c>
      <c r="F62" s="434"/>
      <c r="G62" s="434"/>
    </row>
    <row r="63" spans="1:18">
      <c r="A63" s="479">
        <f t="shared" si="40"/>
        <v>6</v>
      </c>
      <c r="B63" s="434">
        <f>IF(C63=1,IF(uxb_works!$B$6&gt;1,IF(A63=$B$4-1,1,0),IF(uxb_works!$B$96,1,0)),0)</f>
        <v>1</v>
      </c>
      <c r="C63" s="434">
        <f>tblTerritories!$D8</f>
        <v>1</v>
      </c>
      <c r="D63" s="434">
        <f>tblTerritories!$D8</f>
        <v>1</v>
      </c>
      <c r="E63" s="434">
        <f>tblTerritories!$D8</f>
        <v>1</v>
      </c>
      <c r="F63" s="434"/>
      <c r="G63" s="434"/>
    </row>
    <row r="64" spans="1:18">
      <c r="A64" s="479">
        <f t="shared" si="40"/>
        <v>7</v>
      </c>
      <c r="B64" s="434">
        <f>IF(C64=1,IF(uxb_works!$B$6&gt;1,IF(A64=$B$4-1,1,0),IF(uxb_works!$B$96,1,0)),0)</f>
        <v>1</v>
      </c>
      <c r="C64" s="434">
        <f>tblTerritories!$D9</f>
        <v>1</v>
      </c>
      <c r="D64" s="434">
        <f>tblTerritories!$D9</f>
        <v>1</v>
      </c>
      <c r="E64" s="434">
        <f>tblTerritories!$D9</f>
        <v>1</v>
      </c>
      <c r="F64" s="434"/>
      <c r="G64" s="434"/>
    </row>
    <row r="65" spans="1:7">
      <c r="A65" s="479">
        <f t="shared" si="40"/>
        <v>8</v>
      </c>
      <c r="B65" s="434">
        <f>IF(C65=1,IF(uxb_works!$B$6&gt;1,IF(A65=$B$4-1,1,0),IF(uxb_works!$B$96,1,0)),0)</f>
        <v>1</v>
      </c>
      <c r="C65" s="434">
        <f>tblTerritories!$D10</f>
        <v>1</v>
      </c>
      <c r="D65" s="434">
        <f>tblTerritories!$D10</f>
        <v>1</v>
      </c>
      <c r="E65" s="434">
        <f>tblTerritories!$D10</f>
        <v>1</v>
      </c>
      <c r="F65" s="434"/>
      <c r="G65" s="434"/>
    </row>
    <row r="66" spans="1:7">
      <c r="A66" s="479">
        <f t="shared" si="40"/>
        <v>9</v>
      </c>
      <c r="B66" s="434">
        <f>IF(C66=1,IF(uxb_works!$B$6&gt;1,IF(A66=$B$4-1,1,0),IF(uxb_works!$B$96,1,0)),0)</f>
        <v>1</v>
      </c>
      <c r="C66" s="434">
        <f>tblTerritories!$D11</f>
        <v>1</v>
      </c>
      <c r="D66" s="434">
        <f>tblTerritories!$D11</f>
        <v>1</v>
      </c>
      <c r="E66" s="434">
        <f>tblTerritories!$D11</f>
        <v>1</v>
      </c>
      <c r="F66" s="434"/>
      <c r="G66" s="434"/>
    </row>
    <row r="67" spans="1:7">
      <c r="A67" s="479">
        <f t="shared" si="40"/>
        <v>10</v>
      </c>
      <c r="B67" s="434">
        <f>IF(C67=1,IF(uxb_works!$B$6&gt;1,IF(A67=$B$4-1,1,0),IF(uxb_works!$B$96,1,0)),0)</f>
        <v>1</v>
      </c>
      <c r="C67" s="434">
        <f>tblTerritories!$D12</f>
        <v>1</v>
      </c>
      <c r="D67" s="434">
        <f>tblTerritories!$D12</f>
        <v>1</v>
      </c>
      <c r="E67" s="434">
        <f>tblTerritories!$D12</f>
        <v>1</v>
      </c>
      <c r="F67" s="434"/>
      <c r="G67" s="434"/>
    </row>
    <row r="68" spans="1:7">
      <c r="A68" s="479">
        <f t="shared" si="40"/>
        <v>11</v>
      </c>
      <c r="B68" s="434">
        <f>IF(C68=1,IF(uxb_works!$B$6&gt;1,IF(A68=$B$4-1,1,0),IF(uxb_works!$B$96,1,0)),0)</f>
        <v>1</v>
      </c>
      <c r="C68" s="434">
        <f>tblTerritories!$D13</f>
        <v>1</v>
      </c>
      <c r="D68" s="434">
        <f>tblTerritories!$D13</f>
        <v>1</v>
      </c>
      <c r="E68" s="434">
        <f>tblTerritories!$D13</f>
        <v>1</v>
      </c>
      <c r="F68" s="434"/>
      <c r="G68" s="434"/>
    </row>
    <row r="69" spans="1:7">
      <c r="A69" s="479">
        <f t="shared" si="40"/>
        <v>12</v>
      </c>
      <c r="B69" s="434">
        <f>IF(C69=1,IF(uxb_works!$B$6&gt;1,IF(A69=$B$4-1,1,0),IF(uxb_works!$B$96,1,0)),0)</f>
        <v>1</v>
      </c>
      <c r="C69" s="434">
        <f>tblTerritories!$D14</f>
        <v>1</v>
      </c>
      <c r="D69" s="434">
        <f>tblTerritories!$D14</f>
        <v>1</v>
      </c>
      <c r="E69" s="434">
        <f>tblTerritories!$D14</f>
        <v>1</v>
      </c>
      <c r="F69" s="434"/>
      <c r="G69" s="434"/>
    </row>
    <row r="70" spans="1:7">
      <c r="A70" s="479">
        <f t="shared" si="40"/>
        <v>13</v>
      </c>
      <c r="B70" s="434">
        <f>IF(C70=1,IF(uxb_works!$B$6&gt;1,IF(A70=$B$4-1,1,0),IF(uxb_works!$B$96,1,0)),0)</f>
        <v>1</v>
      </c>
      <c r="C70" s="434">
        <f>tblTerritories!$D15</f>
        <v>1</v>
      </c>
      <c r="D70" s="434">
        <f>tblTerritories!$D15</f>
        <v>1</v>
      </c>
      <c r="E70" s="434">
        <f>tblTerritories!$D15</f>
        <v>1</v>
      </c>
      <c r="F70" s="434"/>
      <c r="G70" s="434"/>
    </row>
    <row r="71" spans="1:7">
      <c r="A71" s="479">
        <f t="shared" si="40"/>
        <v>14</v>
      </c>
      <c r="B71" s="434">
        <f>IF(C71=1,IF(uxb_works!$B$6&gt;1,IF(A71=$B$4-1,1,0),IF(uxb_works!$B$96,1,0)),0)</f>
        <v>1</v>
      </c>
      <c r="C71" s="434">
        <f>tblTerritories!$D16</f>
        <v>1</v>
      </c>
      <c r="D71" s="434">
        <f>tblTerritories!$D16</f>
        <v>1</v>
      </c>
      <c r="E71" s="434">
        <f>tblTerritories!$D16</f>
        <v>1</v>
      </c>
      <c r="F71" s="434"/>
      <c r="G71" s="434"/>
    </row>
    <row r="72" spans="1:7">
      <c r="A72" s="479">
        <f t="shared" si="40"/>
        <v>15</v>
      </c>
      <c r="B72" s="434">
        <f>IF(C72=1,IF(uxb_works!$B$6&gt;1,IF(A72=$B$4-1,1,0),IF(uxb_works!$B$96,1,0)),0)</f>
        <v>1</v>
      </c>
      <c r="C72" s="434">
        <f>tblTerritories!$D17</f>
        <v>1</v>
      </c>
      <c r="D72" s="434">
        <f>tblTerritories!$D17</f>
        <v>1</v>
      </c>
      <c r="E72" s="434">
        <f>tblTerritories!$D17</f>
        <v>1</v>
      </c>
      <c r="F72" s="434"/>
      <c r="G72" s="434"/>
    </row>
    <row r="73" spans="1:7">
      <c r="A73" s="479">
        <f t="shared" si="40"/>
        <v>16</v>
      </c>
      <c r="B73" s="434">
        <f>IF(C73=1,IF(uxb_works!$B$6&gt;1,IF(A73=$B$4-1,1,0),IF(uxb_works!$B$96,1,0)),0)</f>
        <v>1</v>
      </c>
      <c r="C73" s="434">
        <f>tblTerritories!$D18</f>
        <v>1</v>
      </c>
      <c r="D73" s="434">
        <f>tblTerritories!$D18</f>
        <v>1</v>
      </c>
      <c r="E73" s="434">
        <f>tblTerritories!$D18</f>
        <v>1</v>
      </c>
      <c r="F73" s="434"/>
      <c r="G73" s="434"/>
    </row>
    <row r="74" spans="1:7">
      <c r="A74" s="479">
        <f t="shared" si="40"/>
        <v>17</v>
      </c>
      <c r="B74" s="434">
        <f>IF(C74=1,IF(uxb_works!$B$6&gt;1,IF(A74=$B$4-1,1,0),IF(uxb_works!$B$96,1,0)),0)</f>
        <v>1</v>
      </c>
      <c r="C74" s="434">
        <f>tblTerritories!$D19</f>
        <v>1</v>
      </c>
      <c r="D74" s="434">
        <f>tblTerritories!$D19</f>
        <v>1</v>
      </c>
      <c r="E74" s="434">
        <f>tblTerritories!$D19</f>
        <v>1</v>
      </c>
      <c r="F74" s="434"/>
      <c r="G74" s="434"/>
    </row>
    <row r="75" spans="1:7">
      <c r="A75" s="479">
        <f t="shared" si="40"/>
        <v>18</v>
      </c>
      <c r="B75" s="434">
        <f>IF(C75=1,IF(uxb_works!$B$6&gt;1,IF(A75=$B$4-1,1,0),IF(uxb_works!$B$96,1,0)),0)</f>
        <v>1</v>
      </c>
      <c r="C75" s="434">
        <f>tblTerritories!$D20</f>
        <v>1</v>
      </c>
      <c r="D75" s="434">
        <f>tblTerritories!$D20</f>
        <v>1</v>
      </c>
      <c r="E75" s="434">
        <f>tblTerritories!$D20</f>
        <v>1</v>
      </c>
      <c r="F75" s="434"/>
      <c r="G75" s="434"/>
    </row>
    <row r="76" spans="1:7">
      <c r="A76" s="479">
        <f t="shared" si="40"/>
        <v>19</v>
      </c>
      <c r="B76" s="434">
        <f>IF(C76=1,IF(uxb_works!$B$6&gt;1,IF(A76=$B$4-1,1,0),IF(uxb_works!$B$96,1,0)),0)</f>
        <v>1</v>
      </c>
      <c r="C76" s="434">
        <f>tblTerritories!$D21</f>
        <v>1</v>
      </c>
      <c r="D76" s="434">
        <f>tblTerritories!$D21</f>
        <v>1</v>
      </c>
      <c r="E76" s="434">
        <f>tblTerritories!$D21</f>
        <v>1</v>
      </c>
      <c r="F76" s="434"/>
      <c r="G76" s="434"/>
    </row>
    <row r="77" spans="1:7">
      <c r="A77" s="479">
        <f t="shared" si="40"/>
        <v>20</v>
      </c>
      <c r="B77" s="434">
        <f>IF(C77=1,IF(uxb_works!$B$6&gt;1,IF(A77=$B$4-1,1,0),IF(uxb_works!$B$96,1,0)),0)</f>
        <v>1</v>
      </c>
      <c r="C77" s="434">
        <f>tblTerritories!$D22</f>
        <v>1</v>
      </c>
      <c r="D77" s="434">
        <f>tblTerritories!$D22</f>
        <v>1</v>
      </c>
      <c r="E77" s="434">
        <f>tblTerritories!$D22</f>
        <v>1</v>
      </c>
      <c r="F77" s="434"/>
      <c r="G77" s="434"/>
    </row>
    <row r="78" spans="1:7">
      <c r="A78" s="479">
        <f t="shared" si="40"/>
        <v>21</v>
      </c>
      <c r="B78" s="434">
        <f>IF(C78=1,IF(uxb_works!$B$6&gt;1,IF(A78=$B$4-1,1,0),IF(uxb_works!$B$96,1,0)),0)</f>
        <v>1</v>
      </c>
      <c r="C78" s="434">
        <f>tblTerritories!$D23</f>
        <v>1</v>
      </c>
      <c r="D78" s="434">
        <f>tblTerritories!$D23</f>
        <v>1</v>
      </c>
      <c r="E78" s="434">
        <f>tblTerritories!$D23</f>
        <v>1</v>
      </c>
      <c r="F78" s="434"/>
      <c r="G78" s="434"/>
    </row>
    <row r="79" spans="1:7">
      <c r="A79" s="479">
        <f t="shared" si="40"/>
        <v>22</v>
      </c>
      <c r="B79" s="434">
        <f>IF(C79=1,IF(uxb_works!$B$6&gt;1,IF(A79=$B$4-1,1,0),IF(uxb_works!$B$96,1,0)),0)</f>
        <v>1</v>
      </c>
      <c r="C79" s="434">
        <f>tblTerritories!$D24</f>
        <v>1</v>
      </c>
      <c r="D79" s="434">
        <f>tblTerritories!$D24</f>
        <v>1</v>
      </c>
      <c r="E79" s="434">
        <f>tblTerritories!$D24</f>
        <v>1</v>
      </c>
      <c r="F79" s="434"/>
      <c r="G79" s="434"/>
    </row>
    <row r="80" spans="1:7">
      <c r="F80" s="434"/>
      <c r="G80" s="434"/>
    </row>
    <row r="81" spans="6:7">
      <c r="F81" s="434"/>
      <c r="G81" s="434"/>
    </row>
    <row r="82" spans="6:7">
      <c r="F82" s="434"/>
      <c r="G82" s="434"/>
    </row>
    <row r="83" spans="6:7">
      <c r="F83" s="434"/>
      <c r="G83" s="434"/>
    </row>
    <row r="84" spans="6:7">
      <c r="F84" s="434"/>
      <c r="G84" s="434"/>
    </row>
    <row r="85" spans="6:7">
      <c r="F85" s="434"/>
      <c r="G85" s="434"/>
    </row>
    <row r="86" spans="6:7">
      <c r="F86" s="434"/>
      <c r="G86" s="434"/>
    </row>
    <row r="87" spans="6:7">
      <c r="F87" s="434"/>
      <c r="G87" s="434"/>
    </row>
    <row r="88" spans="6:7">
      <c r="F88" s="434"/>
      <c r="G88" s="434"/>
    </row>
    <row r="89" spans="6:7">
      <c r="F89" s="434"/>
      <c r="G89" s="434"/>
    </row>
    <row r="90" spans="6:7">
      <c r="F90" s="434"/>
      <c r="G90" s="434"/>
    </row>
    <row r="91" spans="6:7">
      <c r="F91" s="434"/>
      <c r="G91" s="434"/>
    </row>
    <row r="92" spans="6:7">
      <c r="F92" s="434"/>
      <c r="G92" s="434"/>
    </row>
    <row r="93" spans="6:7">
      <c r="F93" s="434"/>
      <c r="G93" s="434"/>
    </row>
    <row r="94" spans="6:7">
      <c r="F94" s="434"/>
      <c r="G94" s="434"/>
    </row>
    <row r="95" spans="6:7">
      <c r="F95" s="434"/>
      <c r="G95" s="434"/>
    </row>
    <row r="96" spans="6:7">
      <c r="F96" s="434"/>
      <c r="G96" s="434"/>
    </row>
    <row r="97" spans="6:7">
      <c r="F97" s="434"/>
      <c r="G97" s="434"/>
    </row>
    <row r="98" spans="6:7">
      <c r="F98" s="434"/>
      <c r="G98" s="434"/>
    </row>
    <row r="99" spans="6:7">
      <c r="F99" s="434"/>
      <c r="G99" s="434"/>
    </row>
    <row r="100" spans="6:7">
      <c r="F100" s="434"/>
      <c r="G100" s="434"/>
    </row>
    <row r="101" spans="6:7">
      <c r="F101" s="434"/>
      <c r="G101" s="434"/>
    </row>
    <row r="102" spans="6:7">
      <c r="F102" s="434"/>
      <c r="G102" s="434"/>
    </row>
    <row r="103" spans="6:7">
      <c r="F103" s="434"/>
      <c r="G103" s="434"/>
    </row>
    <row r="104" spans="6:7">
      <c r="F104" s="434"/>
      <c r="G104" s="434"/>
    </row>
    <row r="105" spans="6:7">
      <c r="F105" s="434"/>
      <c r="G105" s="434"/>
    </row>
    <row r="106" spans="6:7">
      <c r="F106" s="434"/>
      <c r="G106" s="434"/>
    </row>
    <row r="107" spans="6:7">
      <c r="F107" s="434"/>
      <c r="G107" s="434"/>
    </row>
    <row r="108" spans="6:7">
      <c r="F108" s="434"/>
      <c r="G108" s="434"/>
    </row>
    <row r="109" spans="6:7">
      <c r="F109" s="434"/>
      <c r="G109" s="434"/>
    </row>
    <row r="110" spans="6:7">
      <c r="F110" s="434"/>
      <c r="G110" s="434"/>
    </row>
    <row r="111" spans="6:7">
      <c r="F111" s="434"/>
      <c r="G111" s="434"/>
    </row>
    <row r="112" spans="6:7">
      <c r="F112" s="434"/>
      <c r="G112" s="434"/>
    </row>
    <row r="113" spans="6:7">
      <c r="F113" s="434"/>
      <c r="G113" s="434"/>
    </row>
    <row r="114" spans="6:7">
      <c r="F114" s="434"/>
      <c r="G114" s="434"/>
    </row>
    <row r="115" spans="6:7">
      <c r="F115" s="434"/>
      <c r="G115" s="434"/>
    </row>
    <row r="116" spans="6:7">
      <c r="F116" s="434"/>
      <c r="G116" s="434"/>
    </row>
    <row r="117" spans="6:7">
      <c r="F117" s="434"/>
      <c r="G117" s="434"/>
    </row>
    <row r="118" spans="6:7">
      <c r="F118" s="434"/>
      <c r="G118" s="434"/>
    </row>
    <row r="119" spans="6:7">
      <c r="F119" s="434"/>
      <c r="G119" s="434"/>
    </row>
    <row r="120" spans="6:7">
      <c r="F120" s="434"/>
      <c r="G120" s="434"/>
    </row>
    <row r="121" spans="6:7">
      <c r="F121" s="434"/>
      <c r="G121" s="434"/>
    </row>
    <row r="122" spans="6:7">
      <c r="F122" s="434"/>
      <c r="G122" s="434"/>
    </row>
    <row r="123" spans="6:7">
      <c r="F123" s="434"/>
      <c r="G123" s="434"/>
    </row>
    <row r="124" spans="6:7">
      <c r="F124" s="434"/>
      <c r="G124" s="434"/>
    </row>
    <row r="125" spans="6:7">
      <c r="F125" s="434"/>
      <c r="G125" s="434"/>
    </row>
    <row r="126" spans="6:7">
      <c r="F126" s="434"/>
      <c r="G126" s="434"/>
    </row>
    <row r="127" spans="6:7">
      <c r="F127" s="434"/>
      <c r="G127" s="434"/>
    </row>
    <row r="128" spans="6:7">
      <c r="F128" s="434"/>
      <c r="G128" s="434"/>
    </row>
    <row r="129" spans="6:7">
      <c r="F129" s="434"/>
      <c r="G129" s="434"/>
    </row>
    <row r="130" spans="6:7">
      <c r="F130" s="434"/>
      <c r="G130" s="434"/>
    </row>
    <row r="131" spans="6:7">
      <c r="F131" s="434"/>
      <c r="G131" s="434"/>
    </row>
    <row r="132" spans="6:7">
      <c r="F132" s="434"/>
      <c r="G132" s="434"/>
    </row>
    <row r="133" spans="6:7">
      <c r="F133" s="434"/>
      <c r="G133" s="434"/>
    </row>
    <row r="134" spans="6:7">
      <c r="F134" s="434"/>
      <c r="G134" s="434"/>
    </row>
    <row r="135" spans="6:7">
      <c r="F135" s="434"/>
      <c r="G135" s="434"/>
    </row>
    <row r="136" spans="6:7">
      <c r="F136" s="434"/>
      <c r="G136" s="434"/>
    </row>
    <row r="137" spans="6:7">
      <c r="F137" s="434"/>
      <c r="G137" s="434"/>
    </row>
    <row r="138" spans="6:7">
      <c r="F138" s="434"/>
      <c r="G138" s="434"/>
    </row>
    <row r="139" spans="6:7">
      <c r="F139" s="434"/>
      <c r="G139" s="434"/>
    </row>
    <row r="140" spans="6:7">
      <c r="F140" s="434"/>
      <c r="G140" s="434"/>
    </row>
    <row r="141" spans="6:7">
      <c r="F141" s="434"/>
      <c r="G141" s="434"/>
    </row>
    <row r="142" spans="6:7">
      <c r="F142" s="434"/>
      <c r="G142" s="434"/>
    </row>
    <row r="143" spans="6:7">
      <c r="F143" s="434"/>
      <c r="G143" s="434"/>
    </row>
    <row r="144" spans="6:7">
      <c r="F144" s="434"/>
      <c r="G144" s="434"/>
    </row>
    <row r="145" spans="6:7">
      <c r="F145" s="434"/>
      <c r="G145" s="434"/>
    </row>
    <row r="146" spans="6:7">
      <c r="F146" s="434"/>
      <c r="G146" s="434"/>
    </row>
    <row r="147" spans="6:7">
      <c r="F147" s="434"/>
      <c r="G147" s="434"/>
    </row>
    <row r="148" spans="6:7">
      <c r="F148" s="434"/>
      <c r="G148" s="434"/>
    </row>
    <row r="149" spans="6:7">
      <c r="F149" s="434"/>
      <c r="G149" s="434"/>
    </row>
    <row r="150" spans="6:7">
      <c r="F150" s="434"/>
      <c r="G150" s="434"/>
    </row>
    <row r="151" spans="6:7">
      <c r="F151" s="434"/>
      <c r="G151" s="434"/>
    </row>
    <row r="152" spans="6:7">
      <c r="F152" s="434"/>
      <c r="G152" s="434"/>
    </row>
    <row r="153" spans="6:7">
      <c r="F153" s="434"/>
      <c r="G153" s="434"/>
    </row>
    <row r="154" spans="6:7">
      <c r="F154" s="434"/>
      <c r="G154" s="434"/>
    </row>
    <row r="155" spans="6:7">
      <c r="F155" s="434"/>
      <c r="G155" s="434"/>
    </row>
    <row r="156" spans="6:7">
      <c r="F156" s="434"/>
      <c r="G156" s="434"/>
    </row>
    <row r="157" spans="6:7">
      <c r="F157" s="434"/>
      <c r="G157" s="434"/>
    </row>
    <row r="158" spans="6:7">
      <c r="F158" s="434"/>
      <c r="G158" s="434"/>
    </row>
    <row r="159" spans="6:7">
      <c r="F159" s="434"/>
      <c r="G159" s="434"/>
    </row>
    <row r="160" spans="6:7">
      <c r="F160" s="434"/>
      <c r="G160" s="434"/>
    </row>
    <row r="161" spans="6:7">
      <c r="F161" s="434"/>
      <c r="G161" s="434"/>
    </row>
    <row r="162" spans="6:7">
      <c r="F162" s="434"/>
      <c r="G162" s="434"/>
    </row>
    <row r="163" spans="6:7">
      <c r="F163" s="434"/>
      <c r="G163" s="434"/>
    </row>
    <row r="164" spans="6:7">
      <c r="F164" s="434"/>
      <c r="G164" s="434"/>
    </row>
    <row r="165" spans="6:7">
      <c r="F165" s="434"/>
      <c r="G165" s="434"/>
    </row>
    <row r="166" spans="6:7">
      <c r="F166" s="434"/>
      <c r="G166" s="434"/>
    </row>
    <row r="167" spans="6:7">
      <c r="F167" s="434"/>
      <c r="G167" s="434"/>
    </row>
    <row r="168" spans="6:7">
      <c r="F168" s="434"/>
      <c r="G168" s="434"/>
    </row>
    <row r="169" spans="6:7">
      <c r="F169" s="434"/>
      <c r="G169" s="434"/>
    </row>
    <row r="170" spans="6:7">
      <c r="F170" s="434"/>
      <c r="G170" s="434"/>
    </row>
    <row r="171" spans="6:7">
      <c r="F171" s="434"/>
      <c r="G171" s="434"/>
    </row>
    <row r="172" spans="6:7">
      <c r="F172" s="434"/>
      <c r="G172" s="434"/>
    </row>
    <row r="173" spans="6:7">
      <c r="F173" s="434"/>
      <c r="G173" s="434"/>
    </row>
    <row r="174" spans="6:7">
      <c r="F174" s="434"/>
      <c r="G174" s="434"/>
    </row>
    <row r="175" spans="6:7">
      <c r="F175" s="434"/>
      <c r="G175" s="434"/>
    </row>
    <row r="176" spans="6:7">
      <c r="F176" s="434"/>
      <c r="G176" s="434"/>
    </row>
    <row r="177" spans="6:7">
      <c r="F177" s="434"/>
      <c r="G177" s="434"/>
    </row>
    <row r="178" spans="6:7">
      <c r="F178" s="434"/>
      <c r="G178" s="434"/>
    </row>
    <row r="179" spans="6:7">
      <c r="F179" s="434"/>
      <c r="G179" s="434"/>
    </row>
    <row r="180" spans="6:7">
      <c r="F180" s="434"/>
      <c r="G180" s="434"/>
    </row>
    <row r="181" spans="6:7">
      <c r="F181" s="434"/>
      <c r="G181" s="434"/>
    </row>
    <row r="182" spans="6:7">
      <c r="F182" s="434"/>
      <c r="G182" s="434"/>
    </row>
    <row r="183" spans="6:7">
      <c r="F183" s="434"/>
      <c r="G183" s="434"/>
    </row>
    <row r="184" spans="6:7">
      <c r="F184" s="434"/>
      <c r="G184" s="434"/>
    </row>
    <row r="185" spans="6:7">
      <c r="F185" s="434"/>
      <c r="G185" s="434"/>
    </row>
    <row r="186" spans="6:7">
      <c r="F186" s="434"/>
      <c r="G186" s="434"/>
    </row>
    <row r="187" spans="6:7">
      <c r="F187" s="434"/>
      <c r="G187" s="434"/>
    </row>
    <row r="188" spans="6:7">
      <c r="F188" s="434"/>
      <c r="G188" s="434"/>
    </row>
    <row r="189" spans="6:7">
      <c r="F189" s="434"/>
      <c r="G189" s="434"/>
    </row>
    <row r="190" spans="6:7">
      <c r="F190" s="434"/>
      <c r="G190" s="434"/>
    </row>
    <row r="191" spans="6:7">
      <c r="F191" s="434"/>
      <c r="G191" s="434"/>
    </row>
    <row r="192" spans="6:7">
      <c r="F192" s="434"/>
      <c r="G192" s="434"/>
    </row>
    <row r="193" spans="6:7">
      <c r="F193" s="434"/>
      <c r="G193" s="434"/>
    </row>
    <row r="194" spans="6:7">
      <c r="F194" s="434"/>
      <c r="G194" s="434"/>
    </row>
    <row r="195" spans="6:7">
      <c r="F195" s="434"/>
      <c r="G195" s="434"/>
    </row>
    <row r="196" spans="6:7">
      <c r="F196" s="434"/>
      <c r="G196" s="434"/>
    </row>
    <row r="197" spans="6:7">
      <c r="F197" s="434"/>
      <c r="G197" s="434"/>
    </row>
    <row r="198" spans="6:7">
      <c r="F198" s="434"/>
      <c r="G198" s="434"/>
    </row>
    <row r="199" spans="6:7">
      <c r="F199" s="434"/>
      <c r="G199" s="434"/>
    </row>
    <row r="200" spans="6:7">
      <c r="F200" s="434"/>
      <c r="G200" s="434"/>
    </row>
    <row r="201" spans="6:7">
      <c r="F201" s="434"/>
      <c r="G201" s="434"/>
    </row>
    <row r="202" spans="6:7">
      <c r="F202" s="434"/>
      <c r="G202" s="434"/>
    </row>
    <row r="203" spans="6:7">
      <c r="F203" s="434"/>
      <c r="G203" s="434"/>
    </row>
    <row r="204" spans="6:7">
      <c r="F204" s="434"/>
      <c r="G204" s="434"/>
    </row>
    <row r="205" spans="6:7">
      <c r="F205" s="434"/>
      <c r="G205" s="434"/>
    </row>
    <row r="206" spans="6:7">
      <c r="F206" s="434"/>
      <c r="G206" s="434"/>
    </row>
    <row r="207" spans="6:7">
      <c r="F207" s="434"/>
      <c r="G207" s="434"/>
    </row>
    <row r="208" spans="6:7">
      <c r="F208" s="434"/>
      <c r="G208" s="434"/>
    </row>
    <row r="209" spans="6:7">
      <c r="F209" s="434"/>
      <c r="G209" s="434"/>
    </row>
    <row r="210" spans="6:7">
      <c r="F210" s="434"/>
      <c r="G210" s="434"/>
    </row>
    <row r="211" spans="6:7">
      <c r="F211" s="434"/>
      <c r="G211" s="434"/>
    </row>
    <row r="212" spans="6:7">
      <c r="F212" s="434"/>
      <c r="G212" s="434"/>
    </row>
    <row r="213" spans="6:7">
      <c r="F213" s="434"/>
      <c r="G213" s="434"/>
    </row>
    <row r="214" spans="6:7">
      <c r="F214" s="434"/>
      <c r="G214" s="434"/>
    </row>
    <row r="215" spans="6:7">
      <c r="F215" s="434"/>
      <c r="G215" s="434"/>
    </row>
    <row r="216" spans="6:7">
      <c r="F216" s="434"/>
      <c r="G216" s="434"/>
    </row>
    <row r="217" spans="6:7">
      <c r="F217" s="434"/>
      <c r="G217" s="434"/>
    </row>
    <row r="218" spans="6:7">
      <c r="F218" s="434"/>
      <c r="G218" s="434"/>
    </row>
    <row r="219" spans="6:7">
      <c r="F219" s="434"/>
      <c r="G219" s="434"/>
    </row>
    <row r="220" spans="6:7">
      <c r="F220" s="434"/>
      <c r="G220" s="434"/>
    </row>
    <row r="221" spans="6:7">
      <c r="F221" s="434"/>
      <c r="G221" s="434"/>
    </row>
    <row r="222" spans="6:7">
      <c r="F222" s="434"/>
      <c r="G222" s="434"/>
    </row>
    <row r="223" spans="6:7">
      <c r="F223" s="434"/>
      <c r="G223" s="434"/>
    </row>
    <row r="224" spans="6:7">
      <c r="F224" s="434"/>
      <c r="G224" s="434"/>
    </row>
    <row r="225" spans="6:7">
      <c r="F225" s="434"/>
      <c r="G225" s="434"/>
    </row>
    <row r="226" spans="6:7">
      <c r="F226" s="434"/>
      <c r="G226" s="434"/>
    </row>
    <row r="227" spans="6:7">
      <c r="F227" s="434"/>
      <c r="G227" s="434"/>
    </row>
    <row r="228" spans="6:7">
      <c r="F228" s="434"/>
      <c r="G228" s="434"/>
    </row>
    <row r="229" spans="6:7">
      <c r="F229" s="434"/>
      <c r="G229" s="434"/>
    </row>
    <row r="230" spans="6:7">
      <c r="F230" s="434"/>
      <c r="G230" s="434"/>
    </row>
    <row r="231" spans="6:7">
      <c r="F231" s="434"/>
      <c r="G231" s="434"/>
    </row>
    <row r="232" spans="6:7">
      <c r="F232" s="434"/>
      <c r="G232" s="434"/>
    </row>
    <row r="233" spans="6:7">
      <c r="F233" s="434"/>
      <c r="G233" s="434"/>
    </row>
    <row r="234" spans="6:7">
      <c r="F234" s="434"/>
      <c r="G234" s="434"/>
    </row>
    <row r="235" spans="6:7">
      <c r="F235" s="434"/>
      <c r="G235" s="434"/>
    </row>
    <row r="236" spans="6:7">
      <c r="F236" s="434"/>
      <c r="G236" s="434"/>
    </row>
    <row r="237" spans="6:7">
      <c r="F237" s="434"/>
      <c r="G237" s="434"/>
    </row>
    <row r="238" spans="6:7">
      <c r="F238" s="434"/>
      <c r="G238" s="434"/>
    </row>
    <row r="239" spans="6:7">
      <c r="F239" s="434"/>
      <c r="G239" s="434"/>
    </row>
    <row r="240" spans="6:7">
      <c r="F240" s="434"/>
      <c r="G240" s="434"/>
    </row>
    <row r="241" spans="6:7">
      <c r="F241" s="434"/>
      <c r="G241" s="434"/>
    </row>
    <row r="242" spans="6:7">
      <c r="F242" s="434"/>
      <c r="G242" s="434"/>
    </row>
    <row r="243" spans="6:7">
      <c r="F243" s="434"/>
      <c r="G243" s="434"/>
    </row>
    <row r="244" spans="6:7">
      <c r="F244" s="434"/>
      <c r="G244" s="434"/>
    </row>
    <row r="245" spans="6:7">
      <c r="F245" s="434"/>
      <c r="G245" s="434"/>
    </row>
    <row r="246" spans="6:7">
      <c r="F246" s="434"/>
      <c r="G246" s="434"/>
    </row>
    <row r="247" spans="6:7">
      <c r="F247" s="434"/>
      <c r="G247" s="434"/>
    </row>
    <row r="248" spans="6:7">
      <c r="F248" s="434"/>
      <c r="G248" s="434"/>
    </row>
    <row r="249" spans="6:7">
      <c r="F249" s="434"/>
      <c r="G249" s="434"/>
    </row>
    <row r="250" spans="6:7">
      <c r="F250" s="434"/>
      <c r="G250" s="434"/>
    </row>
    <row r="251" spans="6:7">
      <c r="F251" s="434"/>
      <c r="G251" s="434"/>
    </row>
    <row r="252" spans="6:7">
      <c r="F252" s="434"/>
      <c r="G252" s="434"/>
    </row>
    <row r="253" spans="6:7">
      <c r="F253" s="434"/>
      <c r="G253" s="434"/>
    </row>
    <row r="254" spans="6:7">
      <c r="F254" s="434"/>
      <c r="G254" s="434"/>
    </row>
    <row r="255" spans="6:7">
      <c r="F255" s="434"/>
      <c r="G255" s="434"/>
    </row>
    <row r="256" spans="6:7">
      <c r="F256" s="434"/>
      <c r="G256" s="434"/>
    </row>
    <row r="257" spans="6:7">
      <c r="F257" s="434"/>
      <c r="G257" s="434"/>
    </row>
    <row r="258" spans="6:7">
      <c r="F258" s="434"/>
      <c r="G258" s="434"/>
    </row>
    <row r="259" spans="6:7">
      <c r="F259" s="434"/>
      <c r="G259" s="434"/>
    </row>
    <row r="260" spans="6:7">
      <c r="F260" s="434"/>
      <c r="G260" s="434"/>
    </row>
    <row r="261" spans="6:7">
      <c r="F261" s="434"/>
      <c r="G261" s="434"/>
    </row>
    <row r="262" spans="6:7">
      <c r="F262" s="434"/>
      <c r="G262" s="434"/>
    </row>
    <row r="263" spans="6:7">
      <c r="F263" s="434"/>
      <c r="G263" s="434"/>
    </row>
    <row r="264" spans="6:7">
      <c r="F264" s="434"/>
      <c r="G264" s="434"/>
    </row>
    <row r="265" spans="6:7">
      <c r="F265" s="434"/>
      <c r="G265" s="434"/>
    </row>
    <row r="266" spans="6:7">
      <c r="F266" s="434"/>
      <c r="G266" s="434"/>
    </row>
    <row r="267" spans="6:7">
      <c r="F267" s="434"/>
      <c r="G267" s="434"/>
    </row>
    <row r="268" spans="6:7">
      <c r="F268" s="434"/>
      <c r="G268" s="434"/>
    </row>
    <row r="269" spans="6:7">
      <c r="F269" s="434"/>
      <c r="G269" s="434"/>
    </row>
    <row r="270" spans="6:7">
      <c r="F270" s="434"/>
      <c r="G270" s="434"/>
    </row>
    <row r="271" spans="6:7">
      <c r="F271" s="434"/>
      <c r="G271" s="434"/>
    </row>
    <row r="272" spans="6:7">
      <c r="F272" s="434"/>
      <c r="G272" s="434"/>
    </row>
    <row r="273" spans="6:7">
      <c r="F273" s="434"/>
      <c r="G273" s="434"/>
    </row>
    <row r="274" spans="6:7">
      <c r="F274" s="434"/>
      <c r="G274" s="434"/>
    </row>
    <row r="275" spans="6:7">
      <c r="F275" s="434"/>
      <c r="G275" s="434"/>
    </row>
    <row r="276" spans="6:7">
      <c r="F276" s="434"/>
      <c r="G276" s="434"/>
    </row>
    <row r="277" spans="6:7">
      <c r="F277" s="434"/>
      <c r="G277" s="434"/>
    </row>
    <row r="278" spans="6:7">
      <c r="F278" s="434"/>
      <c r="G278" s="434"/>
    </row>
    <row r="279" spans="6:7">
      <c r="F279" s="434"/>
      <c r="G279" s="434"/>
    </row>
    <row r="280" spans="6:7">
      <c r="F280" s="434"/>
      <c r="G280" s="434"/>
    </row>
    <row r="281" spans="6:7">
      <c r="F281" s="434"/>
      <c r="G281" s="434"/>
    </row>
    <row r="282" spans="6:7">
      <c r="F282" s="434"/>
      <c r="G282" s="434"/>
    </row>
    <row r="283" spans="6:7">
      <c r="F283" s="434"/>
      <c r="G283" s="434"/>
    </row>
    <row r="284" spans="6:7">
      <c r="F284" s="434"/>
      <c r="G284" s="434"/>
    </row>
    <row r="285" spans="6:7">
      <c r="F285" s="434"/>
      <c r="G285" s="434"/>
    </row>
    <row r="286" spans="6:7">
      <c r="F286" s="434"/>
      <c r="G286" s="434"/>
    </row>
    <row r="287" spans="6:7">
      <c r="F287" s="434"/>
      <c r="G287" s="434"/>
    </row>
    <row r="288" spans="6:7">
      <c r="F288" s="434"/>
      <c r="G288" s="434"/>
    </row>
    <row r="289" spans="6:7">
      <c r="F289" s="434"/>
      <c r="G289" s="434"/>
    </row>
    <row r="290" spans="6:7">
      <c r="F290" s="434"/>
      <c r="G290" s="434"/>
    </row>
    <row r="291" spans="6:7">
      <c r="F291" s="434"/>
      <c r="G291" s="434"/>
    </row>
    <row r="292" spans="6:7">
      <c r="F292" s="434"/>
      <c r="G292" s="434"/>
    </row>
    <row r="293" spans="6:7">
      <c r="F293" s="434"/>
      <c r="G293" s="434"/>
    </row>
    <row r="294" spans="6:7">
      <c r="F294" s="434"/>
      <c r="G294" s="434"/>
    </row>
    <row r="295" spans="6:7">
      <c r="F295" s="434"/>
      <c r="G295" s="434"/>
    </row>
    <row r="296" spans="6:7">
      <c r="F296" s="434"/>
      <c r="G296" s="434"/>
    </row>
    <row r="297" spans="6:7">
      <c r="F297" s="434"/>
      <c r="G297" s="434"/>
    </row>
    <row r="298" spans="6:7">
      <c r="F298" s="434"/>
      <c r="G298" s="434"/>
    </row>
    <row r="299" spans="6:7">
      <c r="F299" s="434"/>
      <c r="G299" s="434"/>
    </row>
    <row r="300" spans="6:7">
      <c r="F300" s="434"/>
      <c r="G300" s="434"/>
    </row>
    <row r="301" spans="6:7">
      <c r="F301" s="434"/>
      <c r="G301" s="434"/>
    </row>
    <row r="302" spans="6:7">
      <c r="F302" s="434"/>
      <c r="G302" s="434"/>
    </row>
    <row r="303" spans="6:7">
      <c r="F303" s="434"/>
      <c r="G303" s="434"/>
    </row>
    <row r="304" spans="6:7">
      <c r="F304" s="434"/>
      <c r="G304" s="434"/>
    </row>
    <row r="305" spans="6:7">
      <c r="F305" s="434"/>
      <c r="G305" s="434"/>
    </row>
    <row r="306" spans="6:7">
      <c r="F306" s="434"/>
      <c r="G306" s="434"/>
    </row>
    <row r="307" spans="6:7">
      <c r="F307" s="434"/>
      <c r="G307" s="434"/>
    </row>
    <row r="308" spans="6:7">
      <c r="F308" s="434"/>
      <c r="G308" s="434"/>
    </row>
    <row r="309" spans="6:7">
      <c r="F309" s="434"/>
      <c r="G309" s="434"/>
    </row>
    <row r="310" spans="6:7">
      <c r="F310" s="434"/>
      <c r="G310" s="434"/>
    </row>
    <row r="311" spans="6:7">
      <c r="F311" s="434"/>
      <c r="G311" s="434"/>
    </row>
    <row r="312" spans="6:7">
      <c r="F312" s="434"/>
      <c r="G312" s="434"/>
    </row>
    <row r="313" spans="6:7">
      <c r="F313" s="434"/>
      <c r="G313" s="434"/>
    </row>
    <row r="314" spans="6:7">
      <c r="F314" s="434"/>
      <c r="G314" s="434"/>
    </row>
    <row r="315" spans="6:7">
      <c r="F315" s="434"/>
      <c r="G315" s="434"/>
    </row>
    <row r="316" spans="6:7">
      <c r="F316" s="434"/>
      <c r="G316" s="434"/>
    </row>
    <row r="317" spans="6:7">
      <c r="F317" s="434"/>
      <c r="G317" s="434"/>
    </row>
    <row r="318" spans="6:7">
      <c r="F318" s="434"/>
      <c r="G318" s="434"/>
    </row>
    <row r="319" spans="6:7">
      <c r="F319" s="434"/>
      <c r="G319" s="434"/>
    </row>
    <row r="320" spans="6:7">
      <c r="F320" s="434"/>
      <c r="G320" s="434"/>
    </row>
    <row r="322" spans="6:7">
      <c r="F322" s="434"/>
      <c r="G322" s="434"/>
    </row>
    <row r="323" spans="6:7">
      <c r="F323" s="434"/>
      <c r="G323" s="434"/>
    </row>
    <row r="324" spans="6:7">
      <c r="F324" s="434"/>
      <c r="G324" s="434"/>
    </row>
    <row r="325" spans="6:7">
      <c r="F325" s="434"/>
      <c r="G325" s="434"/>
    </row>
    <row r="326" spans="6:7">
      <c r="F326" s="434"/>
      <c r="G326" s="434"/>
    </row>
    <row r="327" spans="6:7">
      <c r="F327" s="434"/>
      <c r="G327" s="434"/>
    </row>
    <row r="328" spans="6:7">
      <c r="F328" s="434"/>
      <c r="G328" s="434"/>
    </row>
    <row r="329" spans="6:7">
      <c r="F329" s="434"/>
      <c r="G329" s="434"/>
    </row>
    <row r="330" spans="6:7">
      <c r="F330" s="434"/>
      <c r="G330" s="434"/>
    </row>
    <row r="331" spans="6:7">
      <c r="F331" s="434"/>
      <c r="G331" s="434"/>
    </row>
    <row r="332" spans="6:7">
      <c r="F332" s="434"/>
      <c r="G332" s="434"/>
    </row>
    <row r="333" spans="6:7">
      <c r="F333" s="434"/>
      <c r="G333" s="434"/>
    </row>
    <row r="334" spans="6:7">
      <c r="F334" s="434"/>
      <c r="G334" s="434"/>
    </row>
    <row r="335" spans="6:7">
      <c r="F335" s="434"/>
      <c r="G335" s="434"/>
    </row>
    <row r="336" spans="6:7">
      <c r="F336" s="434"/>
      <c r="G336" s="434"/>
    </row>
    <row r="337" spans="6:7">
      <c r="F337" s="434"/>
      <c r="G337" s="434"/>
    </row>
    <row r="338" spans="6:7">
      <c r="F338" s="434"/>
      <c r="G338" s="434"/>
    </row>
    <row r="339" spans="6:7">
      <c r="F339" s="434"/>
      <c r="G339" s="434"/>
    </row>
    <row r="340" spans="6:7">
      <c r="F340" s="434"/>
      <c r="G340" s="434"/>
    </row>
    <row r="341" spans="6:7">
      <c r="F341" s="434"/>
      <c r="G341" s="434"/>
    </row>
    <row r="342" spans="6:7">
      <c r="F342" s="434"/>
      <c r="G342" s="434"/>
    </row>
    <row r="343" spans="6:7">
      <c r="F343" s="434"/>
      <c r="G343" s="434"/>
    </row>
    <row r="344" spans="6:7">
      <c r="F344" s="434"/>
      <c r="G344" s="434"/>
    </row>
    <row r="345" spans="6:7">
      <c r="F345" s="434"/>
      <c r="G345" s="434"/>
    </row>
    <row r="346" spans="6:7">
      <c r="F346" s="434"/>
      <c r="G346" s="434"/>
    </row>
    <row r="347" spans="6:7">
      <c r="F347" s="434"/>
      <c r="G347" s="434"/>
    </row>
    <row r="348" spans="6:7">
      <c r="F348" s="434"/>
      <c r="G348" s="434"/>
    </row>
    <row r="349" spans="6:7">
      <c r="F349" s="434"/>
      <c r="G349" s="434"/>
    </row>
    <row r="350" spans="6:7">
      <c r="F350" s="434"/>
      <c r="G350" s="434"/>
    </row>
    <row r="351" spans="6:7">
      <c r="F351" s="434"/>
      <c r="G351" s="434"/>
    </row>
    <row r="352" spans="6:7">
      <c r="F352" s="434"/>
      <c r="G352" s="434"/>
    </row>
    <row r="353" spans="6:7">
      <c r="F353" s="434"/>
      <c r="G353" s="434"/>
    </row>
    <row r="354" spans="6:7">
      <c r="F354" s="434"/>
      <c r="G354" s="434"/>
    </row>
    <row r="355" spans="6:7">
      <c r="F355" s="434"/>
      <c r="G355" s="434"/>
    </row>
    <row r="356" spans="6:7">
      <c r="F356" s="434"/>
      <c r="G356" s="434"/>
    </row>
    <row r="357" spans="6:7">
      <c r="F357" s="434"/>
      <c r="G357" s="434"/>
    </row>
    <row r="358" spans="6:7">
      <c r="F358" s="434"/>
      <c r="G358" s="434"/>
    </row>
    <row r="359" spans="6:7">
      <c r="F359" s="434"/>
      <c r="G359" s="434"/>
    </row>
    <row r="360" spans="6:7">
      <c r="F360" s="434"/>
      <c r="G360" s="434"/>
    </row>
    <row r="361" spans="6:7">
      <c r="F361" s="434"/>
      <c r="G361" s="434"/>
    </row>
    <row r="362" spans="6:7">
      <c r="F362" s="434"/>
      <c r="G362" s="434"/>
    </row>
    <row r="363" spans="6:7">
      <c r="F363" s="434"/>
      <c r="G363" s="434"/>
    </row>
    <row r="364" spans="6:7">
      <c r="F364" s="434"/>
      <c r="G364" s="434"/>
    </row>
    <row r="365" spans="6:7">
      <c r="F365" s="434"/>
      <c r="G365" s="434"/>
    </row>
    <row r="366" spans="6:7">
      <c r="F366" s="434"/>
      <c r="G366" s="434"/>
    </row>
    <row r="367" spans="6:7">
      <c r="F367" s="434"/>
      <c r="G367" s="434"/>
    </row>
    <row r="368" spans="6:7">
      <c r="F368" s="434"/>
      <c r="G368" s="434"/>
    </row>
    <row r="369" spans="6:7">
      <c r="F369" s="434"/>
      <c r="G369" s="434"/>
    </row>
    <row r="370" spans="6:7">
      <c r="F370" s="434"/>
      <c r="G370" s="434"/>
    </row>
    <row r="371" spans="6:7">
      <c r="F371" s="434"/>
      <c r="G371" s="434"/>
    </row>
    <row r="372" spans="6:7">
      <c r="F372" s="434"/>
      <c r="G372" s="434"/>
    </row>
    <row r="373" spans="6:7">
      <c r="F373" s="434"/>
      <c r="G373" s="434"/>
    </row>
    <row r="374" spans="6:7">
      <c r="F374" s="434"/>
      <c r="G374" s="434"/>
    </row>
    <row r="375" spans="6:7">
      <c r="F375" s="434"/>
      <c r="G375" s="434"/>
    </row>
    <row r="376" spans="6:7">
      <c r="F376" s="434"/>
      <c r="G376" s="434"/>
    </row>
    <row r="377" spans="6:7">
      <c r="F377" s="434"/>
      <c r="G377" s="434"/>
    </row>
    <row r="378" spans="6:7">
      <c r="F378" s="434"/>
      <c r="G378" s="434"/>
    </row>
    <row r="379" spans="6:7">
      <c r="F379" s="434"/>
      <c r="G379" s="434"/>
    </row>
    <row r="380" spans="6:7">
      <c r="F380" s="434"/>
      <c r="G380" s="434"/>
    </row>
    <row r="381" spans="6:7">
      <c r="F381" s="434"/>
      <c r="G381" s="434"/>
    </row>
    <row r="382" spans="6:7">
      <c r="F382" s="434"/>
      <c r="G382" s="434"/>
    </row>
    <row r="383" spans="6:7">
      <c r="F383" s="434"/>
      <c r="G383" s="434"/>
    </row>
    <row r="384" spans="6:7">
      <c r="F384" s="434"/>
      <c r="G384" s="434"/>
    </row>
    <row r="385" spans="6:7">
      <c r="F385" s="434"/>
      <c r="G385" s="434"/>
    </row>
    <row r="386" spans="6:7">
      <c r="F386" s="434"/>
      <c r="G386" s="434"/>
    </row>
    <row r="387" spans="6:7">
      <c r="F387" s="434"/>
      <c r="G387" s="434"/>
    </row>
    <row r="388" spans="6:7">
      <c r="F388" s="434"/>
      <c r="G388" s="434"/>
    </row>
    <row r="389" spans="6:7">
      <c r="F389" s="434"/>
      <c r="G389" s="434"/>
    </row>
    <row r="390" spans="6:7">
      <c r="F390" s="434"/>
      <c r="G390" s="434"/>
    </row>
    <row r="391" spans="6:7">
      <c r="F391" s="434"/>
      <c r="G391" s="434"/>
    </row>
    <row r="392" spans="6:7">
      <c r="F392" s="434"/>
      <c r="G392" s="434"/>
    </row>
    <row r="393" spans="6:7">
      <c r="F393" s="434"/>
      <c r="G393" s="434"/>
    </row>
    <row r="394" spans="6:7">
      <c r="F394" s="434"/>
      <c r="G394" s="434"/>
    </row>
    <row r="395" spans="6:7">
      <c r="F395" s="434"/>
      <c r="G395" s="434"/>
    </row>
    <row r="396" spans="6:7">
      <c r="F396" s="434"/>
      <c r="G396" s="434"/>
    </row>
    <row r="397" spans="6:7">
      <c r="F397" s="434"/>
      <c r="G397" s="434"/>
    </row>
    <row r="398" spans="6:7">
      <c r="F398" s="434"/>
      <c r="G398" s="434"/>
    </row>
    <row r="399" spans="6:7">
      <c r="F399" s="434"/>
      <c r="G399" s="434"/>
    </row>
    <row r="400" spans="6:7">
      <c r="F400" s="434"/>
      <c r="G400" s="434"/>
    </row>
    <row r="401" spans="6:7">
      <c r="F401" s="434"/>
      <c r="G401" s="434"/>
    </row>
    <row r="402" spans="6:7">
      <c r="F402" s="434"/>
      <c r="G402" s="434"/>
    </row>
    <row r="403" spans="6:7">
      <c r="F403" s="434"/>
      <c r="G403" s="434"/>
    </row>
    <row r="404" spans="6:7">
      <c r="F404" s="434"/>
      <c r="G404" s="434"/>
    </row>
    <row r="405" spans="6:7">
      <c r="F405" s="434"/>
      <c r="G405" s="434"/>
    </row>
    <row r="406" spans="6:7">
      <c r="F406" s="434"/>
      <c r="G406" s="434"/>
    </row>
    <row r="407" spans="6:7">
      <c r="F407" s="434"/>
      <c r="G407" s="434"/>
    </row>
    <row r="408" spans="6:7">
      <c r="F408" s="434"/>
      <c r="G408" s="434"/>
    </row>
    <row r="409" spans="6:7">
      <c r="F409" s="434"/>
      <c r="G409" s="434"/>
    </row>
    <row r="410" spans="6:7">
      <c r="F410" s="434"/>
      <c r="G410" s="434"/>
    </row>
    <row r="411" spans="6:7">
      <c r="F411" s="434"/>
      <c r="G411" s="434"/>
    </row>
    <row r="412" spans="6:7">
      <c r="F412" s="434"/>
      <c r="G412" s="434"/>
    </row>
    <row r="413" spans="6:7">
      <c r="F413" s="434"/>
      <c r="G413" s="434"/>
    </row>
    <row r="414" spans="6:7">
      <c r="F414" s="434"/>
      <c r="G414" s="434"/>
    </row>
    <row r="415" spans="6:7">
      <c r="F415" s="434"/>
      <c r="G415" s="434"/>
    </row>
    <row r="416" spans="6:7">
      <c r="F416" s="434"/>
      <c r="G416" s="434"/>
    </row>
    <row r="417" spans="6:7">
      <c r="F417" s="434"/>
      <c r="G417" s="434"/>
    </row>
    <row r="418" spans="6:7">
      <c r="F418" s="434"/>
      <c r="G418" s="434"/>
    </row>
    <row r="419" spans="6:7">
      <c r="F419" s="434"/>
      <c r="G419" s="434"/>
    </row>
    <row r="420" spans="6:7">
      <c r="F420" s="434"/>
      <c r="G420" s="434"/>
    </row>
    <row r="421" spans="6:7">
      <c r="F421" s="434"/>
      <c r="G421" s="434"/>
    </row>
    <row r="422" spans="6:7">
      <c r="F422" s="434"/>
      <c r="G422" s="434"/>
    </row>
    <row r="423" spans="6:7">
      <c r="F423" s="434"/>
      <c r="G423" s="434"/>
    </row>
    <row r="424" spans="6:7">
      <c r="F424" s="434"/>
      <c r="G424" s="434"/>
    </row>
    <row r="425" spans="6:7">
      <c r="F425" s="434"/>
      <c r="G425" s="434"/>
    </row>
    <row r="426" spans="6:7">
      <c r="F426" s="434"/>
      <c r="G426" s="434"/>
    </row>
    <row r="427" spans="6:7">
      <c r="F427" s="434"/>
      <c r="G427" s="434"/>
    </row>
    <row r="428" spans="6:7">
      <c r="F428" s="434"/>
      <c r="G428" s="434"/>
    </row>
    <row r="429" spans="6:7">
      <c r="F429" s="434"/>
      <c r="G429" s="434"/>
    </row>
    <row r="430" spans="6:7">
      <c r="F430" s="434"/>
      <c r="G430" s="434"/>
    </row>
    <row r="431" spans="6:7">
      <c r="F431" s="434"/>
      <c r="G431" s="434"/>
    </row>
    <row r="432" spans="6:7">
      <c r="F432" s="434"/>
      <c r="G432" s="434"/>
    </row>
    <row r="433" spans="6:7">
      <c r="F433" s="434"/>
      <c r="G433" s="434"/>
    </row>
    <row r="434" spans="6:7">
      <c r="F434" s="434"/>
      <c r="G434" s="434"/>
    </row>
    <row r="435" spans="6:7">
      <c r="F435" s="434"/>
      <c r="G435" s="434"/>
    </row>
    <row r="436" spans="6:7">
      <c r="F436" s="434"/>
      <c r="G436" s="434"/>
    </row>
    <row r="437" spans="6:7">
      <c r="F437" s="434"/>
      <c r="G437" s="434"/>
    </row>
    <row r="438" spans="6:7">
      <c r="F438" s="434"/>
      <c r="G438" s="434"/>
    </row>
    <row r="439" spans="6:7">
      <c r="F439" s="434"/>
      <c r="G439" s="434"/>
    </row>
    <row r="440" spans="6:7">
      <c r="F440" s="434"/>
      <c r="G440" s="434"/>
    </row>
    <row r="441" spans="6:7">
      <c r="F441" s="434"/>
      <c r="G441" s="434"/>
    </row>
    <row r="442" spans="6:7">
      <c r="F442" s="434"/>
      <c r="G442" s="434"/>
    </row>
    <row r="443" spans="6:7">
      <c r="F443" s="434"/>
      <c r="G443" s="434"/>
    </row>
    <row r="444" spans="6:7">
      <c r="F444" s="434"/>
      <c r="G444" s="434"/>
    </row>
    <row r="445" spans="6:7">
      <c r="F445" s="434"/>
      <c r="G445" s="434"/>
    </row>
    <row r="446" spans="6:7">
      <c r="F446" s="434"/>
      <c r="G446" s="434"/>
    </row>
    <row r="447" spans="6:7">
      <c r="F447" s="434"/>
      <c r="G447" s="434"/>
    </row>
    <row r="448" spans="6:7">
      <c r="F448" s="434"/>
      <c r="G448" s="434"/>
    </row>
    <row r="449" spans="6:7">
      <c r="F449" s="434"/>
      <c r="G449" s="434"/>
    </row>
    <row r="450" spans="6:7">
      <c r="F450" s="434"/>
      <c r="G450" s="434"/>
    </row>
    <row r="451" spans="6:7">
      <c r="F451" s="434"/>
      <c r="G451" s="434"/>
    </row>
    <row r="452" spans="6:7">
      <c r="F452" s="434"/>
      <c r="G452" s="434"/>
    </row>
    <row r="453" spans="6:7">
      <c r="F453" s="434"/>
      <c r="G453" s="434"/>
    </row>
    <row r="454" spans="6:7">
      <c r="F454" s="434"/>
      <c r="G454" s="434"/>
    </row>
    <row r="455" spans="6:7">
      <c r="F455" s="434"/>
      <c r="G455" s="434"/>
    </row>
    <row r="456" spans="6:7">
      <c r="F456" s="434"/>
      <c r="G456" s="434"/>
    </row>
    <row r="457" spans="6:7">
      <c r="F457" s="434"/>
      <c r="G457" s="434"/>
    </row>
    <row r="458" spans="6:7">
      <c r="F458" s="434"/>
      <c r="G458" s="434"/>
    </row>
    <row r="459" spans="6:7">
      <c r="F459" s="434"/>
      <c r="G459" s="434"/>
    </row>
    <row r="460" spans="6:7">
      <c r="F460" s="434"/>
      <c r="G460" s="434"/>
    </row>
    <row r="461" spans="6:7">
      <c r="F461" s="434"/>
      <c r="G461" s="434"/>
    </row>
    <row r="462" spans="6:7">
      <c r="F462" s="434"/>
      <c r="G462" s="434"/>
    </row>
    <row r="463" spans="6:7">
      <c r="F463" s="434"/>
      <c r="G463" s="434"/>
    </row>
    <row r="464" spans="6:7">
      <c r="F464" s="434"/>
      <c r="G464" s="434"/>
    </row>
    <row r="465" spans="6:7">
      <c r="F465" s="434"/>
      <c r="G465" s="434"/>
    </row>
    <row r="466" spans="6:7">
      <c r="F466" s="434"/>
      <c r="G466" s="434"/>
    </row>
    <row r="467" spans="6:7">
      <c r="F467" s="434"/>
      <c r="G467" s="434"/>
    </row>
    <row r="468" spans="6:7">
      <c r="F468" s="434"/>
      <c r="G468" s="434"/>
    </row>
    <row r="469" spans="6:7">
      <c r="F469" s="434"/>
      <c r="G469" s="434"/>
    </row>
    <row r="470" spans="6:7">
      <c r="F470" s="434"/>
      <c r="G470" s="434"/>
    </row>
    <row r="471" spans="6:7">
      <c r="F471" s="434"/>
      <c r="G471" s="434"/>
    </row>
    <row r="472" spans="6:7">
      <c r="F472" s="434"/>
      <c r="G472" s="434"/>
    </row>
    <row r="473" spans="6:7">
      <c r="F473" s="434"/>
      <c r="G473" s="434"/>
    </row>
    <row r="474" spans="6:7">
      <c r="F474" s="434"/>
      <c r="G474" s="434"/>
    </row>
    <row r="475" spans="6:7">
      <c r="F475" s="434"/>
      <c r="G475" s="434"/>
    </row>
    <row r="476" spans="6:7">
      <c r="F476" s="434"/>
      <c r="G476" s="434"/>
    </row>
    <row r="477" spans="6:7">
      <c r="F477" s="434"/>
      <c r="G477" s="434"/>
    </row>
    <row r="478" spans="6:7">
      <c r="F478" s="434"/>
      <c r="G478" s="434"/>
    </row>
    <row r="479" spans="6:7">
      <c r="F479" s="434"/>
      <c r="G479" s="434"/>
    </row>
    <row r="480" spans="6:7">
      <c r="F480" s="434"/>
      <c r="G480" s="434"/>
    </row>
    <row r="481" spans="6:7">
      <c r="F481" s="434"/>
      <c r="G481" s="434"/>
    </row>
    <row r="482" spans="6:7">
      <c r="F482" s="434"/>
      <c r="G482" s="434"/>
    </row>
    <row r="483" spans="6:7">
      <c r="F483" s="434"/>
      <c r="G483" s="434"/>
    </row>
    <row r="484" spans="6:7">
      <c r="F484" s="434"/>
      <c r="G484" s="434"/>
    </row>
    <row r="485" spans="6:7">
      <c r="F485" s="434"/>
      <c r="G485" s="434"/>
    </row>
    <row r="486" spans="6:7">
      <c r="F486" s="434"/>
      <c r="G486" s="434"/>
    </row>
    <row r="487" spans="6:7">
      <c r="F487" s="434"/>
      <c r="G487" s="434"/>
    </row>
    <row r="488" spans="6:7">
      <c r="F488" s="434"/>
      <c r="G488" s="434"/>
    </row>
    <row r="489" spans="6:7">
      <c r="F489" s="434"/>
      <c r="G489" s="434"/>
    </row>
    <row r="490" spans="6:7">
      <c r="F490" s="434"/>
      <c r="G490" s="434"/>
    </row>
    <row r="491" spans="6:7">
      <c r="F491" s="434"/>
      <c r="G491" s="434"/>
    </row>
    <row r="492" spans="6:7">
      <c r="F492" s="434"/>
      <c r="G492" s="434"/>
    </row>
    <row r="493" spans="6:7">
      <c r="F493" s="434"/>
      <c r="G493" s="434"/>
    </row>
    <row r="494" spans="6:7">
      <c r="F494" s="434"/>
      <c r="G494" s="434"/>
    </row>
    <row r="495" spans="6:7">
      <c r="F495" s="434"/>
      <c r="G495" s="434"/>
    </row>
    <row r="496" spans="6:7">
      <c r="F496" s="434"/>
      <c r="G496" s="434"/>
    </row>
    <row r="497" spans="6:7">
      <c r="F497" s="434"/>
      <c r="G497" s="434"/>
    </row>
    <row r="498" spans="6:7">
      <c r="F498" s="434"/>
      <c r="G498" s="434"/>
    </row>
    <row r="499" spans="6:7">
      <c r="F499" s="434"/>
      <c r="G499" s="434"/>
    </row>
    <row r="500" spans="6:7">
      <c r="F500" s="434"/>
      <c r="G500" s="434"/>
    </row>
    <row r="501" spans="6:7">
      <c r="F501" s="434"/>
      <c r="G501" s="434"/>
    </row>
    <row r="502" spans="6:7">
      <c r="F502" s="434"/>
      <c r="G502" s="434"/>
    </row>
    <row r="503" spans="6:7">
      <c r="F503" s="434"/>
      <c r="G503" s="434"/>
    </row>
    <row r="504" spans="6:7">
      <c r="F504" s="434"/>
      <c r="G504" s="434"/>
    </row>
    <row r="505" spans="6:7">
      <c r="F505" s="434"/>
      <c r="G505" s="434"/>
    </row>
    <row r="506" spans="6:7">
      <c r="F506" s="434"/>
      <c r="G506" s="434"/>
    </row>
    <row r="507" spans="6:7">
      <c r="F507" s="434"/>
      <c r="G507" s="434"/>
    </row>
    <row r="508" spans="6:7">
      <c r="F508" s="434"/>
      <c r="G508" s="434"/>
    </row>
    <row r="509" spans="6:7">
      <c r="F509" s="434"/>
      <c r="G509" s="434"/>
    </row>
    <row r="510" spans="6:7">
      <c r="F510" s="434"/>
      <c r="G510" s="434"/>
    </row>
    <row r="511" spans="6:7">
      <c r="F511" s="434"/>
      <c r="G511" s="434"/>
    </row>
    <row r="512" spans="6:7">
      <c r="F512" s="434"/>
      <c r="G512" s="434"/>
    </row>
    <row r="513" spans="6:7">
      <c r="F513" s="434"/>
      <c r="G513" s="434"/>
    </row>
    <row r="514" spans="6:7">
      <c r="F514" s="434"/>
      <c r="G514" s="434"/>
    </row>
    <row r="515" spans="6:7">
      <c r="F515" s="434"/>
      <c r="G515" s="434"/>
    </row>
    <row r="516" spans="6:7">
      <c r="F516" s="434"/>
      <c r="G516" s="434"/>
    </row>
    <row r="517" spans="6:7">
      <c r="F517" s="434"/>
      <c r="G517" s="434"/>
    </row>
    <row r="518" spans="6:7">
      <c r="F518" s="434"/>
      <c r="G518" s="434"/>
    </row>
    <row r="519" spans="6:7">
      <c r="F519" s="434"/>
      <c r="G519" s="434"/>
    </row>
    <row r="520" spans="6:7">
      <c r="F520" s="434"/>
      <c r="G520" s="434"/>
    </row>
    <row r="521" spans="6:7">
      <c r="F521" s="434"/>
      <c r="G521" s="434"/>
    </row>
    <row r="522" spans="6:7">
      <c r="F522" s="434"/>
      <c r="G522" s="434"/>
    </row>
    <row r="523" spans="6:7">
      <c r="F523" s="434"/>
      <c r="G523" s="434"/>
    </row>
    <row r="524" spans="6:7">
      <c r="F524" s="434"/>
      <c r="G524" s="434"/>
    </row>
    <row r="525" spans="6:7">
      <c r="F525" s="434"/>
      <c r="G525" s="434"/>
    </row>
    <row r="526" spans="6:7">
      <c r="F526" s="434"/>
      <c r="G526" s="434"/>
    </row>
    <row r="527" spans="6:7">
      <c r="F527" s="434"/>
      <c r="G527" s="434"/>
    </row>
    <row r="528" spans="6:7">
      <c r="F528" s="434"/>
      <c r="G528" s="434"/>
    </row>
    <row r="529" spans="6:7">
      <c r="F529" s="434"/>
      <c r="G529" s="434"/>
    </row>
    <row r="530" spans="6:7">
      <c r="F530" s="434"/>
      <c r="G530" s="434"/>
    </row>
    <row r="531" spans="6:7">
      <c r="F531" s="434"/>
      <c r="G531" s="434"/>
    </row>
    <row r="532" spans="6:7">
      <c r="F532" s="434"/>
      <c r="G532" s="434"/>
    </row>
    <row r="533" spans="6:7">
      <c r="F533" s="434"/>
      <c r="G533" s="434"/>
    </row>
    <row r="534" spans="6:7">
      <c r="F534" s="434"/>
      <c r="G534" s="434"/>
    </row>
    <row r="535" spans="6:7">
      <c r="F535" s="434"/>
      <c r="G535" s="434"/>
    </row>
    <row r="536" spans="6:7">
      <c r="F536" s="434"/>
      <c r="G536" s="434"/>
    </row>
    <row r="537" spans="6:7">
      <c r="F537" s="434"/>
      <c r="G537" s="434"/>
    </row>
    <row r="538" spans="6:7">
      <c r="F538" s="434"/>
      <c r="G538" s="434"/>
    </row>
    <row r="539" spans="6:7">
      <c r="F539" s="434"/>
      <c r="G539" s="434"/>
    </row>
    <row r="540" spans="6:7">
      <c r="F540" s="434"/>
      <c r="G540" s="434"/>
    </row>
    <row r="541" spans="6:7">
      <c r="F541" s="434"/>
      <c r="G541" s="434"/>
    </row>
    <row r="542" spans="6:7">
      <c r="F542" s="434"/>
      <c r="G542" s="434"/>
    </row>
    <row r="543" spans="6:7">
      <c r="F543" s="434"/>
      <c r="G543" s="434"/>
    </row>
    <row r="544" spans="6:7">
      <c r="F544" s="434"/>
      <c r="G544" s="434"/>
    </row>
    <row r="545" spans="6:7">
      <c r="F545" s="434"/>
      <c r="G545" s="434"/>
    </row>
    <row r="546" spans="6:7">
      <c r="F546" s="434"/>
      <c r="G546" s="434"/>
    </row>
    <row r="547" spans="6:7">
      <c r="F547" s="434"/>
      <c r="G547" s="434"/>
    </row>
    <row r="548" spans="6:7">
      <c r="F548" s="434"/>
      <c r="G548" s="434"/>
    </row>
    <row r="549" spans="6:7">
      <c r="F549" s="434"/>
      <c r="G549" s="434"/>
    </row>
    <row r="550" spans="6:7">
      <c r="F550" s="434"/>
      <c r="G550" s="434"/>
    </row>
    <row r="551" spans="6:7">
      <c r="F551" s="434"/>
      <c r="G551" s="434"/>
    </row>
    <row r="552" spans="6:7">
      <c r="F552" s="434"/>
      <c r="G552" s="434"/>
    </row>
    <row r="553" spans="6:7">
      <c r="F553" s="434"/>
      <c r="G553" s="434"/>
    </row>
    <row r="554" spans="6:7">
      <c r="F554" s="434"/>
      <c r="G554" s="434"/>
    </row>
    <row r="555" spans="6:7">
      <c r="F555" s="434"/>
      <c r="G555" s="434"/>
    </row>
    <row r="556" spans="6:7">
      <c r="F556" s="434"/>
      <c r="G556" s="434"/>
    </row>
    <row r="557" spans="6:7">
      <c r="F557" s="434"/>
      <c r="G557" s="434"/>
    </row>
    <row r="558" spans="6:7">
      <c r="F558" s="434"/>
      <c r="G558" s="434"/>
    </row>
    <row r="559" spans="6:7">
      <c r="F559" s="434"/>
      <c r="G559" s="434"/>
    </row>
    <row r="560" spans="6:7">
      <c r="F560" s="434"/>
      <c r="G560" s="434"/>
    </row>
    <row r="561" spans="6:7">
      <c r="F561" s="434"/>
      <c r="G561" s="434"/>
    </row>
    <row r="562" spans="6:7">
      <c r="F562" s="434"/>
      <c r="G562" s="434"/>
    </row>
    <row r="563" spans="6:7">
      <c r="F563" s="434"/>
      <c r="G563" s="434"/>
    </row>
    <row r="564" spans="6:7">
      <c r="F564" s="434"/>
      <c r="G564" s="434"/>
    </row>
    <row r="565" spans="6:7">
      <c r="F565" s="434"/>
      <c r="G565" s="434"/>
    </row>
    <row r="566" spans="6:7">
      <c r="F566" s="434"/>
      <c r="G566" s="434"/>
    </row>
    <row r="567" spans="6:7">
      <c r="F567" s="434"/>
      <c r="G567" s="434"/>
    </row>
    <row r="568" spans="6:7">
      <c r="F568" s="434"/>
      <c r="G568" s="434"/>
    </row>
    <row r="569" spans="6:7">
      <c r="F569" s="434"/>
      <c r="G569" s="434"/>
    </row>
    <row r="570" spans="6:7">
      <c r="F570" s="434"/>
      <c r="G570" s="434"/>
    </row>
    <row r="571" spans="6:7">
      <c r="F571" s="434"/>
      <c r="G571" s="434"/>
    </row>
    <row r="572" spans="6:7">
      <c r="F572" s="434"/>
      <c r="G572" s="434"/>
    </row>
    <row r="573" spans="6:7">
      <c r="F573" s="434"/>
      <c r="G573" s="434"/>
    </row>
    <row r="574" spans="6:7">
      <c r="F574" s="434"/>
      <c r="G574" s="434"/>
    </row>
    <row r="575" spans="6:7">
      <c r="F575" s="434"/>
      <c r="G575" s="434"/>
    </row>
    <row r="576" spans="6:7">
      <c r="F576" s="434"/>
      <c r="G576" s="434"/>
    </row>
    <row r="577" spans="6:7">
      <c r="F577" s="434"/>
      <c r="G577" s="434"/>
    </row>
    <row r="578" spans="6:7">
      <c r="F578" s="434"/>
      <c r="G578" s="434"/>
    </row>
    <row r="579" spans="6:7">
      <c r="F579" s="434"/>
      <c r="G579" s="434"/>
    </row>
    <row r="580" spans="6:7">
      <c r="F580" s="434"/>
      <c r="G580" s="434"/>
    </row>
    <row r="581" spans="6:7">
      <c r="F581" s="434"/>
      <c r="G581" s="434"/>
    </row>
    <row r="582" spans="6:7">
      <c r="F582" s="434"/>
      <c r="G582" s="434"/>
    </row>
    <row r="583" spans="6:7">
      <c r="F583" s="434"/>
      <c r="G583" s="434"/>
    </row>
    <row r="584" spans="6:7">
      <c r="F584" s="434"/>
      <c r="G584" s="434"/>
    </row>
    <row r="585" spans="6:7">
      <c r="F585" s="434"/>
      <c r="G585" s="434"/>
    </row>
    <row r="586" spans="6:7">
      <c r="F586" s="434"/>
      <c r="G586" s="434"/>
    </row>
    <row r="587" spans="6:7">
      <c r="F587" s="434"/>
      <c r="G587" s="434"/>
    </row>
    <row r="588" spans="6:7">
      <c r="F588" s="434"/>
      <c r="G588" s="434"/>
    </row>
    <row r="589" spans="6:7">
      <c r="F589" s="434"/>
      <c r="G589" s="434"/>
    </row>
    <row r="590" spans="6:7">
      <c r="F590" s="434"/>
      <c r="G590" s="434"/>
    </row>
    <row r="591" spans="6:7">
      <c r="F591" s="434"/>
      <c r="G591" s="434"/>
    </row>
    <row r="592" spans="6:7">
      <c r="F592" s="434"/>
      <c r="G592" s="434"/>
    </row>
    <row r="593" spans="6:7">
      <c r="F593" s="434"/>
      <c r="G593" s="434"/>
    </row>
    <row r="594" spans="6:7">
      <c r="F594" s="434"/>
      <c r="G594" s="434"/>
    </row>
    <row r="595" spans="6:7">
      <c r="F595" s="434"/>
      <c r="G595" s="434"/>
    </row>
    <row r="596" spans="6:7">
      <c r="F596" s="434"/>
      <c r="G596" s="434"/>
    </row>
    <row r="597" spans="6:7">
      <c r="F597" s="434"/>
      <c r="G597" s="434"/>
    </row>
    <row r="598" spans="6:7">
      <c r="F598" s="434"/>
      <c r="G598" s="434"/>
    </row>
    <row r="599" spans="6:7">
      <c r="F599" s="434"/>
      <c r="G599" s="434"/>
    </row>
    <row r="600" spans="6:7">
      <c r="F600" s="434"/>
      <c r="G600" s="434"/>
    </row>
    <row r="601" spans="6:7">
      <c r="F601" s="434"/>
      <c r="G601" s="434"/>
    </row>
    <row r="602" spans="6:7">
      <c r="F602" s="434"/>
      <c r="G602" s="434"/>
    </row>
    <row r="603" spans="6:7">
      <c r="F603" s="434"/>
      <c r="G603" s="434"/>
    </row>
    <row r="604" spans="6:7">
      <c r="F604" s="434"/>
      <c r="G604" s="434"/>
    </row>
    <row r="605" spans="6:7">
      <c r="F605" s="434"/>
      <c r="G605" s="434"/>
    </row>
    <row r="606" spans="6:7">
      <c r="F606" s="434"/>
      <c r="G606" s="434"/>
    </row>
    <row r="607" spans="6:7">
      <c r="F607" s="434"/>
      <c r="G607" s="434"/>
    </row>
    <row r="608" spans="6:7">
      <c r="F608" s="434"/>
      <c r="G608" s="434"/>
    </row>
    <row r="609" spans="6:7">
      <c r="F609" s="434"/>
      <c r="G609" s="434"/>
    </row>
    <row r="610" spans="6:7">
      <c r="F610" s="434"/>
      <c r="G610" s="434"/>
    </row>
    <row r="611" spans="6:7">
      <c r="F611" s="434"/>
      <c r="G611" s="434"/>
    </row>
    <row r="612" spans="6:7">
      <c r="F612" s="434"/>
      <c r="G612" s="434"/>
    </row>
    <row r="613" spans="6:7">
      <c r="F613" s="434"/>
      <c r="G613" s="434"/>
    </row>
    <row r="614" spans="6:7">
      <c r="F614" s="434"/>
      <c r="G614" s="434"/>
    </row>
    <row r="615" spans="6:7">
      <c r="F615" s="434"/>
      <c r="G615" s="434"/>
    </row>
    <row r="616" spans="6:7">
      <c r="F616" s="434"/>
      <c r="G616" s="434"/>
    </row>
    <row r="617" spans="6:7">
      <c r="F617" s="434"/>
      <c r="G617" s="434"/>
    </row>
    <row r="618" spans="6:7">
      <c r="F618" s="434"/>
      <c r="G618" s="434"/>
    </row>
    <row r="619" spans="6:7">
      <c r="F619" s="434"/>
      <c r="G619" s="434"/>
    </row>
    <row r="620" spans="6:7">
      <c r="F620" s="434"/>
      <c r="G620" s="434"/>
    </row>
    <row r="621" spans="6:7">
      <c r="F621" s="434"/>
      <c r="G621" s="434"/>
    </row>
    <row r="622" spans="6:7">
      <c r="F622" s="434"/>
      <c r="G622" s="434"/>
    </row>
    <row r="623" spans="6:7">
      <c r="F623" s="434"/>
      <c r="G623" s="434"/>
    </row>
    <row r="624" spans="6:7">
      <c r="F624" s="434"/>
      <c r="G624" s="434"/>
    </row>
    <row r="625" spans="6:7">
      <c r="F625" s="434"/>
      <c r="G625" s="434"/>
    </row>
    <row r="626" spans="6:7">
      <c r="F626" s="434"/>
      <c r="G626" s="434"/>
    </row>
    <row r="627" spans="6:7">
      <c r="F627" s="434"/>
      <c r="G627" s="434"/>
    </row>
    <row r="628" spans="6:7">
      <c r="F628" s="434"/>
      <c r="G628" s="434"/>
    </row>
    <row r="629" spans="6:7">
      <c r="F629" s="434"/>
      <c r="G629" s="434"/>
    </row>
    <row r="630" spans="6:7">
      <c r="F630" s="434"/>
      <c r="G630" s="434"/>
    </row>
    <row r="631" spans="6:7">
      <c r="F631" s="434"/>
      <c r="G631" s="434"/>
    </row>
    <row r="632" spans="6:7">
      <c r="F632" s="434"/>
      <c r="G632" s="434"/>
    </row>
    <row r="633" spans="6:7">
      <c r="F633" s="434"/>
      <c r="G633" s="434"/>
    </row>
    <row r="634" spans="6:7">
      <c r="F634" s="434"/>
      <c r="G634" s="434"/>
    </row>
    <row r="635" spans="6:7">
      <c r="F635" s="434"/>
      <c r="G635" s="434"/>
    </row>
    <row r="636" spans="6:7">
      <c r="F636" s="434"/>
      <c r="G636" s="434"/>
    </row>
    <row r="637" spans="6:7">
      <c r="F637" s="434"/>
      <c r="G637" s="434"/>
    </row>
    <row r="638" spans="6:7">
      <c r="F638" s="434"/>
      <c r="G638" s="434"/>
    </row>
    <row r="639" spans="6:7">
      <c r="F639" s="434"/>
      <c r="G639" s="434"/>
    </row>
    <row r="640" spans="6:7">
      <c r="F640" s="434"/>
      <c r="G640" s="434"/>
    </row>
    <row r="641" spans="6:7">
      <c r="F641" s="434"/>
      <c r="G641" s="434"/>
    </row>
    <row r="642" spans="6:7">
      <c r="F642" s="434"/>
      <c r="G642" s="434"/>
    </row>
    <row r="643" spans="6:7">
      <c r="F643" s="434"/>
      <c r="G643" s="434"/>
    </row>
    <row r="644" spans="6:7">
      <c r="F644" s="434"/>
      <c r="G644" s="434"/>
    </row>
    <row r="645" spans="6:7">
      <c r="F645" s="434"/>
      <c r="G645" s="434"/>
    </row>
    <row r="646" spans="6:7">
      <c r="F646" s="434"/>
      <c r="G646" s="434"/>
    </row>
    <row r="647" spans="6:7">
      <c r="F647" s="434"/>
      <c r="G647" s="434"/>
    </row>
    <row r="648" spans="6:7">
      <c r="F648" s="434"/>
      <c r="G648" s="434"/>
    </row>
    <row r="649" spans="6:7">
      <c r="F649" s="434"/>
      <c r="G649" s="434"/>
    </row>
    <row r="650" spans="6:7">
      <c r="F650" s="434"/>
      <c r="G650" s="434"/>
    </row>
    <row r="651" spans="6:7">
      <c r="F651" s="434"/>
      <c r="G651" s="434"/>
    </row>
    <row r="652" spans="6:7">
      <c r="F652" s="434"/>
      <c r="G652" s="434"/>
    </row>
    <row r="653" spans="6:7">
      <c r="F653" s="434"/>
      <c r="G653" s="434"/>
    </row>
    <row r="654" spans="6:7">
      <c r="F654" s="434"/>
      <c r="G654" s="434"/>
    </row>
    <row r="655" spans="6:7">
      <c r="F655" s="434"/>
      <c r="G655" s="434"/>
    </row>
    <row r="656" spans="6:7">
      <c r="F656" s="434"/>
      <c r="G656" s="434"/>
    </row>
    <row r="657" spans="6:7">
      <c r="F657" s="434"/>
      <c r="G657" s="434"/>
    </row>
    <row r="658" spans="6:7">
      <c r="F658" s="434"/>
      <c r="G658" s="434"/>
    </row>
    <row r="659" spans="6:7">
      <c r="F659" s="434"/>
      <c r="G659" s="434"/>
    </row>
    <row r="660" spans="6:7">
      <c r="F660" s="434"/>
      <c r="G660" s="434"/>
    </row>
    <row r="661" spans="6:7">
      <c r="F661" s="434"/>
      <c r="G661" s="434"/>
    </row>
    <row r="662" spans="6:7">
      <c r="F662" s="434"/>
      <c r="G662" s="434"/>
    </row>
    <row r="663" spans="6:7">
      <c r="F663" s="434"/>
      <c r="G663" s="434"/>
    </row>
    <row r="664" spans="6:7">
      <c r="F664" s="434"/>
      <c r="G664" s="434"/>
    </row>
    <row r="665" spans="6:7">
      <c r="F665" s="434"/>
      <c r="G665" s="434"/>
    </row>
    <row r="666" spans="6:7">
      <c r="F666" s="434"/>
      <c r="G666" s="434"/>
    </row>
    <row r="667" spans="6:7">
      <c r="F667" s="434"/>
      <c r="G667" s="434"/>
    </row>
    <row r="668" spans="6:7">
      <c r="F668" s="434"/>
      <c r="G668" s="434"/>
    </row>
    <row r="669" spans="6:7">
      <c r="F669" s="434"/>
      <c r="G669" s="434"/>
    </row>
    <row r="670" spans="6:7">
      <c r="F670" s="434"/>
      <c r="G670" s="434"/>
    </row>
    <row r="671" spans="6:7">
      <c r="F671" s="434"/>
      <c r="G671" s="434"/>
    </row>
    <row r="672" spans="6:7">
      <c r="F672" s="434"/>
      <c r="G672" s="434"/>
    </row>
    <row r="673" spans="6:7">
      <c r="F673" s="434"/>
      <c r="G673" s="434"/>
    </row>
    <row r="674" spans="6:7">
      <c r="F674" s="434"/>
      <c r="G674" s="434"/>
    </row>
    <row r="675" spans="6:7">
      <c r="F675" s="434"/>
      <c r="G675" s="434"/>
    </row>
    <row r="676" spans="6:7">
      <c r="F676" s="434"/>
      <c r="G676" s="434"/>
    </row>
    <row r="677" spans="6:7">
      <c r="F677" s="434"/>
      <c r="G677" s="434"/>
    </row>
    <row r="678" spans="6:7">
      <c r="F678" s="434"/>
      <c r="G678" s="434"/>
    </row>
    <row r="679" spans="6:7">
      <c r="F679" s="434"/>
      <c r="G679" s="434"/>
    </row>
    <row r="680" spans="6:7">
      <c r="F680" s="434"/>
      <c r="G680" s="434"/>
    </row>
    <row r="681" spans="6:7">
      <c r="F681" s="434"/>
      <c r="G681" s="434"/>
    </row>
    <row r="682" spans="6:7">
      <c r="F682" s="434"/>
      <c r="G682" s="434"/>
    </row>
    <row r="683" spans="6:7">
      <c r="F683" s="434"/>
      <c r="G683" s="434"/>
    </row>
    <row r="684" spans="6:7">
      <c r="F684" s="434"/>
      <c r="G684" s="434"/>
    </row>
    <row r="685" spans="6:7">
      <c r="F685" s="434"/>
      <c r="G685" s="434"/>
    </row>
    <row r="686" spans="6:7">
      <c r="F686" s="434"/>
      <c r="G686" s="434"/>
    </row>
    <row r="687" spans="6:7">
      <c r="F687" s="434"/>
      <c r="G687" s="434"/>
    </row>
    <row r="688" spans="6:7">
      <c r="F688" s="434"/>
      <c r="G688" s="434"/>
    </row>
    <row r="689" spans="6:7">
      <c r="F689" s="434"/>
      <c r="G689" s="434"/>
    </row>
    <row r="690" spans="6:7">
      <c r="F690" s="434"/>
      <c r="G690" s="434"/>
    </row>
    <row r="691" spans="6:7">
      <c r="F691" s="434"/>
      <c r="G691" s="434"/>
    </row>
    <row r="692" spans="6:7">
      <c r="F692" s="434"/>
      <c r="G692" s="434"/>
    </row>
    <row r="693" spans="6:7">
      <c r="F693" s="434"/>
      <c r="G693" s="434"/>
    </row>
    <row r="694" spans="6:7">
      <c r="F694" s="434"/>
      <c r="G694" s="434"/>
    </row>
    <row r="695" spans="6:7">
      <c r="F695" s="434"/>
      <c r="G695" s="434"/>
    </row>
    <row r="696" spans="6:7">
      <c r="F696" s="434"/>
      <c r="G696" s="434"/>
    </row>
    <row r="697" spans="6:7">
      <c r="F697" s="434"/>
      <c r="G697" s="434"/>
    </row>
    <row r="698" spans="6:7">
      <c r="F698" s="434"/>
      <c r="G698" s="434"/>
    </row>
    <row r="699" spans="6:7">
      <c r="F699" s="434"/>
      <c r="G699" s="434"/>
    </row>
    <row r="700" spans="6:7">
      <c r="F700" s="434"/>
      <c r="G700" s="434"/>
    </row>
    <row r="701" spans="6:7">
      <c r="F701" s="434"/>
      <c r="G701" s="434"/>
    </row>
    <row r="702" spans="6:7">
      <c r="F702" s="434"/>
      <c r="G702" s="434"/>
    </row>
    <row r="703" spans="6:7">
      <c r="F703" s="434"/>
      <c r="G703" s="434"/>
    </row>
    <row r="704" spans="6:7">
      <c r="F704" s="434"/>
      <c r="G704" s="434"/>
    </row>
    <row r="705" spans="6:7">
      <c r="F705" s="434"/>
      <c r="G705" s="434"/>
    </row>
    <row r="706" spans="6:7">
      <c r="F706" s="434"/>
      <c r="G706" s="434"/>
    </row>
    <row r="707" spans="6:7">
      <c r="F707" s="434"/>
      <c r="G707" s="434"/>
    </row>
    <row r="708" spans="6:7">
      <c r="F708" s="434"/>
      <c r="G708" s="434"/>
    </row>
    <row r="709" spans="6:7">
      <c r="F709" s="434"/>
      <c r="G709" s="434"/>
    </row>
    <row r="710" spans="6:7">
      <c r="F710" s="434"/>
      <c r="G710" s="434"/>
    </row>
    <row r="711" spans="6:7">
      <c r="F711" s="434"/>
      <c r="G711" s="434"/>
    </row>
    <row r="712" spans="6:7">
      <c r="F712" s="434"/>
      <c r="G712" s="434"/>
    </row>
    <row r="713" spans="6:7">
      <c r="F713" s="434"/>
      <c r="G713" s="434"/>
    </row>
    <row r="714" spans="6:7">
      <c r="F714" s="434"/>
      <c r="G714" s="434"/>
    </row>
    <row r="715" spans="6:7">
      <c r="F715" s="434"/>
      <c r="G715" s="434"/>
    </row>
    <row r="716" spans="6:7">
      <c r="F716" s="434"/>
      <c r="G716" s="434"/>
    </row>
    <row r="717" spans="6:7">
      <c r="F717" s="434"/>
      <c r="G717" s="434"/>
    </row>
    <row r="718" spans="6:7">
      <c r="F718" s="434"/>
      <c r="G718" s="434"/>
    </row>
    <row r="719" spans="6:7">
      <c r="F719" s="434"/>
      <c r="G719" s="434"/>
    </row>
    <row r="720" spans="6:7">
      <c r="F720" s="434"/>
      <c r="G720" s="434"/>
    </row>
    <row r="721" spans="6:7">
      <c r="F721" s="434"/>
      <c r="G721" s="434"/>
    </row>
    <row r="722" spans="6:7">
      <c r="F722" s="434"/>
      <c r="G722" s="434"/>
    </row>
    <row r="723" spans="6:7">
      <c r="F723" s="434"/>
      <c r="G723" s="434"/>
    </row>
    <row r="724" spans="6:7">
      <c r="F724" s="434"/>
      <c r="G724" s="434"/>
    </row>
    <row r="725" spans="6:7">
      <c r="F725" s="434"/>
      <c r="G725" s="434"/>
    </row>
    <row r="726" spans="6:7">
      <c r="F726" s="434"/>
      <c r="G726" s="434"/>
    </row>
    <row r="727" spans="6:7">
      <c r="F727" s="434"/>
      <c r="G727" s="434"/>
    </row>
    <row r="728" spans="6:7">
      <c r="F728" s="434"/>
      <c r="G728" s="434"/>
    </row>
    <row r="729" spans="6:7">
      <c r="F729" s="434"/>
      <c r="G729" s="434"/>
    </row>
    <row r="730" spans="6:7">
      <c r="F730" s="434"/>
      <c r="G730" s="434"/>
    </row>
    <row r="731" spans="6:7">
      <c r="F731" s="434"/>
      <c r="G731" s="434"/>
    </row>
    <row r="732" spans="6:7">
      <c r="F732" s="434"/>
      <c r="G732" s="434"/>
    </row>
    <row r="733" spans="6:7">
      <c r="F733" s="434"/>
      <c r="G733" s="434"/>
    </row>
    <row r="734" spans="6:7">
      <c r="F734" s="434"/>
      <c r="G734" s="434"/>
    </row>
    <row r="735" spans="6:7">
      <c r="F735" s="434"/>
      <c r="G735" s="434"/>
    </row>
    <row r="736" spans="6:7">
      <c r="F736" s="434"/>
      <c r="G736" s="434"/>
    </row>
    <row r="737" spans="6:7">
      <c r="F737" s="434"/>
      <c r="G737" s="434"/>
    </row>
    <row r="738" spans="6:7">
      <c r="F738" s="434"/>
      <c r="G738" s="434"/>
    </row>
    <row r="739" spans="6:7">
      <c r="F739" s="434"/>
      <c r="G739" s="434"/>
    </row>
    <row r="740" spans="6:7">
      <c r="F740" s="434"/>
      <c r="G740" s="434"/>
    </row>
    <row r="741" spans="6:7">
      <c r="F741" s="434"/>
      <c r="G741" s="434"/>
    </row>
    <row r="742" spans="6:7">
      <c r="F742" s="434"/>
      <c r="G742" s="434"/>
    </row>
    <row r="743" spans="6:7">
      <c r="F743" s="434"/>
      <c r="G743" s="434"/>
    </row>
    <row r="744" spans="6:7">
      <c r="F744" s="434"/>
      <c r="G744" s="434"/>
    </row>
    <row r="745" spans="6:7">
      <c r="F745" s="434"/>
      <c r="G745" s="434"/>
    </row>
    <row r="746" spans="6:7">
      <c r="F746" s="434"/>
      <c r="G746" s="434"/>
    </row>
    <row r="747" spans="6:7">
      <c r="F747" s="434"/>
      <c r="G747" s="434"/>
    </row>
    <row r="748" spans="6:7">
      <c r="F748" s="434"/>
      <c r="G748" s="434"/>
    </row>
    <row r="749" spans="6:7">
      <c r="F749" s="434"/>
      <c r="G749" s="434"/>
    </row>
    <row r="750" spans="6:7">
      <c r="F750" s="434"/>
      <c r="G750" s="434"/>
    </row>
    <row r="752" spans="6:7">
      <c r="F752" s="434"/>
      <c r="G752" s="434"/>
    </row>
    <row r="753" spans="6:7">
      <c r="F753" s="434"/>
      <c r="G753" s="434"/>
    </row>
    <row r="754" spans="6:7">
      <c r="F754" s="434"/>
      <c r="G754" s="434"/>
    </row>
    <row r="755" spans="6:7">
      <c r="F755" s="434"/>
      <c r="G755" s="434"/>
    </row>
    <row r="756" spans="6:7">
      <c r="F756" s="434"/>
      <c r="G756" s="434"/>
    </row>
    <row r="757" spans="6:7">
      <c r="F757" s="434"/>
      <c r="G757" s="434"/>
    </row>
    <row r="758" spans="6:7">
      <c r="F758" s="434"/>
      <c r="G758" s="434"/>
    </row>
    <row r="759" spans="6:7">
      <c r="F759" s="434"/>
      <c r="G759" s="434"/>
    </row>
    <row r="760" spans="6:7">
      <c r="F760" s="434"/>
      <c r="G760" s="434"/>
    </row>
    <row r="761" spans="6:7">
      <c r="F761" s="434"/>
      <c r="G761" s="434"/>
    </row>
    <row r="762" spans="6:7">
      <c r="F762" s="434"/>
      <c r="G762" s="434"/>
    </row>
    <row r="763" spans="6:7">
      <c r="F763" s="434"/>
      <c r="G763" s="434"/>
    </row>
    <row r="764" spans="6:7">
      <c r="F764" s="434"/>
      <c r="G764" s="434"/>
    </row>
    <row r="765" spans="6:7">
      <c r="F765" s="434"/>
      <c r="G765" s="434"/>
    </row>
    <row r="766" spans="6:7">
      <c r="F766" s="434"/>
      <c r="G766" s="434"/>
    </row>
    <row r="767" spans="6:7">
      <c r="F767" s="434"/>
      <c r="G767" s="434"/>
    </row>
    <row r="768" spans="6:7">
      <c r="F768" s="434"/>
      <c r="G768" s="434"/>
    </row>
    <row r="769" spans="6:7">
      <c r="F769" s="434"/>
      <c r="G769" s="434"/>
    </row>
    <row r="770" spans="6:7">
      <c r="F770" s="434"/>
      <c r="G770" s="434"/>
    </row>
    <row r="771" spans="6:7">
      <c r="F771" s="434"/>
      <c r="G771" s="434"/>
    </row>
    <row r="772" spans="6:7">
      <c r="F772" s="434"/>
      <c r="G772" s="434"/>
    </row>
    <row r="773" spans="6:7">
      <c r="F773" s="434"/>
      <c r="G773" s="434"/>
    </row>
    <row r="774" spans="6:7">
      <c r="F774" s="434"/>
      <c r="G774" s="434"/>
    </row>
    <row r="775" spans="6:7">
      <c r="F775" s="434"/>
      <c r="G775" s="434"/>
    </row>
    <row r="776" spans="6:7">
      <c r="F776" s="434"/>
      <c r="G776" s="434"/>
    </row>
    <row r="777" spans="6:7">
      <c r="F777" s="434"/>
      <c r="G777" s="434"/>
    </row>
    <row r="778" spans="6:7">
      <c r="F778" s="434"/>
      <c r="G778" s="434"/>
    </row>
    <row r="779" spans="6:7">
      <c r="F779" s="434"/>
      <c r="G779" s="434"/>
    </row>
    <row r="780" spans="6:7">
      <c r="F780" s="434"/>
      <c r="G780" s="434"/>
    </row>
    <row r="781" spans="6:7">
      <c r="F781" s="434"/>
      <c r="G781" s="434"/>
    </row>
    <row r="782" spans="6:7">
      <c r="F782" s="434"/>
      <c r="G782" s="434"/>
    </row>
    <row r="783" spans="6:7">
      <c r="F783" s="434"/>
      <c r="G783" s="434"/>
    </row>
    <row r="784" spans="6:7">
      <c r="F784" s="434"/>
      <c r="G784" s="434"/>
    </row>
    <row r="785" spans="6:7">
      <c r="F785" s="434"/>
      <c r="G785" s="434"/>
    </row>
    <row r="786" spans="6:7">
      <c r="F786" s="434"/>
      <c r="G786" s="434"/>
    </row>
    <row r="787" spans="6:7">
      <c r="F787" s="434"/>
      <c r="G787" s="434"/>
    </row>
    <row r="788" spans="6:7">
      <c r="F788" s="434"/>
      <c r="G788" s="434"/>
    </row>
    <row r="789" spans="6:7">
      <c r="F789" s="434"/>
      <c r="G789" s="434"/>
    </row>
    <row r="790" spans="6:7">
      <c r="F790" s="434"/>
      <c r="G790" s="434"/>
    </row>
    <row r="791" spans="6:7">
      <c r="F791" s="434"/>
      <c r="G791" s="434"/>
    </row>
    <row r="792" spans="6:7">
      <c r="F792" s="434"/>
      <c r="G792" s="434"/>
    </row>
    <row r="793" spans="6:7">
      <c r="F793" s="434"/>
      <c r="G793" s="434"/>
    </row>
    <row r="794" spans="6:7">
      <c r="F794" s="434"/>
      <c r="G794" s="434"/>
    </row>
    <row r="795" spans="6:7">
      <c r="F795" s="434"/>
      <c r="G795" s="434"/>
    </row>
    <row r="796" spans="6:7">
      <c r="F796" s="434"/>
      <c r="G796" s="434"/>
    </row>
    <row r="797" spans="6:7">
      <c r="F797" s="434"/>
      <c r="G797" s="434"/>
    </row>
    <row r="798" spans="6:7">
      <c r="F798" s="434"/>
      <c r="G798" s="434"/>
    </row>
    <row r="799" spans="6:7">
      <c r="F799" s="434"/>
      <c r="G799" s="434"/>
    </row>
    <row r="800" spans="6:7">
      <c r="F800" s="434"/>
      <c r="G800" s="434"/>
    </row>
    <row r="801" spans="6:7">
      <c r="F801" s="434"/>
      <c r="G801" s="434"/>
    </row>
    <row r="802" spans="6:7">
      <c r="F802" s="434"/>
      <c r="G802" s="434"/>
    </row>
    <row r="803" spans="6:7">
      <c r="F803" s="434"/>
      <c r="G803" s="434"/>
    </row>
    <row r="804" spans="6:7">
      <c r="F804" s="434"/>
      <c r="G804" s="434"/>
    </row>
    <row r="805" spans="6:7">
      <c r="F805" s="434"/>
      <c r="G805" s="434"/>
    </row>
    <row r="806" spans="6:7">
      <c r="F806" s="434"/>
      <c r="G806" s="434"/>
    </row>
    <row r="807" spans="6:7">
      <c r="F807" s="434"/>
      <c r="G807" s="434"/>
    </row>
    <row r="808" spans="6:7">
      <c r="F808" s="434"/>
      <c r="G808" s="434"/>
    </row>
    <row r="809" spans="6:7">
      <c r="F809" s="434"/>
      <c r="G809" s="434"/>
    </row>
    <row r="810" spans="6:7">
      <c r="F810" s="434"/>
      <c r="G810" s="434"/>
    </row>
    <row r="811" spans="6:7">
      <c r="F811" s="434"/>
      <c r="G811" s="434"/>
    </row>
    <row r="812" spans="6:7">
      <c r="F812" s="434"/>
      <c r="G812" s="434"/>
    </row>
    <row r="813" spans="6:7">
      <c r="F813" s="434"/>
      <c r="G813" s="434"/>
    </row>
    <row r="814" spans="6:7">
      <c r="F814" s="434"/>
      <c r="G814" s="434"/>
    </row>
    <row r="815" spans="6:7">
      <c r="F815" s="434"/>
      <c r="G815" s="434"/>
    </row>
    <row r="816" spans="6:7">
      <c r="F816" s="434"/>
      <c r="G816" s="434"/>
    </row>
    <row r="817" spans="6:7">
      <c r="F817" s="434"/>
      <c r="G817" s="434"/>
    </row>
    <row r="818" spans="6:7">
      <c r="F818" s="434"/>
      <c r="G818" s="434"/>
    </row>
    <row r="819" spans="6:7">
      <c r="F819" s="434"/>
      <c r="G819" s="434"/>
    </row>
    <row r="820" spans="6:7">
      <c r="F820" s="434"/>
      <c r="G820" s="434"/>
    </row>
    <row r="821" spans="6:7">
      <c r="F821" s="434"/>
      <c r="G821" s="434"/>
    </row>
    <row r="822" spans="6:7">
      <c r="F822" s="434"/>
      <c r="G822" s="434"/>
    </row>
    <row r="823" spans="6:7">
      <c r="F823" s="434"/>
      <c r="G823" s="434"/>
    </row>
    <row r="824" spans="6:7">
      <c r="F824" s="434"/>
      <c r="G824" s="434"/>
    </row>
    <row r="825" spans="6:7">
      <c r="F825" s="434"/>
      <c r="G825" s="434"/>
    </row>
    <row r="826" spans="6:7">
      <c r="F826" s="434"/>
      <c r="G826" s="434"/>
    </row>
    <row r="827" spans="6:7">
      <c r="F827" s="434"/>
      <c r="G827" s="434"/>
    </row>
    <row r="828" spans="6:7">
      <c r="F828" s="434"/>
      <c r="G828" s="434"/>
    </row>
    <row r="829" spans="6:7">
      <c r="F829" s="434"/>
      <c r="G829" s="434"/>
    </row>
    <row r="830" spans="6:7">
      <c r="F830" s="434"/>
      <c r="G830" s="434"/>
    </row>
    <row r="831" spans="6:7">
      <c r="F831" s="434"/>
      <c r="G831" s="434"/>
    </row>
    <row r="832" spans="6:7">
      <c r="F832" s="434"/>
      <c r="G832" s="434"/>
    </row>
    <row r="833" spans="6:7">
      <c r="F833" s="434"/>
      <c r="G833" s="434"/>
    </row>
    <row r="834" spans="6:7">
      <c r="F834" s="434"/>
      <c r="G834" s="434"/>
    </row>
    <row r="835" spans="6:7">
      <c r="F835" s="434"/>
      <c r="G835" s="434"/>
    </row>
    <row r="836" spans="6:7">
      <c r="F836" s="434"/>
      <c r="G836" s="434"/>
    </row>
    <row r="837" spans="6:7">
      <c r="F837" s="434"/>
      <c r="G837" s="434"/>
    </row>
    <row r="838" spans="6:7">
      <c r="F838" s="434"/>
      <c r="G838" s="434"/>
    </row>
    <row r="839" spans="6:7">
      <c r="F839" s="434"/>
      <c r="G839" s="434"/>
    </row>
    <row r="840" spans="6:7">
      <c r="F840" s="434"/>
      <c r="G840" s="434"/>
    </row>
    <row r="841" spans="6:7">
      <c r="F841" s="434"/>
      <c r="G841" s="434"/>
    </row>
    <row r="842" spans="6:7">
      <c r="F842" s="434"/>
      <c r="G842" s="434"/>
    </row>
    <row r="843" spans="6:7">
      <c r="F843" s="434"/>
      <c r="G843" s="434"/>
    </row>
    <row r="844" spans="6:7">
      <c r="F844" s="434"/>
      <c r="G844" s="434"/>
    </row>
    <row r="845" spans="6:7">
      <c r="F845" s="434"/>
      <c r="G845" s="434"/>
    </row>
    <row r="846" spans="6:7">
      <c r="F846" s="434"/>
      <c r="G846" s="434"/>
    </row>
    <row r="847" spans="6:7">
      <c r="F847" s="434"/>
      <c r="G847" s="434"/>
    </row>
    <row r="848" spans="6:7">
      <c r="F848" s="434"/>
      <c r="G848" s="434"/>
    </row>
    <row r="849" spans="6:7">
      <c r="F849" s="434"/>
      <c r="G849" s="434"/>
    </row>
    <row r="850" spans="6:7">
      <c r="F850" s="434"/>
      <c r="G850" s="434"/>
    </row>
    <row r="851" spans="6:7">
      <c r="F851" s="434"/>
      <c r="G851" s="434"/>
    </row>
    <row r="852" spans="6:7">
      <c r="F852" s="434"/>
      <c r="G852" s="434"/>
    </row>
    <row r="853" spans="6:7">
      <c r="F853" s="434"/>
      <c r="G853" s="434"/>
    </row>
    <row r="854" spans="6:7">
      <c r="F854" s="434"/>
      <c r="G854" s="434"/>
    </row>
    <row r="855" spans="6:7">
      <c r="F855" s="434"/>
      <c r="G855" s="434"/>
    </row>
    <row r="856" spans="6:7">
      <c r="F856" s="434"/>
      <c r="G856" s="434"/>
    </row>
    <row r="857" spans="6:7">
      <c r="F857" s="434"/>
      <c r="G857" s="434"/>
    </row>
    <row r="858" spans="6:7">
      <c r="F858" s="434"/>
      <c r="G858" s="434"/>
    </row>
    <row r="859" spans="6:7">
      <c r="F859" s="434"/>
      <c r="G859" s="434"/>
    </row>
    <row r="860" spans="6:7">
      <c r="F860" s="434"/>
      <c r="G860" s="434"/>
    </row>
    <row r="861" spans="6:7">
      <c r="F861" s="434"/>
      <c r="G861" s="434"/>
    </row>
    <row r="862" spans="6:7">
      <c r="F862" s="434"/>
      <c r="G862" s="434"/>
    </row>
    <row r="863" spans="6:7">
      <c r="F863" s="434"/>
      <c r="G863" s="434"/>
    </row>
    <row r="864" spans="6:7">
      <c r="F864" s="434"/>
      <c r="G864" s="434"/>
    </row>
    <row r="865" spans="6:7">
      <c r="F865" s="434"/>
      <c r="G865" s="434"/>
    </row>
    <row r="866" spans="6:7">
      <c r="F866" s="434"/>
      <c r="G866" s="434"/>
    </row>
    <row r="867" spans="6:7">
      <c r="F867" s="434"/>
      <c r="G867" s="434"/>
    </row>
    <row r="868" spans="6:7">
      <c r="F868" s="434"/>
      <c r="G868" s="434"/>
    </row>
    <row r="869" spans="6:7">
      <c r="F869" s="434"/>
      <c r="G869" s="434"/>
    </row>
    <row r="870" spans="6:7">
      <c r="F870" s="434"/>
      <c r="G870" s="434"/>
    </row>
    <row r="871" spans="6:7">
      <c r="F871" s="434"/>
      <c r="G871" s="434"/>
    </row>
    <row r="872" spans="6:7">
      <c r="F872" s="434"/>
      <c r="G872" s="434"/>
    </row>
    <row r="873" spans="6:7">
      <c r="F873" s="434"/>
      <c r="G873" s="434"/>
    </row>
    <row r="874" spans="6:7">
      <c r="F874" s="434"/>
      <c r="G874" s="434"/>
    </row>
    <row r="875" spans="6:7">
      <c r="F875" s="434"/>
      <c r="G875" s="434"/>
    </row>
    <row r="876" spans="6:7">
      <c r="F876" s="434"/>
      <c r="G876" s="434"/>
    </row>
    <row r="877" spans="6:7">
      <c r="F877" s="434"/>
      <c r="G877" s="434"/>
    </row>
    <row r="878" spans="6:7">
      <c r="F878" s="434"/>
      <c r="G878" s="434"/>
    </row>
    <row r="879" spans="6:7">
      <c r="F879" s="434"/>
      <c r="G879" s="434"/>
    </row>
    <row r="880" spans="6:7">
      <c r="F880" s="434"/>
      <c r="G880" s="434"/>
    </row>
    <row r="881" spans="6:7">
      <c r="F881" s="434"/>
      <c r="G881" s="434"/>
    </row>
    <row r="882" spans="6:7">
      <c r="F882" s="434"/>
      <c r="G882" s="434"/>
    </row>
    <row r="883" spans="6:7">
      <c r="F883" s="434"/>
      <c r="G883" s="434"/>
    </row>
    <row r="884" spans="6:7">
      <c r="F884" s="434"/>
      <c r="G884" s="434"/>
    </row>
    <row r="885" spans="6:7">
      <c r="F885" s="434"/>
      <c r="G885" s="434"/>
    </row>
    <row r="886" spans="6:7">
      <c r="F886" s="434"/>
      <c r="G886" s="434"/>
    </row>
    <row r="887" spans="6:7">
      <c r="F887" s="434"/>
      <c r="G887" s="434"/>
    </row>
    <row r="888" spans="6:7">
      <c r="F888" s="434"/>
      <c r="G888" s="434"/>
    </row>
    <row r="889" spans="6:7">
      <c r="F889" s="434"/>
      <c r="G889" s="434"/>
    </row>
    <row r="890" spans="6:7">
      <c r="F890" s="434"/>
      <c r="G890" s="434"/>
    </row>
    <row r="891" spans="6:7">
      <c r="F891" s="434"/>
      <c r="G891" s="434"/>
    </row>
    <row r="892" spans="6:7">
      <c r="F892" s="434"/>
      <c r="G892" s="434"/>
    </row>
    <row r="893" spans="6:7">
      <c r="F893" s="434"/>
      <c r="G893" s="434"/>
    </row>
    <row r="894" spans="6:7">
      <c r="F894" s="434"/>
      <c r="G894" s="434"/>
    </row>
    <row r="895" spans="6:7">
      <c r="F895" s="434"/>
      <c r="G895" s="434"/>
    </row>
    <row r="896" spans="6:7">
      <c r="F896" s="434"/>
      <c r="G896" s="434"/>
    </row>
    <row r="897" spans="6:7">
      <c r="F897" s="434"/>
      <c r="G897" s="434"/>
    </row>
    <row r="898" spans="6:7">
      <c r="F898" s="434"/>
      <c r="G898" s="434"/>
    </row>
    <row r="899" spans="6:7">
      <c r="F899" s="434"/>
      <c r="G899" s="434"/>
    </row>
    <row r="900" spans="6:7">
      <c r="F900" s="434"/>
      <c r="G900" s="434"/>
    </row>
    <row r="901" spans="6:7">
      <c r="F901" s="434"/>
      <c r="G901" s="434"/>
    </row>
    <row r="902" spans="6:7">
      <c r="F902" s="434"/>
      <c r="G902" s="434"/>
    </row>
    <row r="903" spans="6:7">
      <c r="F903" s="434"/>
      <c r="G903" s="434"/>
    </row>
    <row r="904" spans="6:7">
      <c r="F904" s="434"/>
      <c r="G904" s="434"/>
    </row>
    <row r="905" spans="6:7">
      <c r="F905" s="434"/>
      <c r="G905" s="434"/>
    </row>
    <row r="906" spans="6:7">
      <c r="F906" s="434"/>
      <c r="G906" s="434"/>
    </row>
    <row r="907" spans="6:7">
      <c r="F907" s="434"/>
      <c r="G907" s="434"/>
    </row>
    <row r="908" spans="6:7">
      <c r="F908" s="434"/>
      <c r="G908" s="434"/>
    </row>
    <row r="909" spans="6:7">
      <c r="F909" s="434"/>
      <c r="G909" s="434"/>
    </row>
    <row r="910" spans="6:7">
      <c r="F910" s="434"/>
      <c r="G910" s="434"/>
    </row>
    <row r="911" spans="6:7">
      <c r="F911" s="434"/>
      <c r="G911" s="434"/>
    </row>
    <row r="912" spans="6:7">
      <c r="F912" s="434"/>
      <c r="G912" s="434"/>
    </row>
    <row r="913" spans="6:7">
      <c r="F913" s="434"/>
      <c r="G913" s="434"/>
    </row>
    <row r="914" spans="6:7">
      <c r="F914" s="434"/>
      <c r="G914" s="434"/>
    </row>
    <row r="915" spans="6:7">
      <c r="F915" s="434"/>
      <c r="G915" s="434"/>
    </row>
    <row r="916" spans="6:7">
      <c r="F916" s="434"/>
      <c r="G916" s="434"/>
    </row>
    <row r="917" spans="6:7">
      <c r="F917" s="434"/>
      <c r="G917" s="434"/>
    </row>
    <row r="918" spans="6:7">
      <c r="F918" s="434"/>
      <c r="G918" s="434"/>
    </row>
    <row r="919" spans="6:7">
      <c r="F919" s="434"/>
      <c r="G919" s="434"/>
    </row>
    <row r="920" spans="6:7">
      <c r="F920" s="434"/>
      <c r="G920" s="434"/>
    </row>
    <row r="921" spans="6:7">
      <c r="F921" s="434"/>
      <c r="G921" s="434"/>
    </row>
    <row r="922" spans="6:7">
      <c r="F922" s="434"/>
      <c r="G922" s="434"/>
    </row>
    <row r="923" spans="6:7">
      <c r="F923" s="434"/>
      <c r="G923" s="434"/>
    </row>
    <row r="924" spans="6:7">
      <c r="F924" s="434"/>
      <c r="G924" s="434"/>
    </row>
    <row r="925" spans="6:7">
      <c r="F925" s="434"/>
      <c r="G925" s="434"/>
    </row>
    <row r="926" spans="6:7">
      <c r="F926" s="434"/>
      <c r="G926" s="434"/>
    </row>
    <row r="927" spans="6:7">
      <c r="F927" s="434"/>
      <c r="G927" s="434"/>
    </row>
    <row r="928" spans="6:7">
      <c r="F928" s="434"/>
      <c r="G928" s="434"/>
    </row>
    <row r="929" spans="6:7">
      <c r="F929" s="434"/>
      <c r="G929" s="434"/>
    </row>
    <row r="930" spans="6:7">
      <c r="F930" s="434"/>
      <c r="G930" s="434"/>
    </row>
    <row r="931" spans="6:7">
      <c r="F931" s="434"/>
      <c r="G931" s="434"/>
    </row>
    <row r="932" spans="6:7">
      <c r="F932" s="434"/>
      <c r="G932" s="434"/>
    </row>
    <row r="933" spans="6:7">
      <c r="F933" s="434"/>
      <c r="G933" s="434"/>
    </row>
    <row r="934" spans="6:7">
      <c r="F934" s="434"/>
      <c r="G934" s="434"/>
    </row>
    <row r="935" spans="6:7">
      <c r="F935" s="434"/>
      <c r="G935" s="434"/>
    </row>
    <row r="936" spans="6:7">
      <c r="F936" s="434"/>
      <c r="G936" s="434"/>
    </row>
    <row r="937" spans="6:7">
      <c r="F937" s="434"/>
      <c r="G937" s="434"/>
    </row>
    <row r="938" spans="6:7">
      <c r="F938" s="434"/>
      <c r="G938" s="434"/>
    </row>
    <row r="939" spans="6:7">
      <c r="F939" s="434"/>
      <c r="G939" s="434"/>
    </row>
    <row r="940" spans="6:7">
      <c r="F940" s="434"/>
      <c r="G940" s="434"/>
    </row>
    <row r="941" spans="6:7">
      <c r="F941" s="434"/>
      <c r="G941" s="434"/>
    </row>
    <row r="942" spans="6:7">
      <c r="F942" s="434"/>
      <c r="G942" s="434"/>
    </row>
    <row r="943" spans="6:7">
      <c r="F943" s="434"/>
      <c r="G943" s="434"/>
    </row>
    <row r="944" spans="6:7">
      <c r="F944" s="434"/>
      <c r="G944" s="434"/>
    </row>
    <row r="945" spans="6:7">
      <c r="F945" s="434"/>
      <c r="G945" s="434"/>
    </row>
    <row r="946" spans="6:7">
      <c r="F946" s="434"/>
      <c r="G946" s="434"/>
    </row>
    <row r="947" spans="6:7">
      <c r="F947" s="434"/>
      <c r="G947" s="434"/>
    </row>
    <row r="948" spans="6:7">
      <c r="F948" s="434"/>
      <c r="G948" s="434"/>
    </row>
    <row r="949" spans="6:7">
      <c r="F949" s="434"/>
      <c r="G949" s="434"/>
    </row>
    <row r="950" spans="6:7">
      <c r="F950" s="434"/>
      <c r="G950" s="434"/>
    </row>
    <row r="951" spans="6:7">
      <c r="F951" s="434"/>
      <c r="G951" s="434"/>
    </row>
    <row r="952" spans="6:7">
      <c r="F952" s="434"/>
      <c r="G952" s="434"/>
    </row>
    <row r="953" spans="6:7">
      <c r="F953" s="434"/>
      <c r="G953" s="434"/>
    </row>
    <row r="954" spans="6:7">
      <c r="F954" s="434"/>
      <c r="G954" s="434"/>
    </row>
    <row r="955" spans="6:7">
      <c r="F955" s="434"/>
      <c r="G955" s="434"/>
    </row>
    <row r="956" spans="6:7">
      <c r="F956" s="434"/>
      <c r="G956" s="434"/>
    </row>
    <row r="957" spans="6:7">
      <c r="F957" s="434"/>
      <c r="G957" s="434"/>
    </row>
    <row r="958" spans="6:7">
      <c r="F958" s="434"/>
      <c r="G958" s="434"/>
    </row>
    <row r="959" spans="6:7">
      <c r="F959" s="434"/>
      <c r="G959" s="434"/>
    </row>
    <row r="960" spans="6:7">
      <c r="F960" s="434"/>
      <c r="G960" s="434"/>
    </row>
    <row r="961" spans="6:7">
      <c r="F961" s="434"/>
      <c r="G961" s="434"/>
    </row>
    <row r="962" spans="6:7">
      <c r="F962" s="434"/>
      <c r="G962" s="434"/>
    </row>
    <row r="963" spans="6:7">
      <c r="F963" s="434"/>
      <c r="G963" s="434"/>
    </row>
    <row r="964" spans="6:7">
      <c r="F964" s="434"/>
      <c r="G964" s="434"/>
    </row>
    <row r="965" spans="6:7">
      <c r="F965" s="434"/>
      <c r="G965" s="434"/>
    </row>
    <row r="966" spans="6:7">
      <c r="F966" s="434"/>
      <c r="G966" s="434"/>
    </row>
    <row r="967" spans="6:7">
      <c r="F967" s="434"/>
      <c r="G967" s="434"/>
    </row>
    <row r="968" spans="6:7">
      <c r="F968" s="434"/>
      <c r="G968" s="434"/>
    </row>
    <row r="969" spans="6:7">
      <c r="F969" s="434"/>
      <c r="G969" s="434"/>
    </row>
    <row r="970" spans="6:7">
      <c r="F970" s="434"/>
      <c r="G970" s="434"/>
    </row>
    <row r="971" spans="6:7">
      <c r="F971" s="434"/>
      <c r="G971" s="434"/>
    </row>
    <row r="972" spans="6:7">
      <c r="F972" s="434"/>
      <c r="G972" s="434"/>
    </row>
    <row r="973" spans="6:7">
      <c r="F973" s="434"/>
      <c r="G973" s="434"/>
    </row>
    <row r="974" spans="6:7">
      <c r="F974" s="434"/>
      <c r="G974" s="434"/>
    </row>
    <row r="975" spans="6:7">
      <c r="F975" s="434"/>
      <c r="G975" s="434"/>
    </row>
    <row r="976" spans="6:7">
      <c r="F976" s="434"/>
      <c r="G976" s="434"/>
    </row>
    <row r="977" spans="6:7">
      <c r="F977" s="434"/>
      <c r="G977" s="434"/>
    </row>
    <row r="978" spans="6:7">
      <c r="F978" s="434"/>
      <c r="G978" s="434"/>
    </row>
    <row r="979" spans="6:7">
      <c r="F979" s="434"/>
      <c r="G979" s="434"/>
    </row>
    <row r="980" spans="6:7">
      <c r="F980" s="434"/>
      <c r="G980" s="434"/>
    </row>
    <row r="981" spans="6:7">
      <c r="F981" s="434"/>
      <c r="G981" s="434"/>
    </row>
    <row r="982" spans="6:7">
      <c r="F982" s="434"/>
      <c r="G982" s="434"/>
    </row>
    <row r="983" spans="6:7">
      <c r="F983" s="434"/>
      <c r="G983" s="434"/>
    </row>
    <row r="984" spans="6:7">
      <c r="F984" s="434"/>
      <c r="G984" s="434"/>
    </row>
    <row r="985" spans="6:7">
      <c r="F985" s="434"/>
      <c r="G985" s="434"/>
    </row>
    <row r="986" spans="6:7">
      <c r="F986" s="434"/>
      <c r="G986" s="434"/>
    </row>
    <row r="987" spans="6:7">
      <c r="F987" s="434"/>
      <c r="G987" s="434"/>
    </row>
    <row r="988" spans="6:7">
      <c r="F988" s="434"/>
      <c r="G988" s="434"/>
    </row>
    <row r="989" spans="6:7">
      <c r="F989" s="434"/>
      <c r="G989" s="434"/>
    </row>
    <row r="990" spans="6:7">
      <c r="F990" s="434"/>
      <c r="G990" s="434"/>
    </row>
    <row r="991" spans="6:7">
      <c r="F991" s="434"/>
      <c r="G991" s="434"/>
    </row>
    <row r="992" spans="6:7">
      <c r="F992" s="434"/>
      <c r="G992" s="434"/>
    </row>
    <row r="993" spans="6:7">
      <c r="F993" s="434"/>
      <c r="G993" s="434"/>
    </row>
    <row r="994" spans="6:7">
      <c r="F994" s="434"/>
      <c r="G994" s="434"/>
    </row>
    <row r="995" spans="6:7">
      <c r="F995" s="434"/>
      <c r="G995" s="434"/>
    </row>
    <row r="996" spans="6:7">
      <c r="F996" s="434"/>
      <c r="G996" s="434"/>
    </row>
    <row r="997" spans="6:7">
      <c r="F997" s="434"/>
      <c r="G997" s="434"/>
    </row>
    <row r="998" spans="6:7">
      <c r="F998" s="434"/>
      <c r="G998" s="434"/>
    </row>
    <row r="999" spans="6:7">
      <c r="F999" s="434"/>
      <c r="G999" s="434"/>
    </row>
    <row r="1000" spans="6:7">
      <c r="F1000" s="434"/>
      <c r="G1000" s="434"/>
    </row>
    <row r="1001" spans="6:7">
      <c r="F1001" s="434"/>
      <c r="G1001" s="434"/>
    </row>
    <row r="1002" spans="6:7">
      <c r="F1002" s="434"/>
      <c r="G1002" s="434"/>
    </row>
    <row r="1003" spans="6:7">
      <c r="F1003" s="434"/>
      <c r="G1003" s="434"/>
    </row>
    <row r="1004" spans="6:7">
      <c r="F1004" s="434"/>
      <c r="G1004" s="434"/>
    </row>
    <row r="1005" spans="6:7">
      <c r="F1005" s="434"/>
      <c r="G1005" s="434"/>
    </row>
    <row r="1006" spans="6:7">
      <c r="F1006" s="434"/>
      <c r="G1006" s="434"/>
    </row>
    <row r="1007" spans="6:7">
      <c r="F1007" s="434"/>
      <c r="G1007" s="434"/>
    </row>
    <row r="1008" spans="6:7">
      <c r="F1008" s="434"/>
      <c r="G1008" s="434"/>
    </row>
    <row r="1009" spans="6:7">
      <c r="F1009" s="434"/>
      <c r="G1009" s="434"/>
    </row>
    <row r="1010" spans="6:7">
      <c r="F1010" s="434"/>
      <c r="G1010" s="434"/>
    </row>
    <row r="1011" spans="6:7">
      <c r="F1011" s="434"/>
      <c r="G1011" s="434"/>
    </row>
    <row r="1012" spans="6:7">
      <c r="F1012" s="434"/>
      <c r="G1012" s="434"/>
    </row>
    <row r="1013" spans="6:7">
      <c r="F1013" s="434"/>
      <c r="G1013" s="434"/>
    </row>
    <row r="1014" spans="6:7">
      <c r="F1014" s="434"/>
      <c r="G1014" s="434"/>
    </row>
    <row r="1015" spans="6:7">
      <c r="F1015" s="434"/>
      <c r="G1015" s="434"/>
    </row>
    <row r="1016" spans="6:7">
      <c r="F1016" s="434"/>
      <c r="G1016" s="434"/>
    </row>
    <row r="1017" spans="6:7">
      <c r="F1017" s="434"/>
      <c r="G1017" s="434"/>
    </row>
    <row r="1018" spans="6:7">
      <c r="F1018" s="434"/>
      <c r="G1018" s="434"/>
    </row>
    <row r="1019" spans="6:7">
      <c r="F1019" s="434"/>
      <c r="G1019" s="434"/>
    </row>
    <row r="1020" spans="6:7">
      <c r="F1020" s="434"/>
      <c r="G1020" s="434"/>
    </row>
    <row r="1021" spans="6:7">
      <c r="F1021" s="434"/>
      <c r="G1021" s="434"/>
    </row>
    <row r="1022" spans="6:7">
      <c r="F1022" s="434"/>
      <c r="G1022" s="434"/>
    </row>
    <row r="1023" spans="6:7">
      <c r="F1023" s="434"/>
      <c r="G1023" s="434"/>
    </row>
    <row r="1024" spans="6:7">
      <c r="F1024" s="434"/>
      <c r="G1024" s="434"/>
    </row>
    <row r="1025" spans="6:7">
      <c r="F1025" s="434"/>
      <c r="G1025" s="434"/>
    </row>
    <row r="1026" spans="6:7">
      <c r="F1026" s="434"/>
      <c r="G1026" s="434"/>
    </row>
    <row r="1027" spans="6:7">
      <c r="F1027" s="434"/>
      <c r="G1027" s="434"/>
    </row>
    <row r="1028" spans="6:7">
      <c r="F1028" s="434"/>
      <c r="G1028" s="434"/>
    </row>
    <row r="1029" spans="6:7">
      <c r="F1029" s="434"/>
      <c r="G1029" s="434"/>
    </row>
    <row r="1030" spans="6:7">
      <c r="F1030" s="434"/>
      <c r="G1030" s="434"/>
    </row>
    <row r="1031" spans="6:7">
      <c r="F1031" s="434"/>
      <c r="G1031" s="434"/>
    </row>
    <row r="1032" spans="6:7">
      <c r="F1032" s="434"/>
      <c r="G1032" s="434"/>
    </row>
    <row r="1033" spans="6:7">
      <c r="F1033" s="434"/>
      <c r="G1033" s="434"/>
    </row>
    <row r="1034" spans="6:7">
      <c r="F1034" s="434"/>
      <c r="G1034" s="434"/>
    </row>
    <row r="1035" spans="6:7">
      <c r="F1035" s="434"/>
      <c r="G1035" s="434"/>
    </row>
    <row r="1036" spans="6:7">
      <c r="F1036" s="434"/>
      <c r="G1036" s="434"/>
    </row>
    <row r="1037" spans="6:7">
      <c r="F1037" s="434"/>
      <c r="G1037" s="434"/>
    </row>
    <row r="1038" spans="6:7">
      <c r="F1038" s="434"/>
      <c r="G1038" s="434"/>
    </row>
    <row r="1039" spans="6:7">
      <c r="F1039" s="434"/>
      <c r="G1039" s="434"/>
    </row>
    <row r="1040" spans="6:7">
      <c r="F1040" s="434"/>
      <c r="G1040" s="434"/>
    </row>
    <row r="1041" spans="6:7">
      <c r="F1041" s="434"/>
      <c r="G1041" s="434"/>
    </row>
    <row r="1042" spans="6:7">
      <c r="F1042" s="434"/>
      <c r="G1042" s="434"/>
    </row>
    <row r="1043" spans="6:7">
      <c r="F1043" s="434"/>
      <c r="G1043" s="434"/>
    </row>
    <row r="1044" spans="6:7">
      <c r="F1044" s="434"/>
      <c r="G1044" s="434"/>
    </row>
    <row r="1045" spans="6:7">
      <c r="F1045" s="434"/>
      <c r="G1045" s="434"/>
    </row>
    <row r="1046" spans="6:7">
      <c r="F1046" s="434"/>
      <c r="G1046" s="434"/>
    </row>
    <row r="1047" spans="6:7">
      <c r="F1047" s="434"/>
      <c r="G1047" s="434"/>
    </row>
    <row r="1048" spans="6:7">
      <c r="F1048" s="434"/>
      <c r="G1048" s="434"/>
    </row>
    <row r="1049" spans="6:7">
      <c r="F1049" s="434"/>
      <c r="G1049" s="434"/>
    </row>
    <row r="1050" spans="6:7">
      <c r="F1050" s="434"/>
      <c r="G1050" s="434"/>
    </row>
    <row r="1051" spans="6:7">
      <c r="F1051" s="434"/>
      <c r="G1051" s="434"/>
    </row>
    <row r="1052" spans="6:7">
      <c r="F1052" s="434"/>
      <c r="G1052" s="434"/>
    </row>
    <row r="1053" spans="6:7">
      <c r="F1053" s="434"/>
      <c r="G1053" s="434"/>
    </row>
    <row r="1054" spans="6:7">
      <c r="F1054" s="434"/>
      <c r="G1054" s="434"/>
    </row>
    <row r="1055" spans="6:7">
      <c r="F1055" s="434"/>
      <c r="G1055" s="434"/>
    </row>
    <row r="1056" spans="6:7">
      <c r="F1056" s="434"/>
      <c r="G1056" s="434"/>
    </row>
    <row r="1057" spans="6:7">
      <c r="F1057" s="434"/>
      <c r="G1057" s="434"/>
    </row>
    <row r="1058" spans="6:7">
      <c r="F1058" s="434"/>
      <c r="G1058" s="434"/>
    </row>
    <row r="1059" spans="6:7">
      <c r="F1059" s="434"/>
      <c r="G1059" s="434"/>
    </row>
    <row r="1060" spans="6:7">
      <c r="F1060" s="434"/>
      <c r="G1060" s="434"/>
    </row>
    <row r="1061" spans="6:7">
      <c r="F1061" s="434"/>
      <c r="G1061" s="434"/>
    </row>
    <row r="1062" spans="6:7">
      <c r="F1062" s="434"/>
      <c r="G1062" s="434"/>
    </row>
    <row r="1063" spans="6:7">
      <c r="F1063" s="434"/>
      <c r="G1063" s="434"/>
    </row>
    <row r="1064" spans="6:7">
      <c r="F1064" s="434"/>
      <c r="G1064" s="434"/>
    </row>
    <row r="1065" spans="6:7">
      <c r="F1065" s="434"/>
      <c r="G1065" s="434"/>
    </row>
    <row r="1066" spans="6:7">
      <c r="F1066" s="434"/>
      <c r="G1066" s="434"/>
    </row>
    <row r="1067" spans="6:7">
      <c r="F1067" s="434"/>
      <c r="G1067" s="434"/>
    </row>
    <row r="1068" spans="6:7">
      <c r="F1068" s="434"/>
      <c r="G1068" s="434"/>
    </row>
    <row r="1069" spans="6:7">
      <c r="F1069" s="434"/>
      <c r="G1069" s="434"/>
    </row>
    <row r="1070" spans="6:7">
      <c r="F1070" s="434"/>
      <c r="G1070" s="434"/>
    </row>
    <row r="1071" spans="6:7">
      <c r="F1071" s="434"/>
      <c r="G1071" s="434"/>
    </row>
    <row r="1072" spans="6:7">
      <c r="F1072" s="434"/>
      <c r="G1072" s="434"/>
    </row>
    <row r="1073" spans="6:7">
      <c r="F1073" s="434"/>
      <c r="G1073" s="434"/>
    </row>
    <row r="1074" spans="6:7">
      <c r="F1074" s="434"/>
      <c r="G1074" s="434"/>
    </row>
    <row r="1075" spans="6:7">
      <c r="F1075" s="434"/>
      <c r="G1075" s="434"/>
    </row>
    <row r="1076" spans="6:7">
      <c r="F1076" s="434"/>
      <c r="G1076" s="434"/>
    </row>
    <row r="1077" spans="6:7">
      <c r="F1077" s="434"/>
      <c r="G1077" s="434"/>
    </row>
    <row r="1078" spans="6:7">
      <c r="F1078" s="434"/>
      <c r="G1078" s="434"/>
    </row>
    <row r="1079" spans="6:7">
      <c r="F1079" s="434"/>
      <c r="G1079" s="434"/>
    </row>
    <row r="1080" spans="6:7">
      <c r="F1080" s="434"/>
      <c r="G1080" s="434"/>
    </row>
    <row r="1081" spans="6:7">
      <c r="F1081" s="434"/>
      <c r="G1081" s="434"/>
    </row>
    <row r="1082" spans="6:7">
      <c r="F1082" s="434"/>
      <c r="G1082" s="434"/>
    </row>
    <row r="1083" spans="6:7">
      <c r="F1083" s="434"/>
      <c r="G1083" s="434"/>
    </row>
    <row r="1084" spans="6:7">
      <c r="F1084" s="434"/>
      <c r="G1084" s="434"/>
    </row>
    <row r="1085" spans="6:7">
      <c r="F1085" s="434"/>
      <c r="G1085" s="434"/>
    </row>
    <row r="1086" spans="6:7">
      <c r="F1086" s="434"/>
      <c r="G1086" s="434"/>
    </row>
    <row r="1087" spans="6:7">
      <c r="F1087" s="434"/>
      <c r="G1087" s="434"/>
    </row>
    <row r="1088" spans="6:7">
      <c r="F1088" s="434"/>
      <c r="G1088" s="434"/>
    </row>
    <row r="1089" spans="6:7">
      <c r="F1089" s="434"/>
      <c r="G1089" s="434"/>
    </row>
    <row r="1090" spans="6:7">
      <c r="F1090" s="434"/>
      <c r="G1090" s="434"/>
    </row>
    <row r="1091" spans="6:7">
      <c r="F1091" s="434"/>
      <c r="G1091" s="434"/>
    </row>
    <row r="1092" spans="6:7">
      <c r="F1092" s="434"/>
      <c r="G1092" s="434"/>
    </row>
    <row r="1093" spans="6:7">
      <c r="F1093" s="434"/>
      <c r="G1093" s="434"/>
    </row>
    <row r="1094" spans="6:7">
      <c r="F1094" s="434"/>
      <c r="G1094" s="434"/>
    </row>
    <row r="1095" spans="6:7">
      <c r="F1095" s="434"/>
      <c r="G1095" s="434"/>
    </row>
    <row r="1096" spans="6:7">
      <c r="F1096" s="434"/>
      <c r="G1096" s="434"/>
    </row>
    <row r="1097" spans="6:7">
      <c r="F1097" s="434"/>
      <c r="G1097" s="434"/>
    </row>
    <row r="1098" spans="6:7">
      <c r="F1098" s="434"/>
      <c r="G1098" s="434"/>
    </row>
    <row r="1099" spans="6:7">
      <c r="F1099" s="434"/>
      <c r="G1099" s="434"/>
    </row>
    <row r="1100" spans="6:7">
      <c r="F1100" s="434"/>
      <c r="G1100" s="434"/>
    </row>
    <row r="1101" spans="6:7">
      <c r="F1101" s="434"/>
      <c r="G1101" s="434"/>
    </row>
    <row r="1102" spans="6:7">
      <c r="F1102" s="434"/>
      <c r="G1102" s="434"/>
    </row>
    <row r="1103" spans="6:7">
      <c r="F1103" s="434"/>
      <c r="G1103" s="434"/>
    </row>
    <row r="1104" spans="6:7">
      <c r="F1104" s="434"/>
      <c r="G1104" s="434"/>
    </row>
    <row r="1105" spans="6:7">
      <c r="F1105" s="434"/>
      <c r="G1105" s="434"/>
    </row>
    <row r="1106" spans="6:7">
      <c r="F1106" s="434"/>
      <c r="G1106" s="434"/>
    </row>
    <row r="1107" spans="6:7">
      <c r="F1107" s="434"/>
      <c r="G1107" s="434"/>
    </row>
    <row r="1108" spans="6:7">
      <c r="F1108" s="434"/>
      <c r="G1108" s="434"/>
    </row>
    <row r="1109" spans="6:7">
      <c r="F1109" s="434"/>
      <c r="G1109" s="434"/>
    </row>
    <row r="1110" spans="6:7">
      <c r="F1110" s="434"/>
      <c r="G1110" s="434"/>
    </row>
    <row r="1111" spans="6:7">
      <c r="F1111" s="434"/>
      <c r="G1111" s="434"/>
    </row>
    <row r="1112" spans="6:7">
      <c r="F1112" s="434"/>
      <c r="G1112" s="434"/>
    </row>
    <row r="1113" spans="6:7">
      <c r="F1113" s="434"/>
      <c r="G1113" s="434"/>
    </row>
    <row r="1114" spans="6:7">
      <c r="F1114" s="434"/>
      <c r="G1114" s="434"/>
    </row>
    <row r="1115" spans="6:7">
      <c r="F1115" s="434"/>
      <c r="G1115" s="434"/>
    </row>
    <row r="1116" spans="6:7">
      <c r="F1116" s="434"/>
      <c r="G1116" s="434"/>
    </row>
    <row r="1117" spans="6:7">
      <c r="F1117" s="434"/>
      <c r="G1117" s="434"/>
    </row>
    <row r="1118" spans="6:7">
      <c r="F1118" s="434"/>
      <c r="G1118" s="434"/>
    </row>
    <row r="1119" spans="6:7">
      <c r="F1119" s="434"/>
      <c r="G1119" s="434"/>
    </row>
    <row r="1120" spans="6:7">
      <c r="F1120" s="434"/>
      <c r="G1120" s="434"/>
    </row>
    <row r="1121" spans="6:7">
      <c r="F1121" s="434"/>
      <c r="G1121" s="434"/>
    </row>
    <row r="1122" spans="6:7">
      <c r="F1122" s="434"/>
      <c r="G1122" s="434"/>
    </row>
    <row r="1123" spans="6:7">
      <c r="F1123" s="434"/>
      <c r="G1123" s="434"/>
    </row>
    <row r="1124" spans="6:7">
      <c r="F1124" s="434"/>
      <c r="G1124" s="434"/>
    </row>
    <row r="1125" spans="6:7">
      <c r="F1125" s="434"/>
      <c r="G1125" s="434"/>
    </row>
    <row r="1126" spans="6:7">
      <c r="F1126" s="434"/>
      <c r="G1126" s="434"/>
    </row>
    <row r="1127" spans="6:7">
      <c r="F1127" s="434"/>
      <c r="G1127" s="434"/>
    </row>
    <row r="1128" spans="6:7">
      <c r="F1128" s="434"/>
      <c r="G1128" s="434"/>
    </row>
    <row r="1129" spans="6:7">
      <c r="F1129" s="434"/>
      <c r="G1129" s="434"/>
    </row>
    <row r="1130" spans="6:7">
      <c r="F1130" s="434"/>
      <c r="G1130" s="434"/>
    </row>
    <row r="1131" spans="6:7">
      <c r="F1131" s="434"/>
      <c r="G1131" s="434"/>
    </row>
    <row r="1132" spans="6:7">
      <c r="F1132" s="434"/>
      <c r="G1132" s="434"/>
    </row>
    <row r="1133" spans="6:7">
      <c r="F1133" s="434"/>
      <c r="G1133" s="434"/>
    </row>
    <row r="1134" spans="6:7">
      <c r="F1134" s="434"/>
      <c r="G1134" s="434"/>
    </row>
    <row r="1135" spans="6:7">
      <c r="F1135" s="434"/>
      <c r="G1135" s="434"/>
    </row>
    <row r="1136" spans="6:7">
      <c r="F1136" s="434"/>
      <c r="G1136" s="434"/>
    </row>
    <row r="1137" spans="6:7">
      <c r="F1137" s="434"/>
      <c r="G1137" s="434"/>
    </row>
    <row r="1138" spans="6:7">
      <c r="F1138" s="434"/>
      <c r="G1138" s="434"/>
    </row>
    <row r="1139" spans="6:7">
      <c r="F1139" s="434"/>
      <c r="G1139" s="434"/>
    </row>
    <row r="1140" spans="6:7">
      <c r="F1140" s="434"/>
      <c r="G1140" s="434"/>
    </row>
    <row r="1141" spans="6:7">
      <c r="F1141" s="434"/>
      <c r="G1141" s="434"/>
    </row>
    <row r="1142" spans="6:7">
      <c r="F1142" s="434"/>
      <c r="G1142" s="434"/>
    </row>
    <row r="1143" spans="6:7">
      <c r="F1143" s="434"/>
      <c r="G1143" s="434"/>
    </row>
    <row r="1144" spans="6:7">
      <c r="F1144" s="434"/>
      <c r="G1144" s="434"/>
    </row>
    <row r="1145" spans="6:7">
      <c r="F1145" s="434"/>
      <c r="G1145" s="434"/>
    </row>
    <row r="1146" spans="6:7">
      <c r="F1146" s="434"/>
      <c r="G1146" s="434"/>
    </row>
    <row r="1147" spans="6:7">
      <c r="F1147" s="434"/>
      <c r="G1147" s="434"/>
    </row>
    <row r="1148" spans="6:7">
      <c r="F1148" s="434"/>
      <c r="G1148" s="434"/>
    </row>
    <row r="1149" spans="6:7">
      <c r="F1149" s="434"/>
      <c r="G1149" s="434"/>
    </row>
    <row r="1150" spans="6:7">
      <c r="F1150" s="434"/>
      <c r="G1150" s="434"/>
    </row>
    <row r="1151" spans="6:7">
      <c r="F1151" s="434"/>
      <c r="G1151" s="434"/>
    </row>
    <row r="1152" spans="6:7">
      <c r="F1152" s="434"/>
      <c r="G1152" s="434"/>
    </row>
    <row r="1153" spans="6:7">
      <c r="F1153" s="434"/>
      <c r="G1153" s="434"/>
    </row>
    <row r="1154" spans="6:7">
      <c r="F1154" s="434"/>
      <c r="G1154" s="434"/>
    </row>
    <row r="1155" spans="6:7">
      <c r="F1155" s="434"/>
      <c r="G1155" s="434"/>
    </row>
    <row r="1156" spans="6:7">
      <c r="F1156" s="434"/>
      <c r="G1156" s="434"/>
    </row>
    <row r="1157" spans="6:7">
      <c r="F1157" s="434"/>
      <c r="G1157" s="434"/>
    </row>
    <row r="1158" spans="6:7">
      <c r="F1158" s="434"/>
      <c r="G1158" s="434"/>
    </row>
    <row r="1159" spans="6:7">
      <c r="F1159" s="434"/>
      <c r="G1159" s="434"/>
    </row>
    <row r="1160" spans="6:7">
      <c r="F1160" s="434"/>
      <c r="G1160" s="434"/>
    </row>
    <row r="1161" spans="6:7">
      <c r="F1161" s="434"/>
      <c r="G1161" s="434"/>
    </row>
    <row r="1162" spans="6:7">
      <c r="F1162" s="434"/>
      <c r="G1162" s="434"/>
    </row>
    <row r="1163" spans="6:7">
      <c r="F1163" s="434"/>
      <c r="G1163" s="434"/>
    </row>
    <row r="1164" spans="6:7">
      <c r="F1164" s="434"/>
      <c r="G1164" s="434"/>
    </row>
    <row r="1165" spans="6:7">
      <c r="F1165" s="434"/>
      <c r="G1165" s="434"/>
    </row>
    <row r="1166" spans="6:7">
      <c r="F1166" s="434"/>
      <c r="G1166" s="434"/>
    </row>
    <row r="1167" spans="6:7">
      <c r="F1167" s="434"/>
      <c r="G1167" s="434"/>
    </row>
    <row r="1168" spans="6:7">
      <c r="F1168" s="434"/>
      <c r="G1168" s="434"/>
    </row>
    <row r="1169" spans="6:7">
      <c r="F1169" s="434"/>
      <c r="G1169" s="434"/>
    </row>
    <row r="1170" spans="6:7">
      <c r="F1170" s="434"/>
      <c r="G1170" s="434"/>
    </row>
    <row r="1171" spans="6:7">
      <c r="F1171" s="434"/>
      <c r="G1171" s="434"/>
    </row>
    <row r="1172" spans="6:7">
      <c r="F1172" s="434"/>
      <c r="G1172" s="434"/>
    </row>
    <row r="1173" spans="6:7">
      <c r="F1173" s="434"/>
      <c r="G1173" s="434"/>
    </row>
    <row r="1174" spans="6:7">
      <c r="F1174" s="434"/>
      <c r="G1174" s="434"/>
    </row>
    <row r="1175" spans="6:7">
      <c r="F1175" s="434"/>
      <c r="G1175" s="434"/>
    </row>
    <row r="1176" spans="6:7">
      <c r="F1176" s="434"/>
      <c r="G1176" s="434"/>
    </row>
    <row r="1177" spans="6:7">
      <c r="F1177" s="434"/>
      <c r="G1177" s="434"/>
    </row>
    <row r="1178" spans="6:7">
      <c r="F1178" s="434"/>
      <c r="G1178" s="434"/>
    </row>
    <row r="1179" spans="6:7">
      <c r="F1179" s="434"/>
      <c r="G1179" s="434"/>
    </row>
    <row r="1180" spans="6:7">
      <c r="F1180" s="434"/>
      <c r="G1180" s="434"/>
    </row>
    <row r="1181" spans="6:7">
      <c r="F1181" s="434"/>
      <c r="G1181" s="434"/>
    </row>
    <row r="1182" spans="6:7">
      <c r="F1182" s="434"/>
      <c r="G1182" s="434"/>
    </row>
    <row r="1183" spans="6:7">
      <c r="F1183" s="434"/>
      <c r="G1183" s="434"/>
    </row>
    <row r="1184" spans="6:7">
      <c r="F1184" s="434"/>
      <c r="G1184" s="434"/>
    </row>
    <row r="1185" spans="6:7">
      <c r="F1185" s="434"/>
      <c r="G1185" s="434"/>
    </row>
    <row r="1186" spans="6:7">
      <c r="F1186" s="434"/>
      <c r="G1186" s="434"/>
    </row>
    <row r="1187" spans="6:7">
      <c r="F1187" s="434"/>
      <c r="G1187" s="434"/>
    </row>
    <row r="1188" spans="6:7">
      <c r="F1188" s="434"/>
      <c r="G1188" s="434"/>
    </row>
    <row r="1189" spans="6:7">
      <c r="F1189" s="434"/>
      <c r="G1189" s="434"/>
    </row>
    <row r="1190" spans="6:7">
      <c r="F1190" s="434"/>
      <c r="G1190" s="434"/>
    </row>
    <row r="1191" spans="6:7">
      <c r="F1191" s="434"/>
      <c r="G1191" s="434"/>
    </row>
    <row r="1192" spans="6:7">
      <c r="F1192" s="434"/>
      <c r="G1192" s="434"/>
    </row>
    <row r="1193" spans="6:7">
      <c r="F1193" s="434"/>
      <c r="G1193" s="434"/>
    </row>
    <row r="1194" spans="6:7">
      <c r="F1194" s="434"/>
      <c r="G1194" s="434"/>
    </row>
    <row r="1195" spans="6:7">
      <c r="F1195" s="434"/>
      <c r="G1195" s="434"/>
    </row>
    <row r="1196" spans="6:7">
      <c r="F1196" s="434"/>
      <c r="G1196" s="434"/>
    </row>
    <row r="1197" spans="6:7">
      <c r="F1197" s="434"/>
      <c r="G1197" s="434"/>
    </row>
    <row r="1198" spans="6:7">
      <c r="F1198" s="434"/>
      <c r="G1198" s="434"/>
    </row>
    <row r="1199" spans="6:7">
      <c r="F1199" s="434"/>
      <c r="G1199" s="434"/>
    </row>
    <row r="1200" spans="6:7">
      <c r="F1200" s="434"/>
      <c r="G1200" s="434"/>
    </row>
    <row r="1201" spans="6:7">
      <c r="F1201" s="434"/>
      <c r="G1201" s="434"/>
    </row>
    <row r="1202" spans="6:7">
      <c r="F1202" s="434"/>
      <c r="G1202" s="434"/>
    </row>
    <row r="1203" spans="6:7">
      <c r="F1203" s="434"/>
      <c r="G1203" s="434"/>
    </row>
    <row r="1204" spans="6:7">
      <c r="F1204" s="434"/>
      <c r="G1204" s="434"/>
    </row>
    <row r="1205" spans="6:7">
      <c r="F1205" s="434"/>
      <c r="G1205" s="434"/>
    </row>
    <row r="1206" spans="6:7">
      <c r="F1206" s="434"/>
      <c r="G1206" s="434"/>
    </row>
    <row r="1207" spans="6:7">
      <c r="F1207" s="434"/>
      <c r="G1207" s="434"/>
    </row>
    <row r="1208" spans="6:7">
      <c r="F1208" s="434"/>
      <c r="G1208" s="434"/>
    </row>
    <row r="1209" spans="6:7">
      <c r="F1209" s="434"/>
      <c r="G1209" s="434"/>
    </row>
    <row r="1210" spans="6:7">
      <c r="F1210" s="434"/>
      <c r="G1210" s="434"/>
    </row>
    <row r="1211" spans="6:7">
      <c r="F1211" s="434"/>
      <c r="G1211" s="434"/>
    </row>
    <row r="1212" spans="6:7">
      <c r="F1212" s="434"/>
      <c r="G1212" s="434"/>
    </row>
    <row r="1213" spans="6:7">
      <c r="F1213" s="434"/>
      <c r="G1213" s="434"/>
    </row>
    <row r="1214" spans="6:7">
      <c r="F1214" s="434"/>
      <c r="G1214" s="434"/>
    </row>
    <row r="1215" spans="6:7">
      <c r="F1215" s="434"/>
      <c r="G1215" s="434"/>
    </row>
    <row r="1216" spans="6:7">
      <c r="F1216" s="434"/>
      <c r="G1216" s="434"/>
    </row>
    <row r="1217" spans="6:7">
      <c r="F1217" s="434"/>
      <c r="G1217" s="434"/>
    </row>
    <row r="1218" spans="6:7">
      <c r="F1218" s="434"/>
      <c r="G1218" s="434"/>
    </row>
    <row r="1219" spans="6:7">
      <c r="F1219" s="434"/>
      <c r="G1219" s="434"/>
    </row>
    <row r="1220" spans="6:7">
      <c r="F1220" s="434"/>
      <c r="G1220" s="434"/>
    </row>
    <row r="1221" spans="6:7">
      <c r="F1221" s="434"/>
      <c r="G1221" s="434"/>
    </row>
    <row r="1222" spans="6:7">
      <c r="F1222" s="434"/>
      <c r="G1222" s="434"/>
    </row>
    <row r="1223" spans="6:7">
      <c r="F1223" s="434"/>
      <c r="G1223" s="434"/>
    </row>
    <row r="1224" spans="6:7">
      <c r="F1224" s="434"/>
      <c r="G1224" s="434"/>
    </row>
    <row r="1225" spans="6:7">
      <c r="F1225" s="434"/>
      <c r="G1225" s="434"/>
    </row>
    <row r="1226" spans="6:7">
      <c r="F1226" s="434"/>
      <c r="G1226" s="434"/>
    </row>
    <row r="1227" spans="6:7">
      <c r="F1227" s="434"/>
      <c r="G1227" s="434"/>
    </row>
    <row r="1228" spans="6:7">
      <c r="F1228" s="434"/>
      <c r="G1228" s="434"/>
    </row>
    <row r="1229" spans="6:7">
      <c r="F1229" s="434"/>
      <c r="G1229" s="434"/>
    </row>
    <row r="1230" spans="6:7">
      <c r="F1230" s="434"/>
      <c r="G1230" s="434"/>
    </row>
    <row r="1231" spans="6:7">
      <c r="F1231" s="434"/>
      <c r="G1231" s="434"/>
    </row>
    <row r="1232" spans="6:7">
      <c r="F1232" s="434"/>
      <c r="G1232" s="434"/>
    </row>
    <row r="1233" spans="6:7">
      <c r="F1233" s="434"/>
      <c r="G1233" s="434"/>
    </row>
    <row r="1234" spans="6:7">
      <c r="F1234" s="434"/>
      <c r="G1234" s="434"/>
    </row>
    <row r="1235" spans="6:7">
      <c r="F1235" s="434"/>
      <c r="G1235" s="434"/>
    </row>
    <row r="1236" spans="6:7">
      <c r="F1236" s="434"/>
      <c r="G1236" s="434"/>
    </row>
    <row r="1237" spans="6:7">
      <c r="F1237" s="434"/>
      <c r="G1237" s="434"/>
    </row>
    <row r="1238" spans="6:7">
      <c r="F1238" s="434"/>
      <c r="G1238" s="434"/>
    </row>
    <row r="1239" spans="6:7">
      <c r="F1239" s="434"/>
      <c r="G1239" s="434"/>
    </row>
    <row r="1240" spans="6:7">
      <c r="F1240" s="434"/>
      <c r="G1240" s="434"/>
    </row>
    <row r="1241" spans="6:7">
      <c r="F1241" s="434"/>
      <c r="G1241" s="434"/>
    </row>
    <row r="1242" spans="6:7">
      <c r="F1242" s="434"/>
      <c r="G1242" s="434"/>
    </row>
    <row r="1243" spans="6:7">
      <c r="F1243" s="434"/>
      <c r="G1243" s="434"/>
    </row>
    <row r="1244" spans="6:7">
      <c r="F1244" s="434"/>
      <c r="G1244" s="434"/>
    </row>
    <row r="1245" spans="6:7">
      <c r="F1245" s="434"/>
      <c r="G1245" s="434"/>
    </row>
    <row r="1246" spans="6:7">
      <c r="F1246" s="434"/>
      <c r="G1246" s="434"/>
    </row>
    <row r="1247" spans="6:7">
      <c r="F1247" s="434"/>
      <c r="G1247" s="434"/>
    </row>
    <row r="1248" spans="6:7">
      <c r="F1248" s="434"/>
      <c r="G1248" s="434"/>
    </row>
    <row r="1249" spans="6:7">
      <c r="F1249" s="434"/>
      <c r="G1249" s="434"/>
    </row>
    <row r="1250" spans="6:7">
      <c r="F1250" s="434"/>
      <c r="G1250" s="434"/>
    </row>
    <row r="1251" spans="6:7">
      <c r="F1251" s="434"/>
      <c r="G1251" s="434"/>
    </row>
    <row r="1252" spans="6:7">
      <c r="F1252" s="434"/>
      <c r="G1252" s="434"/>
    </row>
    <row r="1253" spans="6:7">
      <c r="F1253" s="434"/>
      <c r="G1253" s="434"/>
    </row>
    <row r="1254" spans="6:7">
      <c r="F1254" s="434"/>
      <c r="G1254" s="434"/>
    </row>
    <row r="1255" spans="6:7">
      <c r="F1255" s="434"/>
      <c r="G1255" s="434"/>
    </row>
    <row r="1256" spans="6:7">
      <c r="F1256" s="434"/>
      <c r="G1256" s="434"/>
    </row>
    <row r="1257" spans="6:7">
      <c r="F1257" s="434"/>
      <c r="G1257" s="434"/>
    </row>
    <row r="1258" spans="6:7">
      <c r="F1258" s="434"/>
      <c r="G1258" s="434"/>
    </row>
    <row r="1259" spans="6:7">
      <c r="F1259" s="434"/>
      <c r="G1259" s="434"/>
    </row>
    <row r="1260" spans="6:7">
      <c r="F1260" s="434"/>
      <c r="G1260" s="434"/>
    </row>
    <row r="1261" spans="6:7">
      <c r="F1261" s="434"/>
      <c r="G1261" s="434"/>
    </row>
    <row r="1262" spans="6:7">
      <c r="F1262" s="434"/>
      <c r="G1262" s="434"/>
    </row>
    <row r="1263" spans="6:7">
      <c r="F1263" s="434"/>
      <c r="G1263" s="434"/>
    </row>
    <row r="1264" spans="6:7">
      <c r="F1264" s="434"/>
      <c r="G1264" s="434"/>
    </row>
    <row r="1265" spans="6:7">
      <c r="F1265" s="434"/>
      <c r="G1265" s="434"/>
    </row>
    <row r="1266" spans="6:7">
      <c r="F1266" s="434"/>
      <c r="G1266" s="434"/>
    </row>
    <row r="1267" spans="6:7">
      <c r="F1267" s="434"/>
      <c r="G1267" s="434"/>
    </row>
    <row r="1268" spans="6:7">
      <c r="F1268" s="434"/>
      <c r="G1268" s="434"/>
    </row>
    <row r="1269" spans="6:7">
      <c r="F1269" s="434"/>
      <c r="G1269" s="434"/>
    </row>
    <row r="1270" spans="6:7">
      <c r="F1270" s="434"/>
      <c r="G1270" s="434"/>
    </row>
    <row r="1271" spans="6:7">
      <c r="F1271" s="434"/>
      <c r="G1271" s="434"/>
    </row>
    <row r="1272" spans="6:7">
      <c r="F1272" s="434"/>
      <c r="G1272" s="434"/>
    </row>
    <row r="1273" spans="6:7">
      <c r="F1273" s="434"/>
      <c r="G1273" s="434"/>
    </row>
    <row r="1274" spans="6:7">
      <c r="F1274" s="434"/>
      <c r="G1274" s="434"/>
    </row>
    <row r="1275" spans="6:7">
      <c r="F1275" s="434"/>
      <c r="G1275" s="434"/>
    </row>
    <row r="1276" spans="6:7">
      <c r="F1276" s="434"/>
      <c r="G1276" s="434"/>
    </row>
    <row r="1277" spans="6:7">
      <c r="F1277" s="434"/>
      <c r="G1277" s="434"/>
    </row>
    <row r="1278" spans="6:7">
      <c r="F1278" s="434"/>
      <c r="G1278" s="434"/>
    </row>
    <row r="1279" spans="6:7">
      <c r="F1279" s="434"/>
      <c r="G1279" s="434"/>
    </row>
    <row r="1280" spans="6:7">
      <c r="F1280" s="434"/>
      <c r="G1280" s="434"/>
    </row>
    <row r="1281" spans="6:7">
      <c r="F1281" s="434"/>
      <c r="G1281" s="434"/>
    </row>
    <row r="1282" spans="6:7">
      <c r="F1282" s="434"/>
      <c r="G1282" s="434"/>
    </row>
    <row r="1283" spans="6:7">
      <c r="F1283" s="434"/>
      <c r="G1283" s="434"/>
    </row>
    <row r="1284" spans="6:7">
      <c r="F1284" s="434"/>
      <c r="G1284" s="434"/>
    </row>
    <row r="1285" spans="6:7">
      <c r="F1285" s="434"/>
      <c r="G1285" s="434"/>
    </row>
    <row r="1286" spans="6:7">
      <c r="F1286" s="434"/>
      <c r="G1286" s="434"/>
    </row>
    <row r="1287" spans="6:7">
      <c r="F1287" s="434"/>
      <c r="G1287" s="434"/>
    </row>
    <row r="1288" spans="6:7">
      <c r="F1288" s="434"/>
      <c r="G1288" s="434"/>
    </row>
    <row r="1289" spans="6:7">
      <c r="F1289" s="434"/>
      <c r="G1289" s="434"/>
    </row>
    <row r="1290" spans="6:7">
      <c r="F1290" s="434"/>
      <c r="G1290" s="434"/>
    </row>
    <row r="1291" spans="6:7">
      <c r="F1291" s="434"/>
      <c r="G1291" s="434"/>
    </row>
    <row r="1292" spans="6:7">
      <c r="F1292" s="434"/>
      <c r="G1292" s="434"/>
    </row>
    <row r="1293" spans="6:7">
      <c r="F1293" s="434"/>
      <c r="G1293" s="434"/>
    </row>
    <row r="1294" spans="6:7">
      <c r="F1294" s="434"/>
      <c r="G1294" s="434"/>
    </row>
    <row r="1295" spans="6:7">
      <c r="F1295" s="434"/>
      <c r="G1295" s="434"/>
    </row>
    <row r="1296" spans="6:7">
      <c r="F1296" s="434"/>
      <c r="G1296" s="434"/>
    </row>
    <row r="1297" spans="6:7">
      <c r="F1297" s="434"/>
      <c r="G1297" s="434"/>
    </row>
    <row r="1298" spans="6:7">
      <c r="F1298" s="434"/>
      <c r="G1298" s="434"/>
    </row>
    <row r="1299" spans="6:7">
      <c r="F1299" s="434"/>
      <c r="G1299" s="434"/>
    </row>
    <row r="1300" spans="6:7">
      <c r="F1300" s="434"/>
      <c r="G1300" s="434"/>
    </row>
    <row r="1301" spans="6:7">
      <c r="F1301" s="434"/>
      <c r="G1301" s="434"/>
    </row>
    <row r="1302" spans="6:7">
      <c r="F1302" s="434"/>
      <c r="G1302" s="434"/>
    </row>
    <row r="1303" spans="6:7">
      <c r="F1303" s="434"/>
      <c r="G1303" s="434"/>
    </row>
    <row r="1304" spans="6:7">
      <c r="F1304" s="434"/>
      <c r="G1304" s="434"/>
    </row>
    <row r="1305" spans="6:7">
      <c r="F1305" s="434"/>
      <c r="G1305" s="434"/>
    </row>
    <row r="1306" spans="6:7">
      <c r="F1306" s="434"/>
      <c r="G1306" s="434"/>
    </row>
    <row r="1307" spans="6:7">
      <c r="F1307" s="434"/>
      <c r="G1307" s="434"/>
    </row>
    <row r="1308" spans="6:7">
      <c r="F1308" s="434"/>
      <c r="G1308" s="434"/>
    </row>
    <row r="1309" spans="6:7">
      <c r="F1309" s="434"/>
      <c r="G1309" s="434"/>
    </row>
    <row r="1310" spans="6:7">
      <c r="F1310" s="434"/>
      <c r="G1310" s="434"/>
    </row>
    <row r="1311" spans="6:7">
      <c r="F1311" s="434"/>
      <c r="G1311" s="434"/>
    </row>
    <row r="1312" spans="6:7">
      <c r="F1312" s="434"/>
      <c r="G1312" s="434"/>
    </row>
    <row r="1313" spans="6:7">
      <c r="F1313" s="434"/>
      <c r="G1313" s="434"/>
    </row>
    <row r="1314" spans="6:7">
      <c r="F1314" s="434"/>
      <c r="G1314" s="434"/>
    </row>
    <row r="1315" spans="6:7">
      <c r="F1315" s="434"/>
      <c r="G1315" s="434"/>
    </row>
    <row r="1316" spans="6:7">
      <c r="F1316" s="434"/>
      <c r="G1316" s="434"/>
    </row>
    <row r="1317" spans="6:7">
      <c r="F1317" s="434"/>
      <c r="G1317" s="434"/>
    </row>
    <row r="1318" spans="6:7">
      <c r="F1318" s="434"/>
      <c r="G1318" s="434"/>
    </row>
    <row r="1319" spans="6:7">
      <c r="F1319" s="434"/>
      <c r="G1319" s="434"/>
    </row>
    <row r="1320" spans="6:7">
      <c r="F1320" s="434"/>
      <c r="G1320" s="434"/>
    </row>
    <row r="1321" spans="6:7">
      <c r="F1321" s="434"/>
      <c r="G1321" s="434"/>
    </row>
    <row r="1322" spans="6:7">
      <c r="F1322" s="434"/>
      <c r="G1322" s="434"/>
    </row>
    <row r="1323" spans="6:7">
      <c r="F1323" s="434"/>
      <c r="G1323" s="434"/>
    </row>
    <row r="1324" spans="6:7">
      <c r="F1324" s="434"/>
      <c r="G1324" s="434"/>
    </row>
    <row r="1325" spans="6:7">
      <c r="F1325" s="434"/>
      <c r="G1325" s="434"/>
    </row>
    <row r="1326" spans="6:7">
      <c r="F1326" s="434"/>
      <c r="G1326" s="434"/>
    </row>
    <row r="1327" spans="6:7">
      <c r="F1327" s="434"/>
      <c r="G1327" s="434"/>
    </row>
    <row r="1328" spans="6:7">
      <c r="F1328" s="434"/>
      <c r="G1328" s="434"/>
    </row>
    <row r="1329" spans="6:7">
      <c r="F1329" s="434"/>
      <c r="G1329" s="434"/>
    </row>
    <row r="1330" spans="6:7">
      <c r="F1330" s="434"/>
      <c r="G1330" s="434"/>
    </row>
    <row r="1331" spans="6:7">
      <c r="F1331" s="434"/>
      <c r="G1331" s="434"/>
    </row>
    <row r="1332" spans="6:7">
      <c r="F1332" s="434"/>
      <c r="G1332" s="434"/>
    </row>
    <row r="1333" spans="6:7">
      <c r="F1333" s="434"/>
      <c r="G1333" s="434"/>
    </row>
    <row r="1334" spans="6:7">
      <c r="F1334" s="434"/>
      <c r="G1334" s="434"/>
    </row>
    <row r="1335" spans="6:7">
      <c r="F1335" s="434"/>
      <c r="G1335" s="434"/>
    </row>
    <row r="1336" spans="6:7">
      <c r="F1336" s="434"/>
      <c r="G1336" s="434"/>
    </row>
    <row r="1337" spans="6:7">
      <c r="F1337" s="434"/>
      <c r="G1337" s="434"/>
    </row>
    <row r="1338" spans="6:7">
      <c r="F1338" s="434"/>
      <c r="G1338" s="434"/>
    </row>
    <row r="1339" spans="6:7">
      <c r="F1339" s="434"/>
      <c r="G1339" s="434"/>
    </row>
    <row r="1340" spans="6:7">
      <c r="F1340" s="434"/>
      <c r="G1340" s="434"/>
    </row>
    <row r="1341" spans="6:7">
      <c r="F1341" s="434"/>
      <c r="G1341" s="434"/>
    </row>
    <row r="1342" spans="6:7">
      <c r="F1342" s="434"/>
      <c r="G1342" s="434"/>
    </row>
    <row r="1343" spans="6:7">
      <c r="F1343" s="434"/>
      <c r="G1343" s="434"/>
    </row>
    <row r="1344" spans="6:7">
      <c r="F1344" s="434"/>
      <c r="G1344" s="434"/>
    </row>
    <row r="1345" spans="6:7">
      <c r="F1345" s="434"/>
      <c r="G1345" s="434"/>
    </row>
    <row r="1346" spans="6:7">
      <c r="F1346" s="434"/>
      <c r="G1346" s="434"/>
    </row>
    <row r="1347" spans="6:7">
      <c r="F1347" s="434"/>
      <c r="G1347" s="434"/>
    </row>
    <row r="1348" spans="6:7">
      <c r="F1348" s="434"/>
      <c r="G1348" s="434"/>
    </row>
    <row r="1349" spans="6:7">
      <c r="F1349" s="434"/>
      <c r="G1349" s="434"/>
    </row>
    <row r="1350" spans="6:7">
      <c r="F1350" s="434"/>
      <c r="G1350" s="434"/>
    </row>
    <row r="1351" spans="6:7">
      <c r="F1351" s="434"/>
      <c r="G1351" s="434"/>
    </row>
    <row r="1352" spans="6:7">
      <c r="F1352" s="434"/>
      <c r="G1352" s="434"/>
    </row>
    <row r="1353" spans="6:7">
      <c r="F1353" s="434"/>
      <c r="G1353" s="434"/>
    </row>
    <row r="1354" spans="6:7">
      <c r="F1354" s="434"/>
      <c r="G1354" s="434"/>
    </row>
    <row r="1355" spans="6:7">
      <c r="F1355" s="434"/>
      <c r="G1355" s="434"/>
    </row>
    <row r="1356" spans="6:7">
      <c r="F1356" s="434"/>
      <c r="G1356" s="434"/>
    </row>
    <row r="1357" spans="6:7">
      <c r="F1357" s="434"/>
      <c r="G1357" s="434"/>
    </row>
    <row r="1358" spans="6:7">
      <c r="F1358" s="434"/>
      <c r="G1358" s="434"/>
    </row>
    <row r="1359" spans="6:7">
      <c r="F1359" s="434"/>
      <c r="G1359" s="434"/>
    </row>
    <row r="1360" spans="6:7">
      <c r="F1360" s="434"/>
      <c r="G1360" s="434"/>
    </row>
    <row r="1361" spans="6:7">
      <c r="F1361" s="434"/>
      <c r="G1361" s="434"/>
    </row>
    <row r="1362" spans="6:7">
      <c r="F1362" s="434"/>
      <c r="G1362" s="434"/>
    </row>
    <row r="1363" spans="6:7">
      <c r="F1363" s="434"/>
      <c r="G1363" s="434"/>
    </row>
    <row r="1364" spans="6:7">
      <c r="F1364" s="434"/>
      <c r="G1364" s="434"/>
    </row>
    <row r="1365" spans="6:7">
      <c r="F1365" s="434"/>
      <c r="G1365" s="434"/>
    </row>
    <row r="1366" spans="6:7">
      <c r="F1366" s="434"/>
      <c r="G1366" s="434"/>
    </row>
    <row r="1367" spans="6:7">
      <c r="F1367" s="434"/>
      <c r="G1367" s="434"/>
    </row>
    <row r="1368" spans="6:7">
      <c r="F1368" s="434"/>
      <c r="G1368" s="434"/>
    </row>
    <row r="1369" spans="6:7">
      <c r="F1369" s="434"/>
      <c r="G1369" s="434"/>
    </row>
    <row r="1370" spans="6:7">
      <c r="F1370" s="434"/>
      <c r="G1370" s="434"/>
    </row>
    <row r="1371" spans="6:7">
      <c r="F1371" s="434"/>
      <c r="G1371" s="434"/>
    </row>
    <row r="1372" spans="6:7">
      <c r="F1372" s="434"/>
      <c r="G1372" s="434"/>
    </row>
    <row r="1373" spans="6:7">
      <c r="F1373" s="434"/>
      <c r="G1373" s="434"/>
    </row>
    <row r="1374" spans="6:7">
      <c r="F1374" s="434"/>
      <c r="G1374" s="434"/>
    </row>
    <row r="1375" spans="6:7">
      <c r="F1375" s="434"/>
      <c r="G1375" s="434"/>
    </row>
    <row r="1376" spans="6:7">
      <c r="F1376" s="434"/>
      <c r="G1376" s="434"/>
    </row>
    <row r="1377" spans="6:7">
      <c r="F1377" s="434"/>
      <c r="G1377" s="434"/>
    </row>
    <row r="1378" spans="6:7">
      <c r="F1378" s="434"/>
      <c r="G1378" s="434"/>
    </row>
    <row r="1379" spans="6:7">
      <c r="F1379" s="434"/>
      <c r="G1379" s="434"/>
    </row>
    <row r="1380" spans="6:7">
      <c r="F1380" s="434"/>
      <c r="G1380" s="434"/>
    </row>
    <row r="1381" spans="6:7">
      <c r="F1381" s="434"/>
      <c r="G1381" s="434"/>
    </row>
    <row r="1382" spans="6:7">
      <c r="F1382" s="434"/>
      <c r="G1382" s="434"/>
    </row>
    <row r="1383" spans="6:7">
      <c r="F1383" s="434"/>
      <c r="G1383" s="434"/>
    </row>
    <row r="1384" spans="6:7">
      <c r="F1384" s="434"/>
      <c r="G1384" s="434"/>
    </row>
    <row r="1385" spans="6:7">
      <c r="F1385" s="434"/>
      <c r="G1385" s="434"/>
    </row>
    <row r="1386" spans="6:7">
      <c r="F1386" s="434"/>
      <c r="G1386" s="434"/>
    </row>
    <row r="1387" spans="6:7">
      <c r="F1387" s="434"/>
      <c r="G1387" s="434"/>
    </row>
    <row r="1388" spans="6:7">
      <c r="F1388" s="434"/>
      <c r="G1388" s="434"/>
    </row>
    <row r="1389" spans="6:7">
      <c r="F1389" s="434"/>
      <c r="G1389" s="434"/>
    </row>
    <row r="1390" spans="6:7">
      <c r="F1390" s="434"/>
      <c r="G1390" s="434"/>
    </row>
    <row r="1391" spans="6:7">
      <c r="F1391" s="434"/>
      <c r="G1391" s="434"/>
    </row>
    <row r="1392" spans="6:7">
      <c r="F1392" s="434"/>
      <c r="G1392" s="434"/>
    </row>
    <row r="1393" spans="6:7">
      <c r="F1393" s="434"/>
      <c r="G1393" s="434"/>
    </row>
    <row r="1394" spans="6:7">
      <c r="F1394" s="434"/>
      <c r="G1394" s="434"/>
    </row>
    <row r="1395" spans="6:7">
      <c r="F1395" s="434"/>
      <c r="G1395" s="434"/>
    </row>
    <row r="1396" spans="6:7">
      <c r="F1396" s="434"/>
      <c r="G1396" s="434"/>
    </row>
    <row r="1397" spans="6:7">
      <c r="F1397" s="434"/>
      <c r="G1397" s="434"/>
    </row>
    <row r="1398" spans="6:7">
      <c r="F1398" s="434"/>
      <c r="G1398" s="434"/>
    </row>
    <row r="1399" spans="6:7">
      <c r="F1399" s="434"/>
      <c r="G1399" s="434"/>
    </row>
    <row r="1400" spans="6:7">
      <c r="F1400" s="434"/>
      <c r="G1400" s="434"/>
    </row>
    <row r="1401" spans="6:7">
      <c r="F1401" s="434"/>
      <c r="G1401" s="434"/>
    </row>
    <row r="1402" spans="6:7">
      <c r="F1402" s="434"/>
      <c r="G1402" s="434"/>
    </row>
    <row r="1403" spans="6:7">
      <c r="F1403" s="434"/>
      <c r="G1403" s="434"/>
    </row>
    <row r="1404" spans="6:7">
      <c r="F1404" s="434"/>
      <c r="G1404" s="434"/>
    </row>
    <row r="1405" spans="6:7">
      <c r="F1405" s="434"/>
      <c r="G1405" s="434"/>
    </row>
    <row r="1406" spans="6:7">
      <c r="F1406" s="434"/>
      <c r="G1406" s="434"/>
    </row>
    <row r="1407" spans="6:7">
      <c r="F1407" s="434"/>
      <c r="G1407" s="434"/>
    </row>
    <row r="1408" spans="6:7">
      <c r="F1408" s="434"/>
      <c r="G1408" s="434"/>
    </row>
    <row r="1409" spans="6:7">
      <c r="F1409" s="434"/>
      <c r="G1409" s="434"/>
    </row>
    <row r="1410" spans="6:7">
      <c r="F1410" s="434"/>
      <c r="G1410" s="434"/>
    </row>
    <row r="1411" spans="6:7">
      <c r="F1411" s="434"/>
      <c r="G1411" s="434"/>
    </row>
    <row r="1412" spans="6:7">
      <c r="F1412" s="434"/>
      <c r="G1412" s="434"/>
    </row>
    <row r="1413" spans="6:7">
      <c r="F1413" s="434"/>
      <c r="G1413" s="434"/>
    </row>
    <row r="1414" spans="6:7">
      <c r="F1414" s="434"/>
      <c r="G1414" s="434"/>
    </row>
    <row r="1415" spans="6:7">
      <c r="F1415" s="434"/>
      <c r="G1415" s="434"/>
    </row>
    <row r="1416" spans="6:7">
      <c r="F1416" s="434"/>
      <c r="G1416" s="434"/>
    </row>
    <row r="1417" spans="6:7">
      <c r="F1417" s="434"/>
      <c r="G1417" s="434"/>
    </row>
    <row r="1418" spans="6:7">
      <c r="F1418" s="434"/>
      <c r="G1418" s="434"/>
    </row>
    <row r="1419" spans="6:7">
      <c r="F1419" s="434"/>
      <c r="G1419" s="434"/>
    </row>
    <row r="1420" spans="6:7">
      <c r="F1420" s="434"/>
      <c r="G1420" s="434"/>
    </row>
    <row r="1421" spans="6:7">
      <c r="F1421" s="434"/>
      <c r="G1421" s="434"/>
    </row>
    <row r="1422" spans="6:7">
      <c r="F1422" s="434"/>
      <c r="G1422" s="434"/>
    </row>
    <row r="1423" spans="6:7">
      <c r="F1423" s="434"/>
      <c r="G1423" s="434"/>
    </row>
    <row r="1424" spans="6:7">
      <c r="F1424" s="434"/>
      <c r="G1424" s="434"/>
    </row>
    <row r="1425" spans="6:7">
      <c r="F1425" s="434"/>
      <c r="G1425" s="434"/>
    </row>
    <row r="1426" spans="6:7">
      <c r="F1426" s="434"/>
      <c r="G1426" s="434"/>
    </row>
    <row r="1427" spans="6:7">
      <c r="F1427" s="434"/>
      <c r="G1427" s="434"/>
    </row>
    <row r="1428" spans="6:7">
      <c r="F1428" s="434"/>
      <c r="G1428" s="434"/>
    </row>
    <row r="1429" spans="6:7">
      <c r="F1429" s="434"/>
      <c r="G1429" s="434"/>
    </row>
    <row r="1430" spans="6:7">
      <c r="F1430" s="434"/>
      <c r="G1430" s="434"/>
    </row>
    <row r="1431" spans="6:7">
      <c r="F1431" s="434"/>
      <c r="G1431" s="434"/>
    </row>
    <row r="1432" spans="6:7">
      <c r="F1432" s="434"/>
      <c r="G1432" s="434"/>
    </row>
    <row r="1433" spans="6:7">
      <c r="F1433" s="434"/>
      <c r="G1433" s="434"/>
    </row>
    <row r="1434" spans="6:7">
      <c r="F1434" s="434"/>
      <c r="G1434" s="434"/>
    </row>
    <row r="1435" spans="6:7">
      <c r="F1435" s="434"/>
      <c r="G1435" s="434"/>
    </row>
    <row r="1436" spans="6:7">
      <c r="F1436" s="434"/>
      <c r="G1436" s="434"/>
    </row>
    <row r="1437" spans="6:7">
      <c r="F1437" s="434"/>
      <c r="G1437" s="434"/>
    </row>
    <row r="1438" spans="6:7">
      <c r="F1438" s="434"/>
      <c r="G1438" s="434"/>
    </row>
    <row r="1439" spans="6:7">
      <c r="F1439" s="434"/>
      <c r="G1439" s="434"/>
    </row>
    <row r="1440" spans="6:7">
      <c r="F1440" s="434"/>
      <c r="G1440" s="434"/>
    </row>
    <row r="1441" spans="6:7">
      <c r="F1441" s="434"/>
      <c r="G1441" s="434"/>
    </row>
    <row r="1442" spans="6:7">
      <c r="F1442" s="434"/>
      <c r="G1442" s="434"/>
    </row>
    <row r="1443" spans="6:7">
      <c r="F1443" s="434"/>
      <c r="G1443" s="434"/>
    </row>
    <row r="1444" spans="6:7">
      <c r="F1444" s="434"/>
      <c r="G1444" s="434"/>
    </row>
    <row r="1445" spans="6:7">
      <c r="F1445" s="434"/>
      <c r="G1445" s="434"/>
    </row>
    <row r="1446" spans="6:7">
      <c r="F1446" s="434"/>
      <c r="G1446" s="434"/>
    </row>
    <row r="1447" spans="6:7">
      <c r="F1447" s="434"/>
      <c r="G1447" s="434"/>
    </row>
    <row r="1448" spans="6:7">
      <c r="F1448" s="434"/>
      <c r="G1448" s="434"/>
    </row>
    <row r="1449" spans="6:7">
      <c r="F1449" s="434"/>
      <c r="G1449" s="434"/>
    </row>
    <row r="1450" spans="6:7">
      <c r="F1450" s="434"/>
      <c r="G1450" s="434"/>
    </row>
    <row r="1451" spans="6:7">
      <c r="F1451" s="434"/>
      <c r="G1451" s="434"/>
    </row>
    <row r="1452" spans="6:7">
      <c r="F1452" s="434"/>
      <c r="G1452" s="434"/>
    </row>
    <row r="1453" spans="6:7">
      <c r="F1453" s="434"/>
      <c r="G1453" s="434"/>
    </row>
    <row r="1454" spans="6:7">
      <c r="F1454" s="434"/>
      <c r="G1454" s="434"/>
    </row>
    <row r="1455" spans="6:7">
      <c r="F1455" s="434"/>
      <c r="G1455" s="434"/>
    </row>
    <row r="1456" spans="6:7">
      <c r="F1456" s="434"/>
      <c r="G1456" s="434"/>
    </row>
    <row r="1457" spans="6:7">
      <c r="F1457" s="434"/>
      <c r="G1457" s="434"/>
    </row>
    <row r="1458" spans="6:7">
      <c r="F1458" s="434"/>
      <c r="G1458" s="434"/>
    </row>
    <row r="1459" spans="6:7">
      <c r="F1459" s="434"/>
      <c r="G1459" s="434"/>
    </row>
    <row r="1460" spans="6:7">
      <c r="F1460" s="434"/>
      <c r="G1460" s="434"/>
    </row>
    <row r="1461" spans="6:7">
      <c r="F1461" s="434"/>
      <c r="G1461" s="434"/>
    </row>
    <row r="1462" spans="6:7">
      <c r="F1462" s="434"/>
      <c r="G1462" s="434"/>
    </row>
    <row r="1463" spans="6:7">
      <c r="F1463" s="434"/>
      <c r="G1463" s="434"/>
    </row>
    <row r="1464" spans="6:7">
      <c r="F1464" s="434"/>
      <c r="G1464" s="434"/>
    </row>
    <row r="1465" spans="6:7">
      <c r="F1465" s="434"/>
      <c r="G1465" s="434"/>
    </row>
    <row r="1466" spans="6:7">
      <c r="F1466" s="434"/>
      <c r="G1466" s="434"/>
    </row>
    <row r="1467" spans="6:7">
      <c r="F1467" s="434"/>
      <c r="G1467" s="434"/>
    </row>
    <row r="1468" spans="6:7">
      <c r="F1468" s="434"/>
      <c r="G1468" s="434"/>
    </row>
    <row r="1469" spans="6:7">
      <c r="F1469" s="434"/>
      <c r="G1469" s="434"/>
    </row>
    <row r="1470" spans="6:7">
      <c r="F1470" s="434"/>
      <c r="G1470" s="434"/>
    </row>
    <row r="1471" spans="6:7">
      <c r="F1471" s="434"/>
      <c r="G1471" s="434"/>
    </row>
    <row r="1472" spans="6:7">
      <c r="F1472" s="434"/>
      <c r="G1472" s="434"/>
    </row>
    <row r="1473" spans="6:7">
      <c r="F1473" s="434"/>
      <c r="G1473" s="434"/>
    </row>
    <row r="1474" spans="6:7">
      <c r="F1474" s="434"/>
      <c r="G1474" s="434"/>
    </row>
    <row r="1475" spans="6:7">
      <c r="F1475" s="434"/>
      <c r="G1475" s="434"/>
    </row>
    <row r="1476" spans="6:7">
      <c r="F1476" s="434"/>
      <c r="G1476" s="434"/>
    </row>
    <row r="1477" spans="6:7">
      <c r="F1477" s="434"/>
      <c r="G1477" s="434"/>
    </row>
    <row r="1478" spans="6:7">
      <c r="F1478" s="434"/>
      <c r="G1478" s="434"/>
    </row>
    <row r="1479" spans="6:7">
      <c r="F1479" s="434"/>
      <c r="G1479" s="434"/>
    </row>
    <row r="1480" spans="6:7">
      <c r="F1480" s="434"/>
      <c r="G1480" s="434"/>
    </row>
    <row r="1481" spans="6:7">
      <c r="F1481" s="434"/>
      <c r="G1481" s="434"/>
    </row>
    <row r="1482" spans="6:7">
      <c r="F1482" s="434"/>
      <c r="G1482" s="434"/>
    </row>
    <row r="1483" spans="6:7">
      <c r="F1483" s="434"/>
      <c r="G1483" s="434"/>
    </row>
    <row r="1484" spans="6:7">
      <c r="F1484" s="434"/>
      <c r="G1484" s="434"/>
    </row>
    <row r="1485" spans="6:7">
      <c r="F1485" s="434"/>
      <c r="G1485" s="434"/>
    </row>
    <row r="1486" spans="6:7">
      <c r="F1486" s="434"/>
      <c r="G1486" s="434"/>
    </row>
    <row r="1487" spans="6:7">
      <c r="F1487" s="434"/>
      <c r="G1487" s="434"/>
    </row>
    <row r="1488" spans="6:7">
      <c r="F1488" s="434"/>
      <c r="G1488" s="434"/>
    </row>
    <row r="1489" spans="6:7">
      <c r="F1489" s="434"/>
      <c r="G1489" s="434"/>
    </row>
    <row r="1490" spans="6:7">
      <c r="F1490" s="434"/>
      <c r="G1490" s="434"/>
    </row>
    <row r="1491" spans="6:7">
      <c r="F1491" s="434"/>
      <c r="G1491" s="434"/>
    </row>
    <row r="1492" spans="6:7">
      <c r="F1492" s="434"/>
      <c r="G1492" s="434"/>
    </row>
    <row r="1493" spans="6:7">
      <c r="F1493" s="434"/>
      <c r="G1493" s="434"/>
    </row>
    <row r="1494" spans="6:7">
      <c r="F1494" s="434"/>
      <c r="G1494" s="434"/>
    </row>
    <row r="1495" spans="6:7">
      <c r="F1495" s="434"/>
      <c r="G1495" s="434"/>
    </row>
    <row r="1496" spans="6:7">
      <c r="F1496" s="434"/>
      <c r="G1496" s="434"/>
    </row>
    <row r="1497" spans="6:7">
      <c r="F1497" s="434"/>
      <c r="G1497" s="434"/>
    </row>
    <row r="1498" spans="6:7">
      <c r="F1498" s="434"/>
      <c r="G1498" s="434"/>
    </row>
    <row r="1499" spans="6:7">
      <c r="F1499" s="434"/>
      <c r="G1499" s="434"/>
    </row>
    <row r="1500" spans="6:7">
      <c r="F1500" s="434"/>
      <c r="G1500" s="434"/>
    </row>
    <row r="1501" spans="6:7">
      <c r="F1501" s="434"/>
      <c r="G1501" s="434"/>
    </row>
    <row r="1502" spans="6:7">
      <c r="F1502" s="434"/>
      <c r="G1502" s="434"/>
    </row>
    <row r="1503" spans="6:7">
      <c r="F1503" s="434"/>
      <c r="G1503" s="434"/>
    </row>
    <row r="1504" spans="6:7">
      <c r="F1504" s="434"/>
      <c r="G1504" s="434"/>
    </row>
    <row r="1505" spans="6:7">
      <c r="F1505" s="434"/>
      <c r="G1505" s="434"/>
    </row>
    <row r="1506" spans="6:7">
      <c r="F1506" s="434"/>
      <c r="G1506" s="434"/>
    </row>
    <row r="1507" spans="6:7">
      <c r="F1507" s="434"/>
      <c r="G1507" s="434"/>
    </row>
    <row r="1508" spans="6:7">
      <c r="F1508" s="434"/>
      <c r="G1508" s="434"/>
    </row>
    <row r="1509" spans="6:7">
      <c r="F1509" s="434"/>
      <c r="G1509" s="434"/>
    </row>
    <row r="1510" spans="6:7">
      <c r="F1510" s="434"/>
      <c r="G1510" s="434"/>
    </row>
    <row r="1511" spans="6:7">
      <c r="F1511" s="434"/>
      <c r="G1511" s="434"/>
    </row>
    <row r="1512" spans="6:7">
      <c r="F1512" s="434"/>
      <c r="G1512" s="434"/>
    </row>
    <row r="1513" spans="6:7">
      <c r="F1513" s="434"/>
      <c r="G1513" s="434"/>
    </row>
    <row r="1514" spans="6:7">
      <c r="F1514" s="434"/>
      <c r="G1514" s="434"/>
    </row>
    <row r="1515" spans="6:7">
      <c r="F1515" s="434"/>
      <c r="G1515" s="434"/>
    </row>
    <row r="1516" spans="6:7">
      <c r="F1516" s="434"/>
      <c r="G1516" s="434"/>
    </row>
    <row r="1517" spans="6:7">
      <c r="F1517" s="434"/>
      <c r="G1517" s="434"/>
    </row>
    <row r="1518" spans="6:7">
      <c r="F1518" s="434"/>
      <c r="G1518" s="434"/>
    </row>
    <row r="1519" spans="6:7">
      <c r="F1519" s="434"/>
      <c r="G1519" s="434"/>
    </row>
    <row r="1520" spans="6:7">
      <c r="F1520" s="434"/>
      <c r="G1520" s="434"/>
    </row>
    <row r="1521" spans="6:7">
      <c r="F1521" s="434"/>
      <c r="G1521" s="434"/>
    </row>
    <row r="1522" spans="6:7">
      <c r="F1522" s="434"/>
      <c r="G1522" s="434"/>
    </row>
    <row r="1523" spans="6:7">
      <c r="F1523" s="434"/>
      <c r="G1523" s="434"/>
    </row>
    <row r="1524" spans="6:7">
      <c r="F1524" s="434"/>
      <c r="G1524" s="434"/>
    </row>
    <row r="1525" spans="6:7">
      <c r="F1525" s="434"/>
      <c r="G1525" s="434"/>
    </row>
    <row r="1526" spans="6:7">
      <c r="F1526" s="434"/>
      <c r="G1526" s="434"/>
    </row>
    <row r="1527" spans="6:7">
      <c r="F1527" s="434"/>
      <c r="G1527" s="434"/>
    </row>
    <row r="1528" spans="6:7">
      <c r="F1528" s="434"/>
      <c r="G1528" s="434"/>
    </row>
    <row r="1529" spans="6:7">
      <c r="F1529" s="434"/>
      <c r="G1529" s="434"/>
    </row>
    <row r="1530" spans="6:7">
      <c r="F1530" s="434"/>
      <c r="G1530" s="434"/>
    </row>
    <row r="1531" spans="6:7">
      <c r="F1531" s="434"/>
      <c r="G1531" s="434"/>
    </row>
    <row r="1532" spans="6:7">
      <c r="F1532" s="434"/>
      <c r="G1532" s="434"/>
    </row>
    <row r="1533" spans="6:7">
      <c r="F1533" s="434"/>
      <c r="G1533" s="434"/>
    </row>
    <row r="1534" spans="6:7">
      <c r="F1534" s="434"/>
      <c r="G1534" s="434"/>
    </row>
    <row r="1535" spans="6:7">
      <c r="F1535" s="434"/>
      <c r="G1535" s="434"/>
    </row>
    <row r="1536" spans="6:7">
      <c r="F1536" s="434"/>
      <c r="G1536" s="434"/>
    </row>
    <row r="1537" spans="6:7">
      <c r="F1537" s="434"/>
      <c r="G1537" s="434"/>
    </row>
    <row r="1538" spans="6:7">
      <c r="F1538" s="434"/>
      <c r="G1538" s="434"/>
    </row>
    <row r="1539" spans="6:7">
      <c r="F1539" s="434"/>
      <c r="G1539" s="434"/>
    </row>
    <row r="1540" spans="6:7">
      <c r="F1540" s="434"/>
      <c r="G1540" s="434"/>
    </row>
    <row r="1541" spans="6:7">
      <c r="F1541" s="434"/>
      <c r="G1541" s="434"/>
    </row>
    <row r="1542" spans="6:7">
      <c r="F1542" s="434"/>
      <c r="G1542" s="434"/>
    </row>
    <row r="1543" spans="6:7">
      <c r="F1543" s="434"/>
      <c r="G1543" s="434"/>
    </row>
    <row r="1544" spans="6:7">
      <c r="F1544" s="434"/>
      <c r="G1544" s="434"/>
    </row>
    <row r="1545" spans="6:7">
      <c r="F1545" s="434"/>
      <c r="G1545" s="434"/>
    </row>
    <row r="1546" spans="6:7">
      <c r="F1546" s="434"/>
      <c r="G1546" s="434"/>
    </row>
    <row r="1547" spans="6:7">
      <c r="F1547" s="434"/>
      <c r="G1547" s="434"/>
    </row>
    <row r="1548" spans="6:7">
      <c r="F1548" s="434"/>
      <c r="G1548" s="434"/>
    </row>
    <row r="1549" spans="6:7">
      <c r="F1549" s="434"/>
      <c r="G1549" s="434"/>
    </row>
    <row r="1550" spans="6:7">
      <c r="F1550" s="434"/>
      <c r="G1550" s="434"/>
    </row>
    <row r="1551" spans="6:7">
      <c r="F1551" s="434"/>
      <c r="G1551" s="434"/>
    </row>
    <row r="1552" spans="6:7">
      <c r="F1552" s="434"/>
      <c r="G1552" s="434"/>
    </row>
    <row r="1553" spans="6:7">
      <c r="F1553" s="434"/>
      <c r="G1553" s="434"/>
    </row>
    <row r="1554" spans="6:7">
      <c r="F1554" s="434"/>
      <c r="G1554" s="434"/>
    </row>
    <row r="1555" spans="6:7">
      <c r="F1555" s="434"/>
      <c r="G1555" s="434"/>
    </row>
    <row r="1556" spans="6:7">
      <c r="F1556" s="434"/>
      <c r="G1556" s="434"/>
    </row>
    <row r="1557" spans="6:7">
      <c r="F1557" s="434"/>
      <c r="G1557" s="434"/>
    </row>
    <row r="1558" spans="6:7">
      <c r="F1558" s="434"/>
      <c r="G1558" s="434"/>
    </row>
    <row r="1559" spans="6:7">
      <c r="F1559" s="434"/>
      <c r="G1559" s="434"/>
    </row>
    <row r="1560" spans="6:7">
      <c r="F1560" s="434"/>
      <c r="G1560" s="434"/>
    </row>
    <row r="1561" spans="6:7">
      <c r="F1561" s="434"/>
      <c r="G1561" s="434"/>
    </row>
    <row r="1562" spans="6:7">
      <c r="F1562" s="434"/>
      <c r="G1562" s="434"/>
    </row>
    <row r="1563" spans="6:7">
      <c r="F1563" s="434"/>
      <c r="G1563" s="434"/>
    </row>
    <row r="1564" spans="6:7">
      <c r="F1564" s="434"/>
      <c r="G1564" s="434"/>
    </row>
    <row r="1565" spans="6:7">
      <c r="F1565" s="434"/>
      <c r="G1565" s="434"/>
    </row>
    <row r="1566" spans="6:7">
      <c r="F1566" s="434"/>
      <c r="G1566" s="434"/>
    </row>
    <row r="1567" spans="6:7">
      <c r="F1567" s="434"/>
      <c r="G1567" s="434"/>
    </row>
    <row r="1568" spans="6:7">
      <c r="F1568" s="434"/>
      <c r="G1568" s="434"/>
    </row>
    <row r="1569" spans="6:7">
      <c r="F1569" s="434"/>
      <c r="G1569" s="434"/>
    </row>
    <row r="1570" spans="6:7">
      <c r="F1570" s="434"/>
      <c r="G1570" s="434"/>
    </row>
    <row r="1571" spans="6:7">
      <c r="F1571" s="434"/>
      <c r="G1571" s="434"/>
    </row>
    <row r="1572" spans="6:7">
      <c r="F1572" s="434"/>
      <c r="G1572" s="434"/>
    </row>
    <row r="1573" spans="6:7">
      <c r="F1573" s="434"/>
      <c r="G1573" s="434"/>
    </row>
    <row r="1574" spans="6:7">
      <c r="F1574" s="434"/>
      <c r="G1574" s="434"/>
    </row>
    <row r="1575" spans="6:7">
      <c r="F1575" s="434"/>
      <c r="G1575" s="434"/>
    </row>
    <row r="1576" spans="6:7">
      <c r="F1576" s="434"/>
      <c r="G1576" s="434"/>
    </row>
    <row r="1577" spans="6:7">
      <c r="F1577" s="434"/>
      <c r="G1577" s="434"/>
    </row>
    <row r="1578" spans="6:7">
      <c r="F1578" s="434"/>
      <c r="G1578" s="434"/>
    </row>
    <row r="1579" spans="6:7">
      <c r="F1579" s="434"/>
      <c r="G1579" s="434"/>
    </row>
    <row r="1580" spans="6:7">
      <c r="F1580" s="434"/>
      <c r="G1580" s="434"/>
    </row>
    <row r="1581" spans="6:7">
      <c r="F1581" s="434"/>
      <c r="G1581" s="434"/>
    </row>
    <row r="1582" spans="6:7">
      <c r="F1582" s="434"/>
      <c r="G1582" s="434"/>
    </row>
    <row r="1583" spans="6:7">
      <c r="F1583" s="434"/>
      <c r="G1583" s="434"/>
    </row>
    <row r="1584" spans="6:7">
      <c r="F1584" s="434"/>
      <c r="G1584" s="434"/>
    </row>
    <row r="1585" spans="6:7">
      <c r="F1585" s="434"/>
      <c r="G1585" s="434"/>
    </row>
    <row r="1586" spans="6:7">
      <c r="F1586" s="434"/>
      <c r="G1586" s="434"/>
    </row>
    <row r="1587" spans="6:7">
      <c r="F1587" s="434"/>
      <c r="G1587" s="434"/>
    </row>
    <row r="1588" spans="6:7">
      <c r="F1588" s="434"/>
      <c r="G1588" s="434"/>
    </row>
    <row r="1589" spans="6:7">
      <c r="F1589" s="434"/>
      <c r="G1589" s="434"/>
    </row>
    <row r="1590" spans="6:7">
      <c r="F1590" s="434"/>
      <c r="G1590" s="434"/>
    </row>
    <row r="1591" spans="6:7">
      <c r="F1591" s="434"/>
      <c r="G1591" s="434"/>
    </row>
    <row r="1592" spans="6:7">
      <c r="F1592" s="434"/>
      <c r="G1592" s="434"/>
    </row>
    <row r="1593" spans="6:7">
      <c r="F1593" s="434"/>
      <c r="G1593" s="434"/>
    </row>
    <row r="1594" spans="6:7">
      <c r="F1594" s="434"/>
      <c r="G1594" s="434"/>
    </row>
    <row r="1595" spans="6:7">
      <c r="F1595" s="434"/>
      <c r="G1595" s="434"/>
    </row>
    <row r="1596" spans="6:7">
      <c r="F1596" s="434"/>
      <c r="G1596" s="434"/>
    </row>
    <row r="1597" spans="6:7">
      <c r="F1597" s="434"/>
      <c r="G1597" s="434"/>
    </row>
    <row r="1598" spans="6:7">
      <c r="F1598" s="434"/>
      <c r="G1598" s="434"/>
    </row>
    <row r="1599" spans="6:7">
      <c r="F1599" s="434"/>
      <c r="G1599" s="434"/>
    </row>
    <row r="1600" spans="6:7">
      <c r="F1600" s="434"/>
      <c r="G1600" s="434"/>
    </row>
    <row r="1601" spans="6:7">
      <c r="F1601" s="434"/>
      <c r="G1601" s="434"/>
    </row>
    <row r="1602" spans="6:7">
      <c r="F1602" s="434"/>
      <c r="G1602" s="434"/>
    </row>
    <row r="1603" spans="6:7">
      <c r="F1603" s="434"/>
      <c r="G1603" s="434"/>
    </row>
    <row r="1604" spans="6:7">
      <c r="F1604" s="434"/>
      <c r="G1604" s="434"/>
    </row>
    <row r="1605" spans="6:7">
      <c r="F1605" s="434"/>
      <c r="G1605" s="434"/>
    </row>
    <row r="1606" spans="6:7">
      <c r="F1606" s="434"/>
      <c r="G1606" s="434"/>
    </row>
    <row r="1607" spans="6:7">
      <c r="F1607" s="434"/>
      <c r="G1607" s="434"/>
    </row>
    <row r="1608" spans="6:7">
      <c r="F1608" s="434"/>
      <c r="G1608" s="434"/>
    </row>
    <row r="1609" spans="6:7">
      <c r="F1609" s="434"/>
      <c r="G1609" s="434"/>
    </row>
    <row r="1610" spans="6:7">
      <c r="F1610" s="434"/>
      <c r="G1610" s="434"/>
    </row>
    <row r="1611" spans="6:7">
      <c r="F1611" s="434"/>
      <c r="G1611" s="434"/>
    </row>
    <row r="1612" spans="6:7">
      <c r="F1612" s="434"/>
      <c r="G1612" s="434"/>
    </row>
    <row r="1613" spans="6:7">
      <c r="F1613" s="434"/>
      <c r="G1613" s="434"/>
    </row>
    <row r="1614" spans="6:7">
      <c r="F1614" s="434"/>
      <c r="G1614" s="434"/>
    </row>
    <row r="1615" spans="6:7">
      <c r="F1615" s="434"/>
      <c r="G1615" s="434"/>
    </row>
    <row r="1616" spans="6:7">
      <c r="F1616" s="434"/>
      <c r="G1616" s="434"/>
    </row>
    <row r="1617" spans="6:7">
      <c r="F1617" s="434"/>
      <c r="G1617" s="434"/>
    </row>
    <row r="1618" spans="6:7">
      <c r="F1618" s="434"/>
      <c r="G1618" s="434"/>
    </row>
    <row r="1619" spans="6:7">
      <c r="F1619" s="434"/>
      <c r="G1619" s="434"/>
    </row>
    <row r="1620" spans="6:7">
      <c r="F1620" s="434"/>
      <c r="G1620" s="434"/>
    </row>
    <row r="1621" spans="6:7">
      <c r="F1621" s="434"/>
      <c r="G1621" s="434"/>
    </row>
    <row r="1622" spans="6:7">
      <c r="F1622" s="434"/>
      <c r="G1622" s="434"/>
    </row>
    <row r="1623" spans="6:7">
      <c r="F1623" s="434"/>
      <c r="G1623" s="434"/>
    </row>
    <row r="1624" spans="6:7">
      <c r="F1624" s="434"/>
      <c r="G1624" s="434"/>
    </row>
    <row r="1625" spans="6:7">
      <c r="F1625" s="434"/>
      <c r="G1625" s="434"/>
    </row>
    <row r="1626" spans="6:7">
      <c r="F1626" s="434"/>
      <c r="G1626" s="434"/>
    </row>
    <row r="1627" spans="6:7">
      <c r="F1627" s="434"/>
      <c r="G1627" s="434"/>
    </row>
    <row r="1628" spans="6:7">
      <c r="F1628" s="434"/>
      <c r="G1628" s="434"/>
    </row>
    <row r="1629" spans="6:7">
      <c r="F1629" s="434"/>
      <c r="G1629" s="434"/>
    </row>
    <row r="1630" spans="6:7">
      <c r="F1630" s="434"/>
      <c r="G1630" s="434"/>
    </row>
    <row r="1631" spans="6:7">
      <c r="F1631" s="434"/>
      <c r="G1631" s="434"/>
    </row>
    <row r="1632" spans="6:7">
      <c r="F1632" s="434"/>
      <c r="G1632" s="434"/>
    </row>
    <row r="1633" spans="6:7">
      <c r="F1633" s="434"/>
      <c r="G1633" s="434"/>
    </row>
    <row r="1634" spans="6:7">
      <c r="F1634" s="434"/>
      <c r="G1634" s="434"/>
    </row>
    <row r="1635" spans="6:7">
      <c r="F1635" s="434"/>
      <c r="G1635" s="434"/>
    </row>
    <row r="1636" spans="6:7">
      <c r="F1636" s="434"/>
      <c r="G1636" s="434"/>
    </row>
    <row r="1637" spans="6:7">
      <c r="F1637" s="434"/>
      <c r="G1637" s="434"/>
    </row>
    <row r="1638" spans="6:7">
      <c r="F1638" s="434"/>
      <c r="G1638" s="434"/>
    </row>
    <row r="1639" spans="6:7">
      <c r="F1639" s="434"/>
      <c r="G1639" s="434"/>
    </row>
    <row r="1640" spans="6:7">
      <c r="F1640" s="434"/>
      <c r="G1640" s="434"/>
    </row>
    <row r="1641" spans="6:7">
      <c r="F1641" s="434"/>
      <c r="G1641" s="434"/>
    </row>
    <row r="1642" spans="6:7">
      <c r="F1642" s="434"/>
      <c r="G1642" s="434"/>
    </row>
    <row r="1643" spans="6:7">
      <c r="F1643" s="434"/>
      <c r="G1643" s="434"/>
    </row>
    <row r="1644" spans="6:7">
      <c r="F1644" s="434"/>
      <c r="G1644" s="434"/>
    </row>
    <row r="1645" spans="6:7">
      <c r="F1645" s="434"/>
      <c r="G1645" s="434"/>
    </row>
    <row r="1646" spans="6:7">
      <c r="F1646" s="434"/>
      <c r="G1646" s="434"/>
    </row>
    <row r="1647" spans="6:7">
      <c r="F1647" s="434"/>
      <c r="G1647" s="434"/>
    </row>
    <row r="1648" spans="6:7">
      <c r="F1648" s="434"/>
      <c r="G1648" s="434"/>
    </row>
    <row r="1649" spans="6:7">
      <c r="F1649" s="434"/>
      <c r="G1649" s="434"/>
    </row>
    <row r="1650" spans="6:7">
      <c r="F1650" s="434"/>
      <c r="G1650" s="434"/>
    </row>
    <row r="1651" spans="6:7">
      <c r="F1651" s="434"/>
      <c r="G1651" s="434"/>
    </row>
    <row r="1652" spans="6:7">
      <c r="F1652" s="434"/>
      <c r="G1652" s="434"/>
    </row>
    <row r="1653" spans="6:7">
      <c r="F1653" s="434"/>
      <c r="G1653" s="434"/>
    </row>
    <row r="1654" spans="6:7">
      <c r="F1654" s="434"/>
      <c r="G1654" s="434"/>
    </row>
    <row r="1655" spans="6:7">
      <c r="F1655" s="434"/>
      <c r="G1655" s="434"/>
    </row>
    <row r="1656" spans="6:7">
      <c r="F1656" s="434"/>
      <c r="G1656" s="434"/>
    </row>
    <row r="1657" spans="6:7">
      <c r="F1657" s="434"/>
      <c r="G1657" s="434"/>
    </row>
    <row r="1658" spans="6:7">
      <c r="F1658" s="434"/>
      <c r="G1658" s="434"/>
    </row>
    <row r="1659" spans="6:7">
      <c r="F1659" s="434"/>
      <c r="G1659" s="434"/>
    </row>
    <row r="1660" spans="6:7">
      <c r="F1660" s="434"/>
      <c r="G1660" s="434"/>
    </row>
    <row r="1661" spans="6:7">
      <c r="F1661" s="434"/>
      <c r="G1661" s="434"/>
    </row>
    <row r="1662" spans="6:7">
      <c r="F1662" s="434"/>
      <c r="G1662" s="434"/>
    </row>
    <row r="1663" spans="6:7">
      <c r="F1663" s="434"/>
      <c r="G1663" s="434"/>
    </row>
    <row r="1664" spans="6:7">
      <c r="F1664" s="434"/>
      <c r="G1664" s="434"/>
    </row>
    <row r="1665" spans="6:7">
      <c r="F1665" s="434"/>
      <c r="G1665" s="434"/>
    </row>
    <row r="1666" spans="6:7">
      <c r="F1666" s="434"/>
      <c r="G1666" s="434"/>
    </row>
    <row r="1667" spans="6:7">
      <c r="F1667" s="434"/>
      <c r="G1667" s="434"/>
    </row>
    <row r="1668" spans="6:7">
      <c r="F1668" s="434"/>
      <c r="G1668" s="434"/>
    </row>
    <row r="1669" spans="6:7">
      <c r="F1669" s="434"/>
      <c r="G1669" s="434"/>
    </row>
    <row r="1670" spans="6:7">
      <c r="F1670" s="434"/>
      <c r="G1670" s="434"/>
    </row>
    <row r="1671" spans="6:7">
      <c r="F1671" s="434"/>
      <c r="G1671" s="434"/>
    </row>
    <row r="1672" spans="6:7">
      <c r="F1672" s="434"/>
      <c r="G1672" s="434"/>
    </row>
    <row r="1673" spans="6:7">
      <c r="F1673" s="434"/>
      <c r="G1673" s="434"/>
    </row>
    <row r="1674" spans="6:7">
      <c r="F1674" s="434"/>
      <c r="G1674" s="434"/>
    </row>
    <row r="1675" spans="6:7">
      <c r="F1675" s="434"/>
      <c r="G1675" s="434"/>
    </row>
    <row r="1676" spans="6:7">
      <c r="F1676" s="434"/>
      <c r="G1676" s="434"/>
    </row>
    <row r="1677" spans="6:7">
      <c r="F1677" s="434"/>
      <c r="G1677" s="434"/>
    </row>
    <row r="1678" spans="6:7">
      <c r="F1678" s="434"/>
      <c r="G1678" s="434"/>
    </row>
    <row r="1679" spans="6:7">
      <c r="F1679" s="434"/>
      <c r="G1679" s="434"/>
    </row>
    <row r="1680" spans="6:7">
      <c r="F1680" s="434"/>
      <c r="G1680" s="434"/>
    </row>
    <row r="1681" spans="6:7">
      <c r="F1681" s="434"/>
      <c r="G1681" s="434"/>
    </row>
    <row r="1682" spans="6:7">
      <c r="F1682" s="434"/>
      <c r="G1682" s="434"/>
    </row>
    <row r="1683" spans="6:7">
      <c r="F1683" s="434"/>
      <c r="G1683" s="434"/>
    </row>
    <row r="1684" spans="6:7">
      <c r="F1684" s="434"/>
      <c r="G1684" s="434"/>
    </row>
    <row r="1685" spans="6:7">
      <c r="F1685" s="434"/>
      <c r="G1685" s="434"/>
    </row>
    <row r="1686" spans="6:7">
      <c r="F1686" s="434"/>
      <c r="G1686" s="434"/>
    </row>
    <row r="1687" spans="6:7">
      <c r="F1687" s="434"/>
      <c r="G1687" s="434"/>
    </row>
    <row r="1688" spans="6:7">
      <c r="F1688" s="434"/>
      <c r="G1688" s="434"/>
    </row>
    <row r="1689" spans="6:7">
      <c r="F1689" s="434"/>
      <c r="G1689" s="434"/>
    </row>
    <row r="1690" spans="6:7">
      <c r="F1690" s="434"/>
      <c r="G1690" s="434"/>
    </row>
    <row r="1691" spans="6:7">
      <c r="F1691" s="434"/>
      <c r="G1691" s="434"/>
    </row>
    <row r="1692" spans="6:7">
      <c r="F1692" s="434"/>
      <c r="G1692" s="434"/>
    </row>
    <row r="1693" spans="6:7">
      <c r="F1693" s="434"/>
      <c r="G1693" s="434"/>
    </row>
    <row r="1694" spans="6:7">
      <c r="F1694" s="434"/>
      <c r="G1694" s="434"/>
    </row>
    <row r="1695" spans="6:7">
      <c r="F1695" s="434"/>
      <c r="G1695" s="434"/>
    </row>
    <row r="1696" spans="6:7">
      <c r="F1696" s="434"/>
      <c r="G1696" s="434"/>
    </row>
    <row r="1697" spans="6:7">
      <c r="F1697" s="434"/>
      <c r="G1697" s="434"/>
    </row>
    <row r="1698" spans="6:7">
      <c r="F1698" s="434"/>
      <c r="G1698" s="434"/>
    </row>
    <row r="1699" spans="6:7">
      <c r="F1699" s="434"/>
      <c r="G1699" s="434"/>
    </row>
    <row r="1700" spans="6:7">
      <c r="F1700" s="434"/>
      <c r="G1700" s="434"/>
    </row>
    <row r="1701" spans="6:7">
      <c r="F1701" s="434"/>
      <c r="G1701" s="434"/>
    </row>
    <row r="1702" spans="6:7">
      <c r="F1702" s="434"/>
      <c r="G1702" s="434"/>
    </row>
    <row r="1703" spans="6:7">
      <c r="F1703" s="434"/>
      <c r="G1703" s="434"/>
    </row>
    <row r="1704" spans="6:7">
      <c r="F1704" s="434"/>
      <c r="G1704" s="434"/>
    </row>
    <row r="1705" spans="6:7">
      <c r="F1705" s="434"/>
      <c r="G1705" s="434"/>
    </row>
    <row r="1706" spans="6:7">
      <c r="F1706" s="434"/>
      <c r="G1706" s="434"/>
    </row>
    <row r="1707" spans="6:7">
      <c r="F1707" s="434"/>
      <c r="G1707" s="434"/>
    </row>
    <row r="1708" spans="6:7">
      <c r="F1708" s="434"/>
      <c r="G1708" s="434"/>
    </row>
    <row r="1709" spans="6:7">
      <c r="F1709" s="434"/>
      <c r="G1709" s="434"/>
    </row>
    <row r="1710" spans="6:7">
      <c r="F1710" s="434"/>
      <c r="G1710" s="434"/>
    </row>
    <row r="1711" spans="6:7">
      <c r="F1711" s="434"/>
      <c r="G1711" s="434"/>
    </row>
    <row r="1712" spans="6:7">
      <c r="F1712" s="434"/>
      <c r="G1712" s="434"/>
    </row>
    <row r="1713" spans="6:7">
      <c r="F1713" s="434"/>
      <c r="G1713" s="434"/>
    </row>
    <row r="1714" spans="6:7">
      <c r="F1714" s="434"/>
      <c r="G1714" s="434"/>
    </row>
    <row r="1715" spans="6:7">
      <c r="F1715" s="434"/>
      <c r="G1715" s="434"/>
    </row>
    <row r="1716" spans="6:7">
      <c r="F1716" s="434"/>
      <c r="G1716" s="434"/>
    </row>
    <row r="1717" spans="6:7">
      <c r="F1717" s="434"/>
      <c r="G1717" s="434"/>
    </row>
    <row r="1718" spans="6:7">
      <c r="F1718" s="434"/>
      <c r="G1718" s="434"/>
    </row>
    <row r="1719" spans="6:7">
      <c r="F1719" s="434"/>
      <c r="G1719" s="434"/>
    </row>
    <row r="1720" spans="6:7">
      <c r="F1720" s="434"/>
      <c r="G1720" s="434"/>
    </row>
    <row r="1721" spans="6:7">
      <c r="F1721" s="434"/>
      <c r="G1721" s="434"/>
    </row>
    <row r="1722" spans="6:7">
      <c r="F1722" s="434"/>
      <c r="G1722" s="434"/>
    </row>
    <row r="1723" spans="6:7">
      <c r="F1723" s="434"/>
      <c r="G1723" s="434"/>
    </row>
    <row r="1724" spans="6:7">
      <c r="F1724" s="434"/>
      <c r="G1724" s="434"/>
    </row>
    <row r="1725" spans="6:7">
      <c r="F1725" s="434"/>
      <c r="G1725" s="434"/>
    </row>
    <row r="1726" spans="6:7">
      <c r="F1726" s="434"/>
      <c r="G1726" s="434"/>
    </row>
    <row r="1727" spans="6:7">
      <c r="F1727" s="434"/>
      <c r="G1727" s="434"/>
    </row>
    <row r="1728" spans="6:7">
      <c r="F1728" s="434"/>
      <c r="G1728" s="434"/>
    </row>
    <row r="1729" spans="6:7">
      <c r="F1729" s="434"/>
      <c r="G1729" s="434"/>
    </row>
    <row r="1730" spans="6:7">
      <c r="F1730" s="434"/>
      <c r="G1730" s="434"/>
    </row>
    <row r="1731" spans="6:7">
      <c r="F1731" s="434"/>
      <c r="G1731" s="434"/>
    </row>
    <row r="1732" spans="6:7">
      <c r="F1732" s="434"/>
      <c r="G1732" s="434"/>
    </row>
    <row r="1733" spans="6:7">
      <c r="F1733" s="434"/>
      <c r="G1733" s="434"/>
    </row>
    <row r="1734" spans="6:7">
      <c r="F1734" s="434"/>
      <c r="G1734" s="434"/>
    </row>
    <row r="1735" spans="6:7">
      <c r="F1735" s="434"/>
      <c r="G1735" s="434"/>
    </row>
    <row r="1736" spans="6:7">
      <c r="F1736" s="434"/>
      <c r="G1736" s="434"/>
    </row>
    <row r="1737" spans="6:7">
      <c r="F1737" s="434"/>
      <c r="G1737" s="434"/>
    </row>
    <row r="1738" spans="6:7">
      <c r="F1738" s="434"/>
      <c r="G1738" s="434"/>
    </row>
    <row r="1739" spans="6:7">
      <c r="F1739" s="434"/>
      <c r="G1739" s="434"/>
    </row>
    <row r="1740" spans="6:7">
      <c r="F1740" s="434"/>
      <c r="G1740" s="434"/>
    </row>
    <row r="1741" spans="6:7">
      <c r="F1741" s="434"/>
      <c r="G1741" s="434"/>
    </row>
    <row r="1742" spans="6:7">
      <c r="F1742" s="434"/>
      <c r="G1742" s="434"/>
    </row>
    <row r="1743" spans="6:7">
      <c r="F1743" s="434"/>
      <c r="G1743" s="434"/>
    </row>
    <row r="1744" spans="6:7">
      <c r="F1744" s="434"/>
      <c r="G1744" s="434"/>
    </row>
    <row r="1745" spans="6:7">
      <c r="F1745" s="434"/>
      <c r="G1745" s="434"/>
    </row>
    <row r="1746" spans="6:7">
      <c r="F1746" s="434"/>
      <c r="G1746" s="434"/>
    </row>
    <row r="1747" spans="6:7">
      <c r="F1747" s="434"/>
      <c r="G1747" s="434"/>
    </row>
    <row r="1748" spans="6:7">
      <c r="F1748" s="434"/>
      <c r="G1748" s="434"/>
    </row>
    <row r="1749" spans="6:7">
      <c r="F1749" s="434"/>
      <c r="G1749" s="434"/>
    </row>
    <row r="1750" spans="6:7">
      <c r="F1750" s="434"/>
      <c r="G1750" s="434"/>
    </row>
    <row r="1751" spans="6:7">
      <c r="F1751" s="434"/>
      <c r="G1751" s="434"/>
    </row>
    <row r="1752" spans="6:7">
      <c r="F1752" s="434"/>
      <c r="G1752" s="434"/>
    </row>
    <row r="1753" spans="6:7">
      <c r="F1753" s="434"/>
      <c r="G1753" s="434"/>
    </row>
    <row r="1754" spans="6:7">
      <c r="F1754" s="434"/>
      <c r="G1754" s="434"/>
    </row>
    <row r="1755" spans="6:7">
      <c r="F1755" s="434"/>
      <c r="G1755" s="434"/>
    </row>
    <row r="1756" spans="6:7">
      <c r="F1756" s="434"/>
      <c r="G1756" s="434"/>
    </row>
    <row r="1757" spans="6:7">
      <c r="F1757" s="434"/>
      <c r="G1757" s="434"/>
    </row>
    <row r="1758" spans="6:7">
      <c r="F1758" s="434"/>
      <c r="G1758" s="434"/>
    </row>
    <row r="1759" spans="6:7">
      <c r="F1759" s="434"/>
      <c r="G1759" s="434"/>
    </row>
    <row r="1760" spans="6:7">
      <c r="F1760" s="434"/>
      <c r="G1760" s="434"/>
    </row>
    <row r="1761" spans="6:7">
      <c r="F1761" s="434"/>
      <c r="G1761" s="434"/>
    </row>
    <row r="1762" spans="6:7">
      <c r="F1762" s="434"/>
      <c r="G1762" s="434"/>
    </row>
    <row r="1763" spans="6:7">
      <c r="F1763" s="434"/>
      <c r="G1763" s="434"/>
    </row>
    <row r="1764" spans="6:7">
      <c r="F1764" s="434"/>
      <c r="G1764" s="434"/>
    </row>
    <row r="1765" spans="6:7">
      <c r="F1765" s="434"/>
      <c r="G1765" s="434"/>
    </row>
    <row r="1766" spans="6:7">
      <c r="F1766" s="434"/>
      <c r="G1766" s="434"/>
    </row>
    <row r="1767" spans="6:7">
      <c r="F1767" s="434"/>
      <c r="G1767" s="434"/>
    </row>
    <row r="1768" spans="6:7">
      <c r="F1768" s="434"/>
      <c r="G1768" s="434"/>
    </row>
    <row r="1769" spans="6:7">
      <c r="F1769" s="434"/>
      <c r="G1769" s="434"/>
    </row>
    <row r="1770" spans="6:7">
      <c r="F1770" s="434"/>
      <c r="G1770" s="434"/>
    </row>
    <row r="1771" spans="6:7">
      <c r="F1771" s="434"/>
      <c r="G1771" s="434"/>
    </row>
    <row r="1772" spans="6:7">
      <c r="F1772" s="434"/>
      <c r="G1772" s="434"/>
    </row>
    <row r="1773" spans="6:7">
      <c r="F1773" s="434"/>
      <c r="G1773" s="434"/>
    </row>
    <row r="1774" spans="6:7">
      <c r="F1774" s="434"/>
      <c r="G1774" s="434"/>
    </row>
    <row r="1775" spans="6:7">
      <c r="F1775" s="434"/>
      <c r="G1775" s="434"/>
    </row>
    <row r="1776" spans="6:7">
      <c r="F1776" s="434"/>
      <c r="G1776" s="434"/>
    </row>
    <row r="1777" spans="6:7">
      <c r="F1777" s="434"/>
      <c r="G1777" s="434"/>
    </row>
    <row r="1778" spans="6:7">
      <c r="F1778" s="434"/>
      <c r="G1778" s="434"/>
    </row>
    <row r="1779" spans="6:7">
      <c r="F1779" s="434"/>
      <c r="G1779" s="434"/>
    </row>
    <row r="1780" spans="6:7">
      <c r="F1780" s="434"/>
      <c r="G1780" s="434"/>
    </row>
    <row r="1781" spans="6:7">
      <c r="F1781" s="434"/>
      <c r="G1781" s="434"/>
    </row>
    <row r="1782" spans="6:7">
      <c r="F1782" s="434"/>
      <c r="G1782" s="434"/>
    </row>
    <row r="1783" spans="6:7">
      <c r="F1783" s="434"/>
      <c r="G1783" s="434"/>
    </row>
    <row r="1784" spans="6:7">
      <c r="F1784" s="434"/>
      <c r="G1784" s="434"/>
    </row>
    <row r="1785" spans="6:7">
      <c r="F1785" s="434"/>
      <c r="G1785" s="434"/>
    </row>
    <row r="1786" spans="6:7">
      <c r="F1786" s="434"/>
      <c r="G1786" s="434"/>
    </row>
    <row r="1787" spans="6:7">
      <c r="F1787" s="434"/>
      <c r="G1787" s="434"/>
    </row>
    <row r="1788" spans="6:7">
      <c r="F1788" s="434"/>
      <c r="G1788" s="434"/>
    </row>
    <row r="1789" spans="6:7">
      <c r="F1789" s="434"/>
      <c r="G1789" s="434"/>
    </row>
    <row r="1790" spans="6:7">
      <c r="F1790" s="434"/>
      <c r="G1790" s="434"/>
    </row>
    <row r="1791" spans="6:7">
      <c r="F1791" s="434"/>
      <c r="G1791" s="434"/>
    </row>
    <row r="1792" spans="6:7">
      <c r="F1792" s="434"/>
      <c r="G1792" s="434"/>
    </row>
    <row r="1793" spans="6:7">
      <c r="F1793" s="434"/>
      <c r="G1793" s="434"/>
    </row>
    <row r="1794" spans="6:7">
      <c r="F1794" s="434"/>
      <c r="G1794" s="434"/>
    </row>
    <row r="1795" spans="6:7">
      <c r="F1795" s="434"/>
      <c r="G1795" s="434"/>
    </row>
    <row r="1796" spans="6:7">
      <c r="F1796" s="434"/>
      <c r="G1796" s="434"/>
    </row>
    <row r="1797" spans="6:7">
      <c r="F1797" s="434"/>
      <c r="G1797" s="434"/>
    </row>
  </sheetData>
  <dataValidations count="1">
    <dataValidation allowBlank="1" showInputMessage="1" showErrorMessage="1" sqref="B33:B55 F33:R55"/>
  </dataValidations>
  <pageMargins left="0.55118110236220474" right="0.55118110236220474" top="0.59055118110236227" bottom="0.78740157480314965" header="0.51181102362204722" footer="0.51181102362204722"/>
  <pageSetup paperSize="9" scale="21" orientation="landscape" r:id="rId1"/>
  <headerFooter alignWithMargins="0">
    <oddHeader>&amp;RResultados del Modelo de Reciclaje Inclusivo</oddHeader>
  </headerFooter>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sheetPr codeName="Sheet19">
    <tabColor indexed="10"/>
    <pageSetUpPr fitToPage="1"/>
  </sheetPr>
  <dimension ref="A1:J14"/>
  <sheetViews>
    <sheetView showRowColHeaders="0" zoomScale="80" zoomScaleNormal="80" workbookViewId="0">
      <selection activeCell="B3" sqref="B3:B4"/>
    </sheetView>
  </sheetViews>
  <sheetFormatPr defaultRowHeight="12.75"/>
  <cols>
    <col min="1" max="1" width="5.42578125" style="36" customWidth="1"/>
    <col min="2" max="2" width="9.140625" style="36"/>
    <col min="3" max="3" width="14.42578125" style="36" customWidth="1"/>
    <col min="4" max="16384" width="9.140625" style="36"/>
  </cols>
  <sheetData>
    <row r="1" spans="1:10">
      <c r="A1" s="43" t="s">
        <v>160</v>
      </c>
      <c r="B1" s="43" t="s">
        <v>80</v>
      </c>
      <c r="C1" s="43" t="s">
        <v>16</v>
      </c>
      <c r="H1" s="39"/>
      <c r="I1" s="43" t="s">
        <v>81</v>
      </c>
      <c r="J1" s="43"/>
    </row>
    <row r="2" spans="1:10">
      <c r="A2" s="36">
        <v>1</v>
      </c>
      <c r="C2" s="39" t="s">
        <v>16</v>
      </c>
      <c r="E2" s="94"/>
      <c r="F2" s="94"/>
    </row>
    <row r="3" spans="1:10" ht="15">
      <c r="A3" s="36">
        <v>2</v>
      </c>
      <c r="B3" s="79" t="str">
        <f>tblTerritories!B3</f>
        <v>ASUN</v>
      </c>
      <c r="C3" s="29" t="str">
        <f>tblTerritories!C3</f>
        <v>Asunción</v>
      </c>
      <c r="E3" s="79" t="str">
        <f>B3</f>
        <v>ASUN</v>
      </c>
      <c r="F3" s="93"/>
      <c r="I3" s="28" t="str">
        <f>B3</f>
        <v>ASUN</v>
      </c>
      <c r="J3" s="79"/>
    </row>
    <row r="4" spans="1:10" ht="15">
      <c r="A4" s="36">
        <v>3</v>
      </c>
      <c r="B4" s="79" t="str">
        <f>tblTerritories!B4</f>
        <v>BOGA</v>
      </c>
      <c r="C4" s="29" t="str">
        <f>tblTerritories!C4</f>
        <v>Bogotá</v>
      </c>
      <c r="E4" s="79" t="str">
        <f t="shared" ref="E4:E14" si="0">B4</f>
        <v>BOGA</v>
      </c>
      <c r="F4" s="93"/>
      <c r="I4" s="28" t="str">
        <f t="shared" ref="I4:I14" si="1">B4</f>
        <v>BOGA</v>
      </c>
      <c r="J4" s="79"/>
    </row>
    <row r="5" spans="1:10" ht="15">
      <c r="A5" s="36">
        <v>4</v>
      </c>
      <c r="B5" s="79" t="str">
        <f>tblTerritories!B5</f>
        <v>BSAS</v>
      </c>
      <c r="C5" s="29" t="str">
        <f>tblTerritories!C5</f>
        <v>Buenos Aires</v>
      </c>
      <c r="E5" s="79" t="str">
        <f t="shared" si="0"/>
        <v>BSAS</v>
      </c>
      <c r="F5" s="93"/>
      <c r="I5" s="28" t="str">
        <f t="shared" si="1"/>
        <v>BSAS</v>
      </c>
      <c r="J5" s="79"/>
    </row>
    <row r="6" spans="1:10" ht="15">
      <c r="A6" s="36">
        <v>5</v>
      </c>
      <c r="B6" s="79" t="str">
        <f>tblTerritories!B6</f>
        <v>CDBE</v>
      </c>
      <c r="C6" s="29" t="str">
        <f>tblTerritories!C6</f>
        <v>Ciudad de Belice</v>
      </c>
      <c r="E6" s="79" t="str">
        <f t="shared" si="0"/>
        <v>CDBE</v>
      </c>
      <c r="F6" s="93"/>
      <c r="I6" s="28" t="str">
        <f t="shared" si="1"/>
        <v>CDBE</v>
      </c>
      <c r="J6" s="49"/>
    </row>
    <row r="7" spans="1:10" ht="15">
      <c r="A7" s="36">
        <v>6</v>
      </c>
      <c r="B7" s="79" t="str">
        <f>tblTerritories!B7</f>
        <v>MEXC</v>
      </c>
      <c r="C7" s="29" t="str">
        <f>tblTerritories!C7</f>
        <v>Ciudad de México</v>
      </c>
      <c r="E7" s="79" t="str">
        <f t="shared" si="0"/>
        <v>MEXC</v>
      </c>
      <c r="F7" s="93"/>
      <c r="I7" s="28" t="str">
        <f t="shared" si="1"/>
        <v>MEXC</v>
      </c>
      <c r="J7" s="49"/>
    </row>
    <row r="8" spans="1:10" ht="15">
      <c r="A8" s="36">
        <v>7</v>
      </c>
      <c r="B8" s="79" t="str">
        <f>tblTerritories!B8</f>
        <v>LIMA</v>
      </c>
      <c r="C8" s="29" t="str">
        <f>tblTerritories!C8</f>
        <v>Lima</v>
      </c>
      <c r="E8" s="79" t="str">
        <f t="shared" si="0"/>
        <v>LIMA</v>
      </c>
      <c r="F8" s="93"/>
      <c r="I8" s="28" t="str">
        <f t="shared" si="1"/>
        <v>LIMA</v>
      </c>
      <c r="J8" s="79"/>
    </row>
    <row r="9" spans="1:10" ht="15">
      <c r="A9" s="36">
        <v>8</v>
      </c>
      <c r="B9" s="79" t="str">
        <f>tblTerritories!B9</f>
        <v>MONT</v>
      </c>
      <c r="C9" s="29" t="str">
        <f>tblTerritories!C9</f>
        <v>Montevideo</v>
      </c>
      <c r="E9" s="79" t="str">
        <f t="shared" si="0"/>
        <v>MONT</v>
      </c>
      <c r="F9" s="93"/>
      <c r="I9" s="28" t="str">
        <f t="shared" si="1"/>
        <v>MONT</v>
      </c>
      <c r="J9" s="49"/>
    </row>
    <row r="10" spans="1:10" ht="15">
      <c r="A10" s="36">
        <v>9</v>
      </c>
      <c r="B10" s="79" t="str">
        <f>tblTerritories!B10</f>
        <v>QUIT</v>
      </c>
      <c r="C10" s="29" t="str">
        <f>tblTerritories!C10</f>
        <v>Quito</v>
      </c>
      <c r="E10" s="79" t="str">
        <f t="shared" si="0"/>
        <v>QUIT</v>
      </c>
      <c r="F10" s="93"/>
      <c r="I10" s="28" t="str">
        <f t="shared" si="1"/>
        <v>QUIT</v>
      </c>
      <c r="J10" s="49"/>
    </row>
    <row r="11" spans="1:10" ht="15">
      <c r="A11" s="36">
        <v>10</v>
      </c>
      <c r="B11" s="79" t="str">
        <f>tblTerritories!B11</f>
        <v>SANJ</v>
      </c>
      <c r="C11" s="29" t="str">
        <f>tblTerritories!C11</f>
        <v>San José</v>
      </c>
      <c r="E11" s="79" t="str">
        <f t="shared" si="0"/>
        <v>SANJ</v>
      </c>
      <c r="F11" s="93"/>
      <c r="I11" s="28" t="str">
        <f t="shared" si="1"/>
        <v>SANJ</v>
      </c>
      <c r="J11" s="49"/>
    </row>
    <row r="12" spans="1:10" ht="15">
      <c r="A12" s="36">
        <v>11</v>
      </c>
      <c r="B12" s="79" t="str">
        <f>tblTerritories!B12</f>
        <v>SAPA</v>
      </c>
      <c r="C12" s="29" t="str">
        <f>tblTerritories!C12</f>
        <v>San Pablo</v>
      </c>
      <c r="E12" s="79" t="str">
        <f t="shared" si="0"/>
        <v>SAPA</v>
      </c>
      <c r="F12" s="93"/>
      <c r="I12" s="28" t="str">
        <f t="shared" si="1"/>
        <v>SAPA</v>
      </c>
      <c r="J12" s="49"/>
    </row>
    <row r="13" spans="1:10" ht="15">
      <c r="A13" s="36">
        <v>12</v>
      </c>
      <c r="B13" s="79" t="str">
        <f>tblTerritories!B13</f>
        <v>SACR</v>
      </c>
      <c r="C13" s="29" t="str">
        <f>tblTerritories!C13</f>
        <v>Santa Cruz</v>
      </c>
      <c r="E13" s="79" t="str">
        <f t="shared" si="0"/>
        <v>SACR</v>
      </c>
      <c r="F13" s="93"/>
      <c r="I13" s="28" t="str">
        <f t="shared" si="1"/>
        <v>SACR</v>
      </c>
      <c r="J13" s="49"/>
    </row>
    <row r="14" spans="1:10" ht="15">
      <c r="A14" s="36">
        <v>13</v>
      </c>
      <c r="B14" s="79" t="str">
        <f>tblTerritories!B14</f>
        <v>SADC</v>
      </c>
      <c r="C14" s="29" t="str">
        <f>tblTerritories!C14</f>
        <v>Santiago de Chile</v>
      </c>
      <c r="E14" s="79" t="str">
        <f t="shared" si="0"/>
        <v>SADC</v>
      </c>
      <c r="F14" s="93"/>
      <c r="I14" s="28" t="str">
        <f t="shared" si="1"/>
        <v>SADC</v>
      </c>
      <c r="J14" s="49"/>
    </row>
  </sheetData>
  <pageMargins left="0.55118110236220474" right="0.55118110236220474" top="0.59055118110236227" bottom="0.78740157480314965" header="0.51181102362204722" footer="0.51181102362204722"/>
  <pageSetup paperSize="9" orientation="landscape" r:id="rId1"/>
  <headerFooter alignWithMargins="0">
    <oddHeader>&amp;RResultados del Modelo de Reciclaje Inclusivo</oddHeader>
  </headerFooter>
</worksheet>
</file>

<file path=xl/worksheets/sheet23.xml><?xml version="1.0" encoding="utf-8"?>
<worksheet xmlns="http://schemas.openxmlformats.org/spreadsheetml/2006/main" xmlns:r="http://schemas.openxmlformats.org/officeDocument/2006/relationships">
  <sheetPr codeName="Sheet21">
    <tabColor rgb="FFFF0000"/>
    <pageSetUpPr fitToPage="1"/>
  </sheetPr>
  <dimension ref="I1:AA39"/>
  <sheetViews>
    <sheetView showGridLines="0" showRowColHeaders="0" topLeftCell="D1" zoomScale="80" zoomScaleNormal="80" workbookViewId="0">
      <selection activeCell="Z8" sqref="Z8"/>
    </sheetView>
  </sheetViews>
  <sheetFormatPr defaultRowHeight="15"/>
  <cols>
    <col min="1" max="1" width="9.140625" style="36"/>
    <col min="2" max="2" width="17.5703125" style="36" customWidth="1"/>
    <col min="3" max="11" width="9.140625" style="36"/>
    <col min="12" max="12" width="6.28515625" style="36" customWidth="1"/>
    <col min="13" max="13" width="4.5703125" style="36" customWidth="1"/>
    <col min="14" max="14" width="5.5703125" style="45" customWidth="1"/>
    <col min="15" max="15" width="4.5703125" style="36" customWidth="1"/>
    <col min="16" max="16" width="5.5703125" style="45" customWidth="1"/>
    <col min="17" max="17" width="4.5703125" style="36" customWidth="1"/>
    <col min="18" max="18" width="5.5703125" style="45" customWidth="1"/>
    <col min="19" max="19" width="4.5703125" style="36" customWidth="1"/>
    <col min="20" max="20" width="5.5703125" style="45" customWidth="1"/>
    <col min="21" max="21" width="4.5703125" style="36" customWidth="1"/>
    <col min="22" max="22" width="7.140625" style="28" bestFit="1" customWidth="1"/>
    <col min="23" max="23" width="3.42578125" style="36" customWidth="1"/>
    <col min="24" max="24" width="9.140625" style="36"/>
    <col min="25" max="25" width="7" style="28" bestFit="1" customWidth="1"/>
    <col min="26" max="26" width="3.42578125" style="36" customWidth="1"/>
    <col min="27" max="16384" width="9.140625" style="36"/>
  </cols>
  <sheetData>
    <row r="1" spans="9:25">
      <c r="N1" s="45">
        <v>1</v>
      </c>
      <c r="P1" s="45">
        <v>2</v>
      </c>
      <c r="R1" s="45">
        <v>3</v>
      </c>
      <c r="T1" s="45">
        <v>4</v>
      </c>
      <c r="V1" s="28">
        <v>5</v>
      </c>
    </row>
    <row r="5" spans="9:25" ht="18.75">
      <c r="L5" s="37" t="e">
        <f>#REF!</f>
        <v>#REF!</v>
      </c>
    </row>
    <row r="6" spans="9:25" ht="15.75">
      <c r="L6" s="38" t="s">
        <v>3</v>
      </c>
    </row>
    <row r="7" spans="9:25" ht="7.5" customHeight="1"/>
    <row r="8" spans="9:25">
      <c r="M8" s="57"/>
      <c r="N8" s="58"/>
      <c r="O8" s="55"/>
      <c r="P8" s="56"/>
      <c r="Q8" s="53"/>
      <c r="R8" s="54"/>
      <c r="S8" s="51"/>
      <c r="T8" s="52"/>
      <c r="U8" s="50"/>
      <c r="W8" s="50"/>
    </row>
    <row r="9" spans="9:25" s="39" customFormat="1">
      <c r="L9" s="40"/>
      <c r="M9" s="41" t="e">
        <f>IF(OR(#REF!=0,#REF!=1),IF(#REF!&lt;100,TEXT(#REF!,"0.0"),TEXT(#REF!,"#,#")),"")</f>
        <v>#REF!</v>
      </c>
      <c r="N9" s="46" t="e">
        <f>IF(OR(#REF!=0,#REF!=1),"",0)</f>
        <v>#REF!</v>
      </c>
      <c r="O9" s="41" t="e">
        <f>IF(OR(#REF!=0,#REF!=1),IF(#REF!&lt;100,TEXT(#REF!,"0.0"),TEXT(#REF!,"#,#")),"")</f>
        <v>#REF!</v>
      </c>
      <c r="P9" s="46" t="e">
        <f>IF(OR(#REF!=0,#REF!=1),"",25)</f>
        <v>#REF!</v>
      </c>
      <c r="Q9" s="41" t="e">
        <f>IF(OR(#REF!=0,#REF!=1),IF(#REF!&lt;100,TEXT(#REF!,"0.0"),TEXT(#REF!,"#,#")),"")</f>
        <v>#REF!</v>
      </c>
      <c r="R9" s="46" t="e">
        <f>IF(OR(#REF!=0,#REF!=1),"",50)</f>
        <v>#REF!</v>
      </c>
      <c r="S9" s="41" t="e">
        <f>IF(OR(#REF!=0,#REF!=1),IF(#REF!&lt;100,TEXT(#REF!,"0.0"),TEXT(#REF!,"#,#")),"")</f>
        <v>#REF!</v>
      </c>
      <c r="T9" s="46" t="e">
        <f>IF(OR(#REF!=0,#REF!=1),"",75)</f>
        <v>#REF!</v>
      </c>
      <c r="U9" s="41" t="e">
        <f>IF(OR(#REF!=0,#REF!=1),IF(#REF!&lt;100,TEXT(#REF!,"0.0"),TEXT(#REF!,"#,#")),"")</f>
        <v>#REF!</v>
      </c>
      <c r="V9" s="28" t="e">
        <f>IF(OR(#REF!=0,#REF!=1),"",100)</f>
        <v>#REF!</v>
      </c>
      <c r="W9" s="41" t="e">
        <f>IF(OR(#REF!=0,#REF!=1),IF(#REF!&lt;100,TEXT(#REF!,"0.0"),TEXT(#REF!,"#,#")),"")</f>
        <v>#REF!</v>
      </c>
      <c r="Y9" s="28"/>
    </row>
    <row r="10" spans="9:25" ht="6.75" customHeight="1"/>
    <row r="12" spans="9:25">
      <c r="I12" s="39" t="s">
        <v>76</v>
      </c>
      <c r="J12" s="39" t="s">
        <v>77</v>
      </c>
      <c r="K12" s="39" t="s">
        <v>78</v>
      </c>
      <c r="M12" s="36">
        <v>1</v>
      </c>
      <c r="N12" s="45">
        <v>2</v>
      </c>
      <c r="O12" s="36">
        <v>3</v>
      </c>
      <c r="P12" s="45">
        <v>4</v>
      </c>
    </row>
    <row r="13" spans="9:25">
      <c r="I13" s="44"/>
      <c r="J13" s="48" t="s">
        <v>79</v>
      </c>
      <c r="K13" s="530"/>
      <c r="L13" s="42"/>
      <c r="M13" s="207"/>
      <c r="N13" s="208"/>
      <c r="O13" s="209"/>
      <c r="P13" s="210"/>
      <c r="Q13" s="152"/>
    </row>
    <row r="16" spans="9:25">
      <c r="M16" s="36" t="s">
        <v>237</v>
      </c>
      <c r="Q16" s="42"/>
      <c r="R16" s="152"/>
      <c r="S16" s="42"/>
      <c r="T16" s="152"/>
      <c r="U16" s="42"/>
    </row>
    <row r="17" spans="9:27">
      <c r="I17" s="44"/>
      <c r="J17" s="48" t="s">
        <v>79</v>
      </c>
      <c r="K17" s="47"/>
      <c r="M17" s="140"/>
      <c r="N17" s="151"/>
      <c r="O17" s="156"/>
      <c r="P17" s="150"/>
      <c r="Q17" s="42"/>
      <c r="R17" s="152"/>
      <c r="S17" s="152"/>
      <c r="T17" s="152"/>
      <c r="U17" s="42"/>
    </row>
    <row r="18" spans="9:27">
      <c r="V18" s="33"/>
      <c r="Y18"/>
      <c r="Z18"/>
      <c r="AA18"/>
    </row>
    <row r="19" spans="9:27" ht="12.75" customHeight="1">
      <c r="L19"/>
      <c r="M19"/>
      <c r="N19"/>
      <c r="O19"/>
      <c r="P19"/>
      <c r="Q19"/>
      <c r="R19"/>
      <c r="S19"/>
      <c r="T19"/>
      <c r="U19"/>
      <c r="V19" s="33"/>
      <c r="W19" s="140"/>
      <c r="Y19"/>
      <c r="Z19"/>
      <c r="AA19"/>
    </row>
    <row r="20" spans="9:27" ht="12.75" customHeight="1">
      <c r="L20"/>
      <c r="M20"/>
      <c r="N20"/>
      <c r="O20"/>
      <c r="P20"/>
      <c r="Q20"/>
      <c r="R20"/>
      <c r="S20"/>
      <c r="T20"/>
      <c r="U20"/>
      <c r="V20" s="33"/>
      <c r="W20" s="140"/>
      <c r="Y20"/>
      <c r="Z20"/>
      <c r="AA20"/>
    </row>
    <row r="21" spans="9:27" ht="12.75" customHeight="1">
      <c r="L21"/>
      <c r="M21"/>
      <c r="N21"/>
      <c r="O21"/>
      <c r="P21"/>
      <c r="Q21"/>
      <c r="R21"/>
      <c r="S21"/>
      <c r="T21"/>
      <c r="U21"/>
      <c r="V21" s="33"/>
      <c r="W21" s="140"/>
      <c r="Y21"/>
      <c r="Z21"/>
      <c r="AA21"/>
    </row>
    <row r="22" spans="9:27" ht="12.75" customHeight="1">
      <c r="L22"/>
      <c r="M22"/>
      <c r="N22"/>
      <c r="O22"/>
      <c r="P22"/>
      <c r="Q22"/>
      <c r="R22"/>
      <c r="S22"/>
      <c r="T22"/>
      <c r="U22"/>
      <c r="V22" s="33"/>
      <c r="W22" s="151"/>
      <c r="Y22"/>
      <c r="Z22"/>
      <c r="AA22"/>
    </row>
    <row r="23" spans="9:27" ht="12.75" customHeight="1">
      <c r="L23"/>
      <c r="M23"/>
      <c r="N23"/>
      <c r="O23"/>
      <c r="P23"/>
      <c r="Q23"/>
      <c r="R23"/>
      <c r="S23"/>
      <c r="T23"/>
      <c r="U23"/>
      <c r="V23" s="33"/>
      <c r="W23" s="151"/>
      <c r="Y23"/>
      <c r="Z23"/>
      <c r="AA23"/>
    </row>
    <row r="24" spans="9:27" ht="12.75" customHeight="1">
      <c r="L24"/>
      <c r="M24"/>
      <c r="N24"/>
      <c r="O24"/>
      <c r="P24"/>
      <c r="Q24"/>
      <c r="R24"/>
      <c r="S24"/>
      <c r="T24"/>
      <c r="U24"/>
      <c r="V24" s="33"/>
      <c r="W24" s="151"/>
      <c r="Y24"/>
      <c r="Z24"/>
      <c r="AA24"/>
    </row>
    <row r="25" spans="9:27" ht="12.75" customHeight="1">
      <c r="L25"/>
      <c r="M25"/>
      <c r="N25"/>
      <c r="O25"/>
      <c r="P25"/>
      <c r="Q25"/>
      <c r="R25"/>
      <c r="S25"/>
      <c r="T25"/>
      <c r="U25"/>
      <c r="V25" s="33"/>
      <c r="W25" s="156"/>
      <c r="Y25"/>
      <c r="Z25"/>
      <c r="AA25"/>
    </row>
    <row r="26" spans="9:27" ht="12.75" customHeight="1">
      <c r="V26" s="33"/>
      <c r="W26" s="156"/>
      <c r="Y26"/>
      <c r="Z26"/>
      <c r="AA26"/>
    </row>
    <row r="27" spans="9:27" ht="12.75" customHeight="1">
      <c r="V27" s="33"/>
      <c r="W27" s="156"/>
      <c r="Y27"/>
      <c r="Z27"/>
      <c r="AA27"/>
    </row>
    <row r="28" spans="9:27" ht="12.75" customHeight="1">
      <c r="V28" s="33"/>
      <c r="W28" s="150"/>
      <c r="Y28"/>
      <c r="Z28"/>
      <c r="AA28"/>
    </row>
    <row r="29" spans="9:27" ht="12.75" customHeight="1">
      <c r="V29" s="33"/>
      <c r="W29" s="150"/>
      <c r="Y29"/>
      <c r="Z29"/>
      <c r="AA29"/>
    </row>
    <row r="30" spans="9:27" ht="12.75" customHeight="1">
      <c r="V30" s="33"/>
      <c r="W30" s="150"/>
      <c r="Y30"/>
      <c r="Z30"/>
      <c r="AA30"/>
    </row>
    <row r="31" spans="9:27" ht="12.75" customHeight="1">
      <c r="V31" s="33"/>
      <c r="W31" s="155"/>
      <c r="Y31"/>
      <c r="Z31"/>
      <c r="AA31"/>
    </row>
    <row r="32" spans="9:27" ht="12.75" customHeight="1">
      <c r="V32" s="33"/>
      <c r="W32" s="155"/>
      <c r="Y32"/>
      <c r="Z32"/>
      <c r="AA32"/>
    </row>
    <row r="33" spans="22:27" ht="12.75" customHeight="1">
      <c r="V33" s="33"/>
      <c r="W33" s="155"/>
      <c r="Y33"/>
      <c r="Z33"/>
      <c r="AA33"/>
    </row>
    <row r="34" spans="22:27" ht="12.75" customHeight="1">
      <c r="V34" s="33"/>
      <c r="W34" s="154"/>
      <c r="Y34"/>
      <c r="Z34"/>
      <c r="AA34"/>
    </row>
    <row r="35" spans="22:27" ht="12.75" customHeight="1">
      <c r="V35" s="33"/>
      <c r="W35" s="154"/>
      <c r="Y35"/>
      <c r="Z35"/>
      <c r="AA35"/>
    </row>
    <row r="36" spans="22:27" ht="12.75" customHeight="1">
      <c r="V36" s="33"/>
      <c r="W36" s="154"/>
      <c r="Y36"/>
      <c r="Z36"/>
      <c r="AA36"/>
    </row>
    <row r="37" spans="22:27" ht="12" customHeight="1">
      <c r="V37" s="33"/>
      <c r="W37" s="153"/>
      <c r="Y37"/>
      <c r="Z37"/>
      <c r="AA37"/>
    </row>
    <row r="38" spans="22:27" ht="12.75" customHeight="1">
      <c r="V38" s="33"/>
      <c r="W38" s="153"/>
      <c r="Y38"/>
      <c r="Z38"/>
      <c r="AA38"/>
    </row>
    <row r="39" spans="22:27">
      <c r="V39" s="33"/>
      <c r="W39" s="153"/>
      <c r="Y39" s="33"/>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legacyDrawing r:id="rId2"/>
</worksheet>
</file>

<file path=xl/worksheets/sheet24.xml><?xml version="1.0" encoding="utf-8"?>
<worksheet xmlns="http://schemas.openxmlformats.org/spreadsheetml/2006/main" xmlns:r="http://schemas.openxmlformats.org/officeDocument/2006/relationships">
  <sheetPr codeName="Sheet143">
    <tabColor rgb="FFFFC000"/>
    <pageSetUpPr fitToPage="1"/>
  </sheetPr>
  <dimension ref="A1:BI51"/>
  <sheetViews>
    <sheetView showRowColHeaders="0" topLeftCell="M1" zoomScale="80" zoomScaleNormal="80" workbookViewId="0">
      <selection activeCell="B19" sqref="B19:B20"/>
    </sheetView>
  </sheetViews>
  <sheetFormatPr defaultRowHeight="11.25"/>
  <cols>
    <col min="1" max="3" width="9.140625" style="129"/>
    <col min="4" max="4" width="9.140625" style="129" customWidth="1"/>
    <col min="5" max="9" width="9.140625" style="129"/>
    <col min="10" max="10" width="14.7109375" style="129" customWidth="1"/>
    <col min="11" max="11" width="15" style="129" customWidth="1"/>
    <col min="12" max="12" width="15.85546875" style="129" customWidth="1"/>
    <col min="13" max="13" width="4.42578125" style="129" bestFit="1" customWidth="1"/>
    <col min="14" max="14" width="21.7109375" style="129" customWidth="1"/>
    <col min="15" max="22" width="9.140625" style="129"/>
    <col min="23" max="23" width="8.5703125" style="129" customWidth="1"/>
    <col min="24" max="24" width="9.28515625" style="129" customWidth="1"/>
    <col min="25" max="25" width="5.42578125" style="129" customWidth="1"/>
    <col min="26" max="26" width="7.140625" style="129" customWidth="1"/>
    <col min="27" max="27" width="3.42578125" style="129" customWidth="1"/>
    <col min="28" max="28" width="10" style="129" customWidth="1"/>
    <col min="29" max="29" width="9.28515625" style="129" customWidth="1"/>
    <col min="30" max="30" width="3.42578125" style="129" customWidth="1"/>
    <col min="31" max="38" width="3.140625" style="129" customWidth="1"/>
    <col min="39" max="49" width="14.28515625" style="129" customWidth="1"/>
    <col min="50" max="52" width="9.140625" style="129"/>
    <col min="53" max="53" width="1.85546875" style="129" customWidth="1"/>
    <col min="54" max="55" width="9.140625" style="129"/>
    <col min="56" max="56" width="1.85546875" style="129" customWidth="1"/>
    <col min="57" max="58" width="9.140625" style="129"/>
    <col min="59" max="59" width="1.85546875" style="129" customWidth="1"/>
    <col min="60" max="272" width="9.140625" style="129"/>
    <col min="273" max="273" width="14.7109375" style="129" customWidth="1"/>
    <col min="274" max="274" width="15" style="129" customWidth="1"/>
    <col min="275" max="275" width="15.85546875" style="129" customWidth="1"/>
    <col min="276" max="276" width="4.42578125" style="129" bestFit="1" customWidth="1"/>
    <col min="277" max="277" width="21.7109375" style="129" customWidth="1"/>
    <col min="278" max="528" width="9.140625" style="129"/>
    <col min="529" max="529" width="14.7109375" style="129" customWidth="1"/>
    <col min="530" max="530" width="15" style="129" customWidth="1"/>
    <col min="531" max="531" width="15.85546875" style="129" customWidth="1"/>
    <col min="532" max="532" width="4.42578125" style="129" bestFit="1" customWidth="1"/>
    <col min="533" max="533" width="21.7109375" style="129" customWidth="1"/>
    <col min="534" max="784" width="9.140625" style="129"/>
    <col min="785" max="785" width="14.7109375" style="129" customWidth="1"/>
    <col min="786" max="786" width="15" style="129" customWidth="1"/>
    <col min="787" max="787" width="15.85546875" style="129" customWidth="1"/>
    <col min="788" max="788" width="4.42578125" style="129" bestFit="1" customWidth="1"/>
    <col min="789" max="789" width="21.7109375" style="129" customWidth="1"/>
    <col min="790" max="1040" width="9.140625" style="129"/>
    <col min="1041" max="1041" width="14.7109375" style="129" customWidth="1"/>
    <col min="1042" max="1042" width="15" style="129" customWidth="1"/>
    <col min="1043" max="1043" width="15.85546875" style="129" customWidth="1"/>
    <col min="1044" max="1044" width="4.42578125" style="129" bestFit="1" customWidth="1"/>
    <col min="1045" max="1045" width="21.7109375" style="129" customWidth="1"/>
    <col min="1046" max="1296" width="9.140625" style="129"/>
    <col min="1297" max="1297" width="14.7109375" style="129" customWidth="1"/>
    <col min="1298" max="1298" width="15" style="129" customWidth="1"/>
    <col min="1299" max="1299" width="15.85546875" style="129" customWidth="1"/>
    <col min="1300" max="1300" width="4.42578125" style="129" bestFit="1" customWidth="1"/>
    <col min="1301" max="1301" width="21.7109375" style="129" customWidth="1"/>
    <col min="1302" max="1552" width="9.140625" style="129"/>
    <col min="1553" max="1553" width="14.7109375" style="129" customWidth="1"/>
    <col min="1554" max="1554" width="15" style="129" customWidth="1"/>
    <col min="1555" max="1555" width="15.85546875" style="129" customWidth="1"/>
    <col min="1556" max="1556" width="4.42578125" style="129" bestFit="1" customWidth="1"/>
    <col min="1557" max="1557" width="21.7109375" style="129" customWidth="1"/>
    <col min="1558" max="1808" width="9.140625" style="129"/>
    <col min="1809" max="1809" width="14.7109375" style="129" customWidth="1"/>
    <col min="1810" max="1810" width="15" style="129" customWidth="1"/>
    <col min="1811" max="1811" width="15.85546875" style="129" customWidth="1"/>
    <col min="1812" max="1812" width="4.42578125" style="129" bestFit="1" customWidth="1"/>
    <col min="1813" max="1813" width="21.7109375" style="129" customWidth="1"/>
    <col min="1814" max="2064" width="9.140625" style="129"/>
    <col min="2065" max="2065" width="14.7109375" style="129" customWidth="1"/>
    <col min="2066" max="2066" width="15" style="129" customWidth="1"/>
    <col min="2067" max="2067" width="15.85546875" style="129" customWidth="1"/>
    <col min="2068" max="2068" width="4.42578125" style="129" bestFit="1" customWidth="1"/>
    <col min="2069" max="2069" width="21.7109375" style="129" customWidth="1"/>
    <col min="2070" max="2320" width="9.140625" style="129"/>
    <col min="2321" max="2321" width="14.7109375" style="129" customWidth="1"/>
    <col min="2322" max="2322" width="15" style="129" customWidth="1"/>
    <col min="2323" max="2323" width="15.85546875" style="129" customWidth="1"/>
    <col min="2324" max="2324" width="4.42578125" style="129" bestFit="1" customWidth="1"/>
    <col min="2325" max="2325" width="21.7109375" style="129" customWidth="1"/>
    <col min="2326" max="2576" width="9.140625" style="129"/>
    <col min="2577" max="2577" width="14.7109375" style="129" customWidth="1"/>
    <col min="2578" max="2578" width="15" style="129" customWidth="1"/>
    <col min="2579" max="2579" width="15.85546875" style="129" customWidth="1"/>
    <col min="2580" max="2580" width="4.42578125" style="129" bestFit="1" customWidth="1"/>
    <col min="2581" max="2581" width="21.7109375" style="129" customWidth="1"/>
    <col min="2582" max="2832" width="9.140625" style="129"/>
    <col min="2833" max="2833" width="14.7109375" style="129" customWidth="1"/>
    <col min="2834" max="2834" width="15" style="129" customWidth="1"/>
    <col min="2835" max="2835" width="15.85546875" style="129" customWidth="1"/>
    <col min="2836" max="2836" width="4.42578125" style="129" bestFit="1" customWidth="1"/>
    <col min="2837" max="2837" width="21.7109375" style="129" customWidth="1"/>
    <col min="2838" max="3088" width="9.140625" style="129"/>
    <col min="3089" max="3089" width="14.7109375" style="129" customWidth="1"/>
    <col min="3090" max="3090" width="15" style="129" customWidth="1"/>
    <col min="3091" max="3091" width="15.85546875" style="129" customWidth="1"/>
    <col min="3092" max="3092" width="4.42578125" style="129" bestFit="1" customWidth="1"/>
    <col min="3093" max="3093" width="21.7109375" style="129" customWidth="1"/>
    <col min="3094" max="3344" width="9.140625" style="129"/>
    <col min="3345" max="3345" width="14.7109375" style="129" customWidth="1"/>
    <col min="3346" max="3346" width="15" style="129" customWidth="1"/>
    <col min="3347" max="3347" width="15.85546875" style="129" customWidth="1"/>
    <col min="3348" max="3348" width="4.42578125" style="129" bestFit="1" customWidth="1"/>
    <col min="3349" max="3349" width="21.7109375" style="129" customWidth="1"/>
    <col min="3350" max="3600" width="9.140625" style="129"/>
    <col min="3601" max="3601" width="14.7109375" style="129" customWidth="1"/>
    <col min="3602" max="3602" width="15" style="129" customWidth="1"/>
    <col min="3603" max="3603" width="15.85546875" style="129" customWidth="1"/>
    <col min="3604" max="3604" width="4.42578125" style="129" bestFit="1" customWidth="1"/>
    <col min="3605" max="3605" width="21.7109375" style="129" customWidth="1"/>
    <col min="3606" max="3856" width="9.140625" style="129"/>
    <col min="3857" max="3857" width="14.7109375" style="129" customWidth="1"/>
    <col min="3858" max="3858" width="15" style="129" customWidth="1"/>
    <col min="3859" max="3859" width="15.85546875" style="129" customWidth="1"/>
    <col min="3860" max="3860" width="4.42578125" style="129" bestFit="1" customWidth="1"/>
    <col min="3861" max="3861" width="21.7109375" style="129" customWidth="1"/>
    <col min="3862" max="4112" width="9.140625" style="129"/>
    <col min="4113" max="4113" width="14.7109375" style="129" customWidth="1"/>
    <col min="4114" max="4114" width="15" style="129" customWidth="1"/>
    <col min="4115" max="4115" width="15.85546875" style="129" customWidth="1"/>
    <col min="4116" max="4116" width="4.42578125" style="129" bestFit="1" customWidth="1"/>
    <col min="4117" max="4117" width="21.7109375" style="129" customWidth="1"/>
    <col min="4118" max="4368" width="9.140625" style="129"/>
    <col min="4369" max="4369" width="14.7109375" style="129" customWidth="1"/>
    <col min="4370" max="4370" width="15" style="129" customWidth="1"/>
    <col min="4371" max="4371" width="15.85546875" style="129" customWidth="1"/>
    <col min="4372" max="4372" width="4.42578125" style="129" bestFit="1" customWidth="1"/>
    <col min="4373" max="4373" width="21.7109375" style="129" customWidth="1"/>
    <col min="4374" max="4624" width="9.140625" style="129"/>
    <col min="4625" max="4625" width="14.7109375" style="129" customWidth="1"/>
    <col min="4626" max="4626" width="15" style="129" customWidth="1"/>
    <col min="4627" max="4627" width="15.85546875" style="129" customWidth="1"/>
    <col min="4628" max="4628" width="4.42578125" style="129" bestFit="1" customWidth="1"/>
    <col min="4629" max="4629" width="21.7109375" style="129" customWidth="1"/>
    <col min="4630" max="4880" width="9.140625" style="129"/>
    <col min="4881" max="4881" width="14.7109375" style="129" customWidth="1"/>
    <col min="4882" max="4882" width="15" style="129" customWidth="1"/>
    <col min="4883" max="4883" width="15.85546875" style="129" customWidth="1"/>
    <col min="4884" max="4884" width="4.42578125" style="129" bestFit="1" customWidth="1"/>
    <col min="4885" max="4885" width="21.7109375" style="129" customWidth="1"/>
    <col min="4886" max="5136" width="9.140625" style="129"/>
    <col min="5137" max="5137" width="14.7109375" style="129" customWidth="1"/>
    <col min="5138" max="5138" width="15" style="129" customWidth="1"/>
    <col min="5139" max="5139" width="15.85546875" style="129" customWidth="1"/>
    <col min="5140" max="5140" width="4.42578125" style="129" bestFit="1" customWidth="1"/>
    <col min="5141" max="5141" width="21.7109375" style="129" customWidth="1"/>
    <col min="5142" max="5392" width="9.140625" style="129"/>
    <col min="5393" max="5393" width="14.7109375" style="129" customWidth="1"/>
    <col min="5394" max="5394" width="15" style="129" customWidth="1"/>
    <col min="5395" max="5395" width="15.85546875" style="129" customWidth="1"/>
    <col min="5396" max="5396" width="4.42578125" style="129" bestFit="1" customWidth="1"/>
    <col min="5397" max="5397" width="21.7109375" style="129" customWidth="1"/>
    <col min="5398" max="5648" width="9.140625" style="129"/>
    <col min="5649" max="5649" width="14.7109375" style="129" customWidth="1"/>
    <col min="5650" max="5650" width="15" style="129" customWidth="1"/>
    <col min="5651" max="5651" width="15.85546875" style="129" customWidth="1"/>
    <col min="5652" max="5652" width="4.42578125" style="129" bestFit="1" customWidth="1"/>
    <col min="5653" max="5653" width="21.7109375" style="129" customWidth="1"/>
    <col min="5654" max="5904" width="9.140625" style="129"/>
    <col min="5905" max="5905" width="14.7109375" style="129" customWidth="1"/>
    <col min="5906" max="5906" width="15" style="129" customWidth="1"/>
    <col min="5907" max="5907" width="15.85546875" style="129" customWidth="1"/>
    <col min="5908" max="5908" width="4.42578125" style="129" bestFit="1" customWidth="1"/>
    <col min="5909" max="5909" width="21.7109375" style="129" customWidth="1"/>
    <col min="5910" max="6160" width="9.140625" style="129"/>
    <col min="6161" max="6161" width="14.7109375" style="129" customWidth="1"/>
    <col min="6162" max="6162" width="15" style="129" customWidth="1"/>
    <col min="6163" max="6163" width="15.85546875" style="129" customWidth="1"/>
    <col min="6164" max="6164" width="4.42578125" style="129" bestFit="1" customWidth="1"/>
    <col min="6165" max="6165" width="21.7109375" style="129" customWidth="1"/>
    <col min="6166" max="6416" width="9.140625" style="129"/>
    <col min="6417" max="6417" width="14.7109375" style="129" customWidth="1"/>
    <col min="6418" max="6418" width="15" style="129" customWidth="1"/>
    <col min="6419" max="6419" width="15.85546875" style="129" customWidth="1"/>
    <col min="6420" max="6420" width="4.42578125" style="129" bestFit="1" customWidth="1"/>
    <col min="6421" max="6421" width="21.7109375" style="129" customWidth="1"/>
    <col min="6422" max="6672" width="9.140625" style="129"/>
    <col min="6673" max="6673" width="14.7109375" style="129" customWidth="1"/>
    <col min="6674" max="6674" width="15" style="129" customWidth="1"/>
    <col min="6675" max="6675" width="15.85546875" style="129" customWidth="1"/>
    <col min="6676" max="6676" width="4.42578125" style="129" bestFit="1" customWidth="1"/>
    <col min="6677" max="6677" width="21.7109375" style="129" customWidth="1"/>
    <col min="6678" max="6928" width="9.140625" style="129"/>
    <col min="6929" max="6929" width="14.7109375" style="129" customWidth="1"/>
    <col min="6930" max="6930" width="15" style="129" customWidth="1"/>
    <col min="6931" max="6931" width="15.85546875" style="129" customWidth="1"/>
    <col min="6932" max="6932" width="4.42578125" style="129" bestFit="1" customWidth="1"/>
    <col min="6933" max="6933" width="21.7109375" style="129" customWidth="1"/>
    <col min="6934" max="7184" width="9.140625" style="129"/>
    <col min="7185" max="7185" width="14.7109375" style="129" customWidth="1"/>
    <col min="7186" max="7186" width="15" style="129" customWidth="1"/>
    <col min="7187" max="7187" width="15.85546875" style="129" customWidth="1"/>
    <col min="7188" max="7188" width="4.42578125" style="129" bestFit="1" customWidth="1"/>
    <col min="7189" max="7189" width="21.7109375" style="129" customWidth="1"/>
    <col min="7190" max="7440" width="9.140625" style="129"/>
    <col min="7441" max="7441" width="14.7109375" style="129" customWidth="1"/>
    <col min="7442" max="7442" width="15" style="129" customWidth="1"/>
    <col min="7443" max="7443" width="15.85546875" style="129" customWidth="1"/>
    <col min="7444" max="7444" width="4.42578125" style="129" bestFit="1" customWidth="1"/>
    <col min="7445" max="7445" width="21.7109375" style="129" customWidth="1"/>
    <col min="7446" max="7696" width="9.140625" style="129"/>
    <col min="7697" max="7697" width="14.7109375" style="129" customWidth="1"/>
    <col min="7698" max="7698" width="15" style="129" customWidth="1"/>
    <col min="7699" max="7699" width="15.85546875" style="129" customWidth="1"/>
    <col min="7700" max="7700" width="4.42578125" style="129" bestFit="1" customWidth="1"/>
    <col min="7701" max="7701" width="21.7109375" style="129" customWidth="1"/>
    <col min="7702" max="7952" width="9.140625" style="129"/>
    <col min="7953" max="7953" width="14.7109375" style="129" customWidth="1"/>
    <col min="7954" max="7954" width="15" style="129" customWidth="1"/>
    <col min="7955" max="7955" width="15.85546875" style="129" customWidth="1"/>
    <col min="7956" max="7956" width="4.42578125" style="129" bestFit="1" customWidth="1"/>
    <col min="7957" max="7957" width="21.7109375" style="129" customWidth="1"/>
    <col min="7958" max="8208" width="9.140625" style="129"/>
    <col min="8209" max="8209" width="14.7109375" style="129" customWidth="1"/>
    <col min="8210" max="8210" width="15" style="129" customWidth="1"/>
    <col min="8211" max="8211" width="15.85546875" style="129" customWidth="1"/>
    <col min="8212" max="8212" width="4.42578125" style="129" bestFit="1" customWidth="1"/>
    <col min="8213" max="8213" width="21.7109375" style="129" customWidth="1"/>
    <col min="8214" max="8464" width="9.140625" style="129"/>
    <col min="8465" max="8465" width="14.7109375" style="129" customWidth="1"/>
    <col min="8466" max="8466" width="15" style="129" customWidth="1"/>
    <col min="8467" max="8467" width="15.85546875" style="129" customWidth="1"/>
    <col min="8468" max="8468" width="4.42578125" style="129" bestFit="1" customWidth="1"/>
    <col min="8469" max="8469" width="21.7109375" style="129" customWidth="1"/>
    <col min="8470" max="8720" width="9.140625" style="129"/>
    <col min="8721" max="8721" width="14.7109375" style="129" customWidth="1"/>
    <col min="8722" max="8722" width="15" style="129" customWidth="1"/>
    <col min="8723" max="8723" width="15.85546875" style="129" customWidth="1"/>
    <col min="8724" max="8724" width="4.42578125" style="129" bestFit="1" customWidth="1"/>
    <col min="8725" max="8725" width="21.7109375" style="129" customWidth="1"/>
    <col min="8726" max="8976" width="9.140625" style="129"/>
    <col min="8977" max="8977" width="14.7109375" style="129" customWidth="1"/>
    <col min="8978" max="8978" width="15" style="129" customWidth="1"/>
    <col min="8979" max="8979" width="15.85546875" style="129" customWidth="1"/>
    <col min="8980" max="8980" width="4.42578125" style="129" bestFit="1" customWidth="1"/>
    <col min="8981" max="8981" width="21.7109375" style="129" customWidth="1"/>
    <col min="8982" max="9232" width="9.140625" style="129"/>
    <col min="9233" max="9233" width="14.7109375" style="129" customWidth="1"/>
    <col min="9234" max="9234" width="15" style="129" customWidth="1"/>
    <col min="9235" max="9235" width="15.85546875" style="129" customWidth="1"/>
    <col min="9236" max="9236" width="4.42578125" style="129" bestFit="1" customWidth="1"/>
    <col min="9237" max="9237" width="21.7109375" style="129" customWidth="1"/>
    <col min="9238" max="9488" width="9.140625" style="129"/>
    <col min="9489" max="9489" width="14.7109375" style="129" customWidth="1"/>
    <col min="9490" max="9490" width="15" style="129" customWidth="1"/>
    <col min="9491" max="9491" width="15.85546875" style="129" customWidth="1"/>
    <col min="9492" max="9492" width="4.42578125" style="129" bestFit="1" customWidth="1"/>
    <col min="9493" max="9493" width="21.7109375" style="129" customWidth="1"/>
    <col min="9494" max="9744" width="9.140625" style="129"/>
    <col min="9745" max="9745" width="14.7109375" style="129" customWidth="1"/>
    <col min="9746" max="9746" width="15" style="129" customWidth="1"/>
    <col min="9747" max="9747" width="15.85546875" style="129" customWidth="1"/>
    <col min="9748" max="9748" width="4.42578125" style="129" bestFit="1" customWidth="1"/>
    <col min="9749" max="9749" width="21.7109375" style="129" customWidth="1"/>
    <col min="9750" max="10000" width="9.140625" style="129"/>
    <col min="10001" max="10001" width="14.7109375" style="129" customWidth="1"/>
    <col min="10002" max="10002" width="15" style="129" customWidth="1"/>
    <col min="10003" max="10003" width="15.85546875" style="129" customWidth="1"/>
    <col min="10004" max="10004" width="4.42578125" style="129" bestFit="1" customWidth="1"/>
    <col min="10005" max="10005" width="21.7109375" style="129" customWidth="1"/>
    <col min="10006" max="10256" width="9.140625" style="129"/>
    <col min="10257" max="10257" width="14.7109375" style="129" customWidth="1"/>
    <col min="10258" max="10258" width="15" style="129" customWidth="1"/>
    <col min="10259" max="10259" width="15.85546875" style="129" customWidth="1"/>
    <col min="10260" max="10260" width="4.42578125" style="129" bestFit="1" customWidth="1"/>
    <col min="10261" max="10261" width="21.7109375" style="129" customWidth="1"/>
    <col min="10262" max="10512" width="9.140625" style="129"/>
    <col min="10513" max="10513" width="14.7109375" style="129" customWidth="1"/>
    <col min="10514" max="10514" width="15" style="129" customWidth="1"/>
    <col min="10515" max="10515" width="15.85546875" style="129" customWidth="1"/>
    <col min="10516" max="10516" width="4.42578125" style="129" bestFit="1" customWidth="1"/>
    <col min="10517" max="10517" width="21.7109375" style="129" customWidth="1"/>
    <col min="10518" max="10768" width="9.140625" style="129"/>
    <col min="10769" max="10769" width="14.7109375" style="129" customWidth="1"/>
    <col min="10770" max="10770" width="15" style="129" customWidth="1"/>
    <col min="10771" max="10771" width="15.85546875" style="129" customWidth="1"/>
    <col min="10772" max="10772" width="4.42578125" style="129" bestFit="1" customWidth="1"/>
    <col min="10773" max="10773" width="21.7109375" style="129" customWidth="1"/>
    <col min="10774" max="11024" width="9.140625" style="129"/>
    <col min="11025" max="11025" width="14.7109375" style="129" customWidth="1"/>
    <col min="11026" max="11026" width="15" style="129" customWidth="1"/>
    <col min="11027" max="11027" width="15.85546875" style="129" customWidth="1"/>
    <col min="11028" max="11028" width="4.42578125" style="129" bestFit="1" customWidth="1"/>
    <col min="11029" max="11029" width="21.7109375" style="129" customWidth="1"/>
    <col min="11030" max="11280" width="9.140625" style="129"/>
    <col min="11281" max="11281" width="14.7109375" style="129" customWidth="1"/>
    <col min="11282" max="11282" width="15" style="129" customWidth="1"/>
    <col min="11283" max="11283" width="15.85546875" style="129" customWidth="1"/>
    <col min="11284" max="11284" width="4.42578125" style="129" bestFit="1" customWidth="1"/>
    <col min="11285" max="11285" width="21.7109375" style="129" customWidth="1"/>
    <col min="11286" max="11536" width="9.140625" style="129"/>
    <col min="11537" max="11537" width="14.7109375" style="129" customWidth="1"/>
    <col min="11538" max="11538" width="15" style="129" customWidth="1"/>
    <col min="11539" max="11539" width="15.85546875" style="129" customWidth="1"/>
    <col min="11540" max="11540" width="4.42578125" style="129" bestFit="1" customWidth="1"/>
    <col min="11541" max="11541" width="21.7109375" style="129" customWidth="1"/>
    <col min="11542" max="11792" width="9.140625" style="129"/>
    <col min="11793" max="11793" width="14.7109375" style="129" customWidth="1"/>
    <col min="11794" max="11794" width="15" style="129" customWidth="1"/>
    <col min="11795" max="11795" width="15.85546875" style="129" customWidth="1"/>
    <col min="11796" max="11796" width="4.42578125" style="129" bestFit="1" customWidth="1"/>
    <col min="11797" max="11797" width="21.7109375" style="129" customWidth="1"/>
    <col min="11798" max="12048" width="9.140625" style="129"/>
    <col min="12049" max="12049" width="14.7109375" style="129" customWidth="1"/>
    <col min="12050" max="12050" width="15" style="129" customWidth="1"/>
    <col min="12051" max="12051" width="15.85546875" style="129" customWidth="1"/>
    <col min="12052" max="12052" width="4.42578125" style="129" bestFit="1" customWidth="1"/>
    <col min="12053" max="12053" width="21.7109375" style="129" customWidth="1"/>
    <col min="12054" max="12304" width="9.140625" style="129"/>
    <col min="12305" max="12305" width="14.7109375" style="129" customWidth="1"/>
    <col min="12306" max="12306" width="15" style="129" customWidth="1"/>
    <col min="12307" max="12307" width="15.85546875" style="129" customWidth="1"/>
    <col min="12308" max="12308" width="4.42578125" style="129" bestFit="1" customWidth="1"/>
    <col min="12309" max="12309" width="21.7109375" style="129" customWidth="1"/>
    <col min="12310" max="12560" width="9.140625" style="129"/>
    <col min="12561" max="12561" width="14.7109375" style="129" customWidth="1"/>
    <col min="12562" max="12562" width="15" style="129" customWidth="1"/>
    <col min="12563" max="12563" width="15.85546875" style="129" customWidth="1"/>
    <col min="12564" max="12564" width="4.42578125" style="129" bestFit="1" customWidth="1"/>
    <col min="12565" max="12565" width="21.7109375" style="129" customWidth="1"/>
    <col min="12566" max="12816" width="9.140625" style="129"/>
    <col min="12817" max="12817" width="14.7109375" style="129" customWidth="1"/>
    <col min="12818" max="12818" width="15" style="129" customWidth="1"/>
    <col min="12819" max="12819" width="15.85546875" style="129" customWidth="1"/>
    <col min="12820" max="12820" width="4.42578125" style="129" bestFit="1" customWidth="1"/>
    <col min="12821" max="12821" width="21.7109375" style="129" customWidth="1"/>
    <col min="12822" max="13072" width="9.140625" style="129"/>
    <col min="13073" max="13073" width="14.7109375" style="129" customWidth="1"/>
    <col min="13074" max="13074" width="15" style="129" customWidth="1"/>
    <col min="13075" max="13075" width="15.85546875" style="129" customWidth="1"/>
    <col min="13076" max="13076" width="4.42578125" style="129" bestFit="1" customWidth="1"/>
    <col min="13077" max="13077" width="21.7109375" style="129" customWidth="1"/>
    <col min="13078" max="13328" width="9.140625" style="129"/>
    <col min="13329" max="13329" width="14.7109375" style="129" customWidth="1"/>
    <col min="13330" max="13330" width="15" style="129" customWidth="1"/>
    <col min="13331" max="13331" width="15.85546875" style="129" customWidth="1"/>
    <col min="13332" max="13332" width="4.42578125" style="129" bestFit="1" customWidth="1"/>
    <col min="13333" max="13333" width="21.7109375" style="129" customWidth="1"/>
    <col min="13334" max="13584" width="9.140625" style="129"/>
    <col min="13585" max="13585" width="14.7109375" style="129" customWidth="1"/>
    <col min="13586" max="13586" width="15" style="129" customWidth="1"/>
    <col min="13587" max="13587" width="15.85546875" style="129" customWidth="1"/>
    <col min="13588" max="13588" width="4.42578125" style="129" bestFit="1" customWidth="1"/>
    <col min="13589" max="13589" width="21.7109375" style="129" customWidth="1"/>
    <col min="13590" max="13840" width="9.140625" style="129"/>
    <col min="13841" max="13841" width="14.7109375" style="129" customWidth="1"/>
    <col min="13842" max="13842" width="15" style="129" customWidth="1"/>
    <col min="13843" max="13843" width="15.85546875" style="129" customWidth="1"/>
    <col min="13844" max="13844" width="4.42578125" style="129" bestFit="1" customWidth="1"/>
    <col min="13845" max="13845" width="21.7109375" style="129" customWidth="1"/>
    <col min="13846" max="14096" width="9.140625" style="129"/>
    <col min="14097" max="14097" width="14.7109375" style="129" customWidth="1"/>
    <col min="14098" max="14098" width="15" style="129" customWidth="1"/>
    <col min="14099" max="14099" width="15.85546875" style="129" customWidth="1"/>
    <col min="14100" max="14100" width="4.42578125" style="129" bestFit="1" customWidth="1"/>
    <col min="14101" max="14101" width="21.7109375" style="129" customWidth="1"/>
    <col min="14102" max="14352" width="9.140625" style="129"/>
    <col min="14353" max="14353" width="14.7109375" style="129" customWidth="1"/>
    <col min="14354" max="14354" width="15" style="129" customWidth="1"/>
    <col min="14355" max="14355" width="15.85546875" style="129" customWidth="1"/>
    <col min="14356" max="14356" width="4.42578125" style="129" bestFit="1" customWidth="1"/>
    <col min="14357" max="14357" width="21.7109375" style="129" customWidth="1"/>
    <col min="14358" max="14608" width="9.140625" style="129"/>
    <col min="14609" max="14609" width="14.7109375" style="129" customWidth="1"/>
    <col min="14610" max="14610" width="15" style="129" customWidth="1"/>
    <col min="14611" max="14611" width="15.85546875" style="129" customWidth="1"/>
    <col min="14612" max="14612" width="4.42578125" style="129" bestFit="1" customWidth="1"/>
    <col min="14613" max="14613" width="21.7109375" style="129" customWidth="1"/>
    <col min="14614" max="14864" width="9.140625" style="129"/>
    <col min="14865" max="14865" width="14.7109375" style="129" customWidth="1"/>
    <col min="14866" max="14866" width="15" style="129" customWidth="1"/>
    <col min="14867" max="14867" width="15.85546875" style="129" customWidth="1"/>
    <col min="14868" max="14868" width="4.42578125" style="129" bestFit="1" customWidth="1"/>
    <col min="14869" max="14869" width="21.7109375" style="129" customWidth="1"/>
    <col min="14870" max="15120" width="9.140625" style="129"/>
    <col min="15121" max="15121" width="14.7109375" style="129" customWidth="1"/>
    <col min="15122" max="15122" width="15" style="129" customWidth="1"/>
    <col min="15123" max="15123" width="15.85546875" style="129" customWidth="1"/>
    <col min="15124" max="15124" width="4.42578125" style="129" bestFit="1" customWidth="1"/>
    <col min="15125" max="15125" width="21.7109375" style="129" customWidth="1"/>
    <col min="15126" max="15376" width="9.140625" style="129"/>
    <col min="15377" max="15377" width="14.7109375" style="129" customWidth="1"/>
    <col min="15378" max="15378" width="15" style="129" customWidth="1"/>
    <col min="15379" max="15379" width="15.85546875" style="129" customWidth="1"/>
    <col min="15380" max="15380" width="4.42578125" style="129" bestFit="1" customWidth="1"/>
    <col min="15381" max="15381" width="21.7109375" style="129" customWidth="1"/>
    <col min="15382" max="15632" width="9.140625" style="129"/>
    <col min="15633" max="15633" width="14.7109375" style="129" customWidth="1"/>
    <col min="15634" max="15634" width="15" style="129" customWidth="1"/>
    <col min="15635" max="15635" width="15.85546875" style="129" customWidth="1"/>
    <col min="15636" max="15636" width="4.42578125" style="129" bestFit="1" customWidth="1"/>
    <col min="15637" max="15637" width="21.7109375" style="129" customWidth="1"/>
    <col min="15638" max="15888" width="9.140625" style="129"/>
    <col min="15889" max="15889" width="14.7109375" style="129" customWidth="1"/>
    <col min="15890" max="15890" width="15" style="129" customWidth="1"/>
    <col min="15891" max="15891" width="15.85546875" style="129" customWidth="1"/>
    <col min="15892" max="15892" width="4.42578125" style="129" bestFit="1" customWidth="1"/>
    <col min="15893" max="15893" width="21.7109375" style="129" customWidth="1"/>
    <col min="15894" max="16144" width="9.140625" style="129"/>
    <col min="16145" max="16145" width="14.7109375" style="129" customWidth="1"/>
    <col min="16146" max="16146" width="15" style="129" customWidth="1"/>
    <col min="16147" max="16147" width="15.85546875" style="129" customWidth="1"/>
    <col min="16148" max="16148" width="4.42578125" style="129" bestFit="1" customWidth="1"/>
    <col min="16149" max="16149" width="21.7109375" style="129" customWidth="1"/>
    <col min="16150" max="16384" width="9.140625" style="129"/>
  </cols>
  <sheetData>
    <row r="1" spans="1:60">
      <c r="B1" s="129">
        <f>uxb_works!B18</f>
        <v>0</v>
      </c>
      <c r="C1" s="129" t="str">
        <f>uxb_works!C18</f>
        <v>IS_BG</v>
      </c>
      <c r="D1" s="129" t="str">
        <f>uxb_works!D18</f>
        <v>Question_Number</v>
      </c>
      <c r="E1" s="129" t="str">
        <f>uxb_works!E18</f>
        <v>INDI_CODE</v>
      </c>
      <c r="F1" s="129" t="str">
        <f>uxb_works!F18</f>
        <v>PARENT_CODE</v>
      </c>
      <c r="G1" s="129" t="str">
        <f>uxb_works!G18</f>
        <v>DEPTH</v>
      </c>
      <c r="H1" s="129">
        <f>uxb_works!H18</f>
        <v>0</v>
      </c>
      <c r="I1" s="129" t="str">
        <f>uxb_works!I18</f>
        <v>NDICATOR_SHORT</v>
      </c>
      <c r="J1" s="129" t="str">
        <f>uxb_works!J18</f>
        <v>Question</v>
      </c>
      <c r="K1" s="129" t="str">
        <f>uxb_works!K18</f>
        <v>INDICATOR_UNIT_1</v>
      </c>
      <c r="L1" s="129" t="str">
        <f>uxb_works!L18</f>
        <v>Unit-Short</v>
      </c>
      <c r="M1" s="129" t="str">
        <f>uxb_works!M18</f>
        <v>SOURCE</v>
      </c>
      <c r="N1" s="129" t="str">
        <f>uxb_works!N18</f>
        <v>YEAR</v>
      </c>
      <c r="O1" s="129" t="str">
        <f>uxb_works!O18</f>
        <v>Justifications</v>
      </c>
      <c r="P1" s="129" t="str">
        <f>uxb_works!P18</f>
        <v>HIGH=Good</v>
      </c>
      <c r="Q1" s="129" t="str">
        <f>uxb_works!Q18</f>
        <v>Format</v>
      </c>
      <c r="R1" s="129">
        <f>uxb_works!R18</f>
        <v>0</v>
      </c>
      <c r="S1" s="129">
        <f>uxb_works!S18</f>
        <v>0</v>
      </c>
      <c r="T1" s="129" t="str">
        <f>uxb_works!T18</f>
        <v>HIGH_IS</v>
      </c>
      <c r="U1" s="129" t="str">
        <f>uxb_works!U18</f>
        <v>NORM_ID (1=sumproduct, 3=min max set by data values, 3=min max set by user here)</v>
      </c>
    </row>
    <row r="2" spans="1:60">
      <c r="A2" s="129" t="str">
        <f>uxb_works!A19</f>
        <v>INDI_ID</v>
      </c>
      <c r="B2" s="129">
        <f>uxb_works!B20</f>
        <v>28</v>
      </c>
      <c r="C2" s="129">
        <f>uxb_works!C20</f>
        <v>0</v>
      </c>
      <c r="D2" s="129">
        <f>uxb_works!D20</f>
        <v>20</v>
      </c>
      <c r="E2" s="129" t="str">
        <f>uxb_works!E20</f>
        <v>ORG2.1.5</v>
      </c>
      <c r="F2" s="129" t="str">
        <f>uxb_works!F20</f>
        <v>ORG2.1</v>
      </c>
      <c r="G2" s="129">
        <f>uxb_works!G20</f>
        <v>3</v>
      </c>
      <c r="H2" s="129" t="str">
        <f>uxb_works!H20</f>
        <v>2.1.5</v>
      </c>
      <c r="I2" s="129" t="str">
        <f>uxb_works!I20</f>
        <v>20.¿Cuál es el nivel de representación de las mujeres en las asociaciones?</v>
      </c>
      <c r="J2" s="129" t="str">
        <f>uxb_works!J20</f>
        <v>20.¿Cuál es el nivel de representación de las mujeres en las asociaciones?</v>
      </c>
      <c r="K2" s="129" t="str">
        <f>uxb_works!K20</f>
        <v xml:space="preserve">0= Existe un bajo nivel de representación (ningún criterio)
1= Existe un nivel medio de representación (1-2 criterios)
2= Existe un nivel superior de representación (3 o más criterios)
</v>
      </c>
      <c r="L2" s="129" t="str">
        <f>uxb_works!L20</f>
        <v>0 - 2</v>
      </c>
      <c r="M2" s="129" t="str">
        <f>uxb_works!M20</f>
        <v>[1] El Universal. "Guillermina de la Torre dueña del PRI", publicado el 09 de marzo de 2015 [http://www.eluniversalmas.com.mx/columnas/2015/03/111549.php]
[2] Berthier Castillo, Héctor. Coordinador de la Unidad de Estudios Sobre la Juventud de la Universidad Nacional Autónoma de México. 29 de agosto de 2016.</v>
      </c>
      <c r="N2" s="129">
        <f>uxb_works!N20</f>
        <v>2016</v>
      </c>
      <c r="O2" s="129" t="str">
        <f>uxb_works!O20</f>
        <v>Existe un nivel medio de representación de las mujeres. Guillermina de la Torre es la líder del Unión de Recicladores informales del Distrito Federal Rafael Gutiérrez Moreno [1], sin embargo en los grupos de recicladores no hay metas de involucramiento de mujeres  [2] y, dada la inexistencia de los estatutos, no hay lineamientos para la promoción de la participación de las mujeres. Por último, se desconoce la proporción entre hombres y mujeres en las organizaciones de recicladores.</v>
      </c>
      <c r="P2" s="129" t="str">
        <f>uxb_works!P20</f>
        <v>Good</v>
      </c>
      <c r="Q2" s="129">
        <f>uxb_works!Q20</f>
        <v>0</v>
      </c>
      <c r="R2" s="129" t="str">
        <f>uxb_works!R20</f>
        <v/>
      </c>
      <c r="S2" s="129" t="str">
        <f>uxb_works!S20</f>
        <v/>
      </c>
      <c r="T2" s="129">
        <f>uxb_works!T20</f>
        <v>0</v>
      </c>
      <c r="U2" s="129">
        <f>uxb_works!U20</f>
        <v>3</v>
      </c>
    </row>
    <row r="3" spans="1:60">
      <c r="A3" s="129" t="s">
        <v>47</v>
      </c>
      <c r="B3" s="129">
        <f>D2</f>
        <v>20</v>
      </c>
      <c r="U3" s="129">
        <v>1</v>
      </c>
    </row>
    <row r="5" spans="1:60">
      <c r="R5" s="129" t="s">
        <v>198</v>
      </c>
      <c r="S5" s="129" t="s">
        <v>199</v>
      </c>
    </row>
    <row r="6" spans="1:60" ht="15">
      <c r="A6" s="130" t="s">
        <v>83</v>
      </c>
      <c r="B6" s="129">
        <v>1</v>
      </c>
      <c r="O6" s="130" t="s">
        <v>84</v>
      </c>
      <c r="P6" s="130"/>
      <c r="Q6" s="131">
        <v>0</v>
      </c>
      <c r="R6" s="132">
        <f>IF($U$2=1,PERCENTILE(R$19:R$30,Q6),Q6*100)</f>
        <v>0</v>
      </c>
      <c r="S6" s="132" t="e">
        <f>#REF!</f>
        <v>#REF!</v>
      </c>
    </row>
    <row r="7" spans="1:60" ht="15">
      <c r="A7" s="129" t="s">
        <v>200</v>
      </c>
      <c r="B7" s="129">
        <v>0</v>
      </c>
      <c r="O7" s="131"/>
      <c r="P7" s="131"/>
      <c r="Q7" s="131">
        <v>0.25</v>
      </c>
      <c r="R7" s="132">
        <f>IF($U$2=1,PERCENTILE(R$19:R$30,Q7),Q7*100)</f>
        <v>25</v>
      </c>
      <c r="S7" s="132" t="e">
        <f>#REF!</f>
        <v>#REF!</v>
      </c>
      <c r="T7" s="129">
        <v>1</v>
      </c>
      <c r="Z7" s="129">
        <f>56/6</f>
        <v>9.3333333333333339</v>
      </c>
    </row>
    <row r="8" spans="1:60" ht="15">
      <c r="O8" s="131"/>
      <c r="P8" s="131"/>
      <c r="Q8" s="131">
        <v>0.5</v>
      </c>
      <c r="R8" s="132">
        <f>IF($U$2=1,PERCENTILE(R$19:R$30,Q8),Q8*100)</f>
        <v>50</v>
      </c>
      <c r="S8" s="132" t="e">
        <f>#REF!</f>
        <v>#REF!</v>
      </c>
      <c r="T8" s="129">
        <v>2</v>
      </c>
    </row>
    <row r="9" spans="1:60" ht="15">
      <c r="A9" s="129" t="str">
        <f>uxb_works!A6</f>
        <v>CITY_HIGHLIGHT_DD</v>
      </c>
      <c r="B9" s="129">
        <f>uxb_works!B6</f>
        <v>1</v>
      </c>
      <c r="C9" s="129" t="str">
        <f ca="1">uxb_works!C6</f>
        <v>&lt;ninguno&gt;</v>
      </c>
      <c r="D9" s="129" t="e">
        <f ca="1">INDEX(P19:P30,MATCH(C9,N19:N30,0))</f>
        <v>#N/A</v>
      </c>
      <c r="O9" s="131"/>
      <c r="P9" s="131"/>
      <c r="Q9" s="131">
        <v>0.75</v>
      </c>
      <c r="R9" s="132">
        <f>IF($U$2=1,PERCENTILE(R$19:R$30,Q9),Q9*100)</f>
        <v>75</v>
      </c>
      <c r="S9" s="132" t="e">
        <f>#REF!</f>
        <v>#REF!</v>
      </c>
      <c r="T9" s="129">
        <v>3</v>
      </c>
    </row>
    <row r="10" spans="1:60" ht="15">
      <c r="O10" s="131"/>
      <c r="P10" s="131"/>
      <c r="Q10" s="131">
        <v>1</v>
      </c>
      <c r="R10" s="132">
        <f>IF($U$2=1,PERCENTILE(R$19:R$30,Q10),Q10*100)</f>
        <v>100</v>
      </c>
      <c r="S10" s="132">
        <f ca="1">AJ28</f>
        <v>0</v>
      </c>
      <c r="T10" s="129">
        <v>4</v>
      </c>
    </row>
    <row r="11" spans="1:60" ht="15">
      <c r="Q11" s="131"/>
      <c r="R11" s="132"/>
      <c r="S11" s="132">
        <f ca="1">AJ19</f>
        <v>100</v>
      </c>
      <c r="T11" s="129">
        <v>5</v>
      </c>
      <c r="U11" s="129">
        <f>80/5</f>
        <v>16</v>
      </c>
    </row>
    <row r="12" spans="1:60" ht="15">
      <c r="A12" s="130"/>
      <c r="B12" s="131"/>
    </row>
    <row r="13" spans="1:60">
      <c r="S13" s="129">
        <f ca="1">PERCENTILE(R$19:R$30,Q11)</f>
        <v>0</v>
      </c>
    </row>
    <row r="14" spans="1:60">
      <c r="AT14" s="129" t="s">
        <v>204</v>
      </c>
    </row>
    <row r="15" spans="1:60">
      <c r="G15" s="129" t="e">
        <f>INDEX(aScores,A19,B2)</f>
        <v>#REF!</v>
      </c>
      <c r="AB15" s="129">
        <f>uxb_works!B10</f>
        <v>1</v>
      </c>
      <c r="AE15" s="129">
        <f>uxb_works!B12</f>
        <v>1</v>
      </c>
      <c r="AP15" s="95"/>
      <c r="AY15" s="129" t="str">
        <f>"Score "&amp;ROUND($R$9+0.1,1)&amp;" to "&amp;$R$10</f>
        <v>Score 75.1 to 100</v>
      </c>
      <c r="BB15" s="129" t="str">
        <f>"Score "&amp;ROUND($R$8+0.1,1)&amp;" to "&amp;ROUND($R$9,1)</f>
        <v>Score 50.1 to 75</v>
      </c>
      <c r="BE15" s="129" t="str">
        <f>"Score "&amp;ROUND($R$7+0.1,1)&amp;" to "&amp;ROUND($R$8,1)</f>
        <v>Score 25.1 to 50</v>
      </c>
      <c r="BH15" s="129" t="str">
        <f>"Score "&amp;ROUND($R$6,1)&amp;" to "&amp;ROUND($R$7,1)</f>
        <v>Score 0 to 25</v>
      </c>
    </row>
    <row r="17" spans="1:61">
      <c r="A17" s="129" t="s">
        <v>4</v>
      </c>
      <c r="B17" s="129" t="b">
        <f>IF(OR(P2=1,AK2=0),FALSE,TRUE)</f>
        <v>0</v>
      </c>
      <c r="E17" s="129" t="s">
        <v>226</v>
      </c>
      <c r="T17" s="129" t="s">
        <v>32</v>
      </c>
      <c r="V17" s="129" t="s">
        <v>201</v>
      </c>
      <c r="W17" s="129" t="s">
        <v>202</v>
      </c>
      <c r="AB17" s="129" t="s">
        <v>220</v>
      </c>
      <c r="AE17" s="129" t="s">
        <v>227</v>
      </c>
      <c r="AT17" s="139">
        <v>4</v>
      </c>
      <c r="AU17" s="139">
        <v>3</v>
      </c>
      <c r="AV17" s="139">
        <v>2</v>
      </c>
      <c r="AW17" s="139">
        <v>1</v>
      </c>
      <c r="AY17" s="129">
        <v>1</v>
      </c>
      <c r="AZ17" s="129">
        <v>3</v>
      </c>
      <c r="BB17" s="129">
        <v>1</v>
      </c>
      <c r="BC17" s="129">
        <v>3</v>
      </c>
      <c r="BE17" s="129">
        <v>1</v>
      </c>
      <c r="BF17" s="129">
        <v>3</v>
      </c>
      <c r="BH17" s="129">
        <v>1</v>
      </c>
      <c r="BI17" s="129">
        <v>3</v>
      </c>
    </row>
    <row r="18" spans="1:61">
      <c r="D18" s="129" t="s">
        <v>40</v>
      </c>
      <c r="E18" s="129" t="s">
        <v>39</v>
      </c>
      <c r="F18" s="129" t="s">
        <v>41</v>
      </c>
      <c r="G18" s="129" t="s">
        <v>43</v>
      </c>
      <c r="H18" s="129" t="s">
        <v>44</v>
      </c>
      <c r="I18" s="129" t="s">
        <v>45</v>
      </c>
      <c r="J18" s="129" t="s">
        <v>59</v>
      </c>
      <c r="K18" s="129" t="s">
        <v>46</v>
      </c>
      <c r="O18" s="133" t="s">
        <v>42</v>
      </c>
      <c r="P18" s="133" t="s">
        <v>0</v>
      </c>
      <c r="Q18" s="133" t="str">
        <f>IF($B$17,"Data","")</f>
        <v/>
      </c>
      <c r="R18" s="129" t="s">
        <v>203</v>
      </c>
      <c r="T18" s="129" t="s">
        <v>2</v>
      </c>
      <c r="U18" s="129" t="s">
        <v>1</v>
      </c>
      <c r="W18" s="129">
        <f>IF(OR(V18=3,V18=2),Q18,0)</f>
        <v>0</v>
      </c>
      <c r="AB18" s="129" t="s">
        <v>229</v>
      </c>
      <c r="AC18" s="129" t="s">
        <v>230</v>
      </c>
      <c r="AE18" s="129" t="s">
        <v>229</v>
      </c>
      <c r="AF18" s="129" t="s">
        <v>230</v>
      </c>
      <c r="AM18" s="95"/>
      <c r="AN18" s="95" t="s">
        <v>161</v>
      </c>
      <c r="AO18" s="95" t="s">
        <v>220</v>
      </c>
      <c r="AP18" s="95" t="s">
        <v>227</v>
      </c>
      <c r="AQ18" s="95" t="s">
        <v>228</v>
      </c>
      <c r="AR18" s="95" t="s">
        <v>106</v>
      </c>
      <c r="AS18" s="95"/>
      <c r="AT18" s="139">
        <v>0</v>
      </c>
      <c r="AU18" s="139">
        <v>0</v>
      </c>
      <c r="AV18" s="139">
        <v>0</v>
      </c>
      <c r="AW18" s="139">
        <v>0</v>
      </c>
      <c r="AY18" s="129" t="s">
        <v>205</v>
      </c>
      <c r="AZ18" s="129" t="s">
        <v>206</v>
      </c>
      <c r="BB18" s="129" t="s">
        <v>207</v>
      </c>
      <c r="BC18" s="129" t="s">
        <v>208</v>
      </c>
      <c r="BE18" s="129" t="s">
        <v>209</v>
      </c>
      <c r="BF18" s="129" t="s">
        <v>210</v>
      </c>
      <c r="BH18" s="129" t="s">
        <v>211</v>
      </c>
      <c r="BI18" s="129" t="s">
        <v>212</v>
      </c>
    </row>
    <row r="19" spans="1:61">
      <c r="A19" s="129">
        <f>tblTerritories!A3</f>
        <v>1</v>
      </c>
      <c r="B19" s="129" t="str">
        <f>tblTerritories!B3</f>
        <v>ASUN</v>
      </c>
      <c r="C19" s="129" t="str">
        <f>tblTerritories!C3</f>
        <v>Asunción</v>
      </c>
      <c r="D19" s="129">
        <f>tblTerritories!D3</f>
        <v>1</v>
      </c>
      <c r="E19" s="129">
        <f>tblTerritories!E3</f>
        <v>0</v>
      </c>
      <c r="F19" s="129">
        <f>IF(tblTerritories!F3=3,3,IF(tblTerritories!F3=2,2,1))</f>
        <v>1</v>
      </c>
      <c r="G19" s="138">
        <f ca="1">IF(F19=0,"",INDEX(aScores,$B$2,$A19))</f>
        <v>50</v>
      </c>
      <c r="H19" s="129">
        <f ca="1">IF(F19=0,"",RANK(G19,G$19:G$30,$B$7)+COUNTIF(G$19:G19,G19)-1)</f>
        <v>5</v>
      </c>
      <c r="I19" s="129">
        <f t="shared" ref="I19:I30" ca="1" si="0">IF(ISERROR(MATCH($A19,H$19:H$30,0)),"",MATCH($A19,H$19:H$30,0))</f>
        <v>2</v>
      </c>
      <c r="J19" s="129">
        <f ca="1">IF(I19="","",1)</f>
        <v>1</v>
      </c>
      <c r="K19" s="134">
        <f t="shared" ref="K19:K30" ca="1" si="1">IF(I19="","",RANK(O19,O$19:O$30,$B$7))</f>
        <v>1</v>
      </c>
      <c r="L19" s="134">
        <f t="shared" ref="L19:L30" ca="1" si="2">IF(I19="",0,INDEX($F$19:$F$30,I19))</f>
        <v>1</v>
      </c>
      <c r="M19" s="133" t="str">
        <f ca="1">IF(I19="","",IF(OR(K19=K18,K19=K20),CONCATENATE("=",K19),K19))</f>
        <v>=1</v>
      </c>
      <c r="N19" s="129" t="str">
        <f t="shared" ref="N19:N30" ca="1" si="3">IF(I19="","",INDEX($C$19:$C$30,I19))</f>
        <v>Bogotá</v>
      </c>
      <c r="O19" s="135">
        <f ca="1">IF(I19="","",INDEX(aRoundedScores,$B$2,I19))</f>
        <v>100</v>
      </c>
      <c r="P19" s="135">
        <f ca="1">IF(L19=0,"",IF($C$2=1,"-",O19))</f>
        <v>100</v>
      </c>
      <c r="Q19" s="136" t="str">
        <f ca="1">IF(ISNA(VLOOKUP(N19,uxb_regions!$C$3:$I$38,7,FALSE)),"",VLOOKUP(N19,uxb_regions!$C$3:$I$38,7,FALSE))</f>
        <v>BOGA</v>
      </c>
      <c r="R19" s="133">
        <f ca="1">IF(L19=0,"",O19)</f>
        <v>100</v>
      </c>
      <c r="S19" s="133">
        <f ca="1">IF(Q19="","",CHOOSE($U$3,IF(R19&lt;R$7,1,IF(R19&lt;R$8,2,IF(R19&lt;R$9,3,IF(R19&lt;=R$10,4))))))</f>
        <v>4</v>
      </c>
      <c r="T19" s="129">
        <f ca="1">IF(ISNUMBER(O19),O19,NA())</f>
        <v>100</v>
      </c>
      <c r="U19" s="129">
        <f>1</f>
        <v>1</v>
      </c>
      <c r="V19" s="129">
        <f t="shared" ref="V19:V30" ca="1" si="4">IF(ISNA(INDEX($F$19:$F$30,MATCH(N19,$C$19:$C$30,0))),0,INDEX($F$19:$F$30,MATCH(N19,$C$19:$C$30,0)))</f>
        <v>1</v>
      </c>
      <c r="W19" s="129">
        <f t="shared" ref="W19:W29" ca="1" si="5">IF(OR(V19=3,V19=2),Q19,0)</f>
        <v>0</v>
      </c>
      <c r="X19" s="129" t="str">
        <f ca="1">IF(ISNA(V19),"",Q19)</f>
        <v>BOGA</v>
      </c>
      <c r="Y19" s="129" t="e">
        <f ca="1">IF(L19=2,T19,NA())</f>
        <v>#N/A</v>
      </c>
      <c r="Z19" s="129" t="e">
        <f ca="1">IF(L19=2,1,NA())</f>
        <v>#N/A</v>
      </c>
      <c r="AB19" s="129">
        <f>IF($AB$15=1,0,INDEX(tblTerritories!$AS$3:$BB$14,A19,$AB$15))</f>
        <v>0</v>
      </c>
      <c r="AC19" s="129">
        <f t="shared" ref="AC19:AC30" ca="1" si="6">IF(ISNA(INDEX($AB$19:$AB$30,MATCH(N19,$C$19:$C$30,0))),0,INDEX($AB$19:$AB$30,MATCH(N19,$C$19:$C$30,0)))</f>
        <v>0</v>
      </c>
      <c r="AE19" s="129">
        <f>IF($AE$15=1,0,tblTerritories!AN3)</f>
        <v>0</v>
      </c>
      <c r="AF19" s="129">
        <f t="shared" ref="AF19:AF30" ca="1" si="7">IF(ISNA(INDEX($AE$19:$AE$30,MATCH(N19,$C$19:$C$30,0))),0,INDEX($AE$19:$AE$30,MATCH(N19,$C$19:$C$30,0)))</f>
        <v>0</v>
      </c>
      <c r="AJ19" s="129">
        <f t="shared" ref="AJ19:AJ30" ca="1" si="8">LARGE($R$19:$R$30,ROW(R1)-ROW($R$1)+1)</f>
        <v>100</v>
      </c>
      <c r="AM19" s="95" t="str">
        <f ca="1">IF(ISNUMBER(O19),N19,CONCATENATE(N19))</f>
        <v>Bogotá</v>
      </c>
      <c r="AN19" s="95">
        <f ca="1">IF(ISNUMBER(P19),P19,"-")</f>
        <v>100</v>
      </c>
      <c r="AO19" s="95" t="e">
        <f ca="1">IF(AC19=0,NA(),AN19)</f>
        <v>#N/A</v>
      </c>
      <c r="AP19" s="95" t="e">
        <f t="shared" ref="AP19:AP29" ca="1" si="9">IF(AF19=0,NA(),AN19)</f>
        <v>#N/A</v>
      </c>
      <c r="AQ19" s="95" t="e">
        <f ca="1">IF(AND(ISNUMBER(AO19),ISNUMBER(AP19)),AN19,NA())</f>
        <v>#N/A</v>
      </c>
      <c r="AR19" s="95" t="e">
        <f ca="1">IF(W19=0,NA(),$AN19)</f>
        <v>#N/A</v>
      </c>
      <c r="AS19" s="95" t="str">
        <f ca="1">TEXT(AN19,$Q$2)</f>
        <v>100</v>
      </c>
      <c r="AT19" s="129">
        <f t="shared" ref="AT19:AT30" ca="1" si="10">AT18+MATCH(AT$17,OFFSET($S$19:$S$30,AT18,0),0)</f>
        <v>1</v>
      </c>
      <c r="AU19" s="129">
        <f t="shared" ref="AU19:AU30" ca="1" si="11">AU18+MATCH(AU$17,OFFSET($S$19:$S$30,AU18,0),0)</f>
        <v>5</v>
      </c>
      <c r="AV19" s="129" t="e">
        <f t="shared" ref="AV19:AV30" ca="1" si="12">AV18+MATCH(AV$17,OFFSET($S$19:$S$30,AV18,0),0)</f>
        <v>#N/A</v>
      </c>
      <c r="AW19" s="129">
        <f t="shared" ref="AW19:AW30" ca="1" si="13">AW18+MATCH(AW$17,OFFSET($S$19:$S$30,AW18,0),0)</f>
        <v>9</v>
      </c>
      <c r="AY19" s="129" t="str">
        <f t="shared" ref="AY19:AY30" ca="1" si="14">IF(ISNA(AT19),"",INDEX($N$19:$P$30,$AT19,AY$17))</f>
        <v>Bogotá</v>
      </c>
      <c r="AZ19" s="129">
        <f t="shared" ref="AZ19:AZ30" ca="1" si="15">IF(ISNA(AT19),"",INDEX($N$19:$P$30,$AT19,AZ$17))</f>
        <v>100</v>
      </c>
      <c r="BB19" s="129" t="str">
        <f t="shared" ref="BB19:BB30" ca="1" si="16">IF(ISNA(AU19),"",INDEX($N$19:$P$30,$AU19,BB$17))</f>
        <v>Asunción</v>
      </c>
      <c r="BC19" s="129">
        <f t="shared" ref="BC19:BC30" ca="1" si="17">IF(ISNA(AU19),"",INDEX($N$19:$P$30,$AU19,BC$17))</f>
        <v>50</v>
      </c>
      <c r="BE19" s="129" t="str">
        <f t="shared" ref="BE19:BE30" ca="1" si="18">IF(ISNA(AV19),"",INDEX($N$19:$P$30,$AV19,BE$17))</f>
        <v/>
      </c>
      <c r="BF19" s="129" t="str">
        <f t="shared" ref="BF19:BF30" ca="1" si="19">IF(ISNA(AV19),"",INDEX($N$19:$P$30,$AV19,BF$17))</f>
        <v/>
      </c>
      <c r="BH19" s="129" t="str">
        <f t="shared" ref="BH19:BH30" ca="1" si="20">IF(ISNA(AW19),"",INDEX($N$19:$P$30,$AW19,BH$17))</f>
        <v>Ciudad de Belice</v>
      </c>
      <c r="BI19" s="129">
        <f t="shared" ref="BI19:BI30" ca="1" si="21">IF(ISNA(AW19),"",INDEX($N$19:$P$30,$AW19,BI$17))</f>
        <v>0</v>
      </c>
    </row>
    <row r="20" spans="1:61">
      <c r="A20" s="129">
        <f>tblTerritories!A4</f>
        <v>2</v>
      </c>
      <c r="B20" s="129" t="str">
        <f>tblTerritories!B4</f>
        <v>BOGA</v>
      </c>
      <c r="C20" s="129" t="str">
        <f>tblTerritories!C4</f>
        <v>Bogotá</v>
      </c>
      <c r="D20" s="129">
        <f>tblTerritories!D4</f>
        <v>1</v>
      </c>
      <c r="E20" s="129">
        <f>tblTerritories!E4</f>
        <v>0</v>
      </c>
      <c r="F20" s="129">
        <f>IF(tblTerritories!F4=3,3,IF(tblTerritories!F4=2,2,1))</f>
        <v>1</v>
      </c>
      <c r="G20" s="138">
        <f t="shared" ref="G20:G29" ca="1" si="22">IF(F20=0,"",INDEX(aScores,$B$2,$A20))</f>
        <v>100</v>
      </c>
      <c r="H20" s="129">
        <f ca="1">IF(F20=0,"",RANK(G20,G$19:G$30,$B$7)+COUNTIF(G$19:G20,G20)-1)</f>
        <v>1</v>
      </c>
      <c r="I20" s="129">
        <f t="shared" ca="1" si="0"/>
        <v>8</v>
      </c>
      <c r="J20" s="129">
        <f t="shared" ref="J20:J29" ca="1" si="23">IF(I20="","",1)</f>
        <v>1</v>
      </c>
      <c r="K20" s="134">
        <f t="shared" ca="1" si="1"/>
        <v>1</v>
      </c>
      <c r="L20" s="134">
        <f t="shared" ca="1" si="2"/>
        <v>1</v>
      </c>
      <c r="M20" s="133" t="str">
        <f t="shared" ref="M20:M29" ca="1" si="24">IF(I20="","",IF(OR(K20=K19,K20=K21),CONCATENATE("=",K20),K20))</f>
        <v>=1</v>
      </c>
      <c r="N20" s="129" t="str">
        <f t="shared" ca="1" si="3"/>
        <v>Quito</v>
      </c>
      <c r="O20" s="135">
        <f t="shared" ref="O20:O29" ca="1" si="25">IF(I20="","",INDEX(aRoundedScores,$B$2,I20))</f>
        <v>100</v>
      </c>
      <c r="P20" s="135">
        <f t="shared" ref="P20:P29" ca="1" si="26">IF(L20=0,"",IF($C$2=1,"-",O20))</f>
        <v>100</v>
      </c>
      <c r="Q20" s="136" t="str">
        <f ca="1">IF(ISNA(VLOOKUP(N20,uxb_regions!$C$3:$I$38,7,FALSE)),"",VLOOKUP(N20,uxb_regions!$C$3:$I$38,7,FALSE))</f>
        <v>QUIT</v>
      </c>
      <c r="R20" s="133">
        <f t="shared" ref="R20:R29" ca="1" si="27">IF(L20=0,"",O20)</f>
        <v>100</v>
      </c>
      <c r="S20" s="133">
        <f t="shared" ref="S20:S29" ca="1" si="28">IF(Q20="","",CHOOSE($U$3,IF(R20&lt;R$7,1,IF(R20&lt;R$8,2,IF(R20&lt;R$9,3,IF(R20&lt;=R$10,4))))))</f>
        <v>4</v>
      </c>
      <c r="T20" s="129">
        <f t="shared" ref="T20:T29" ca="1" si="29">IF(ISNUMBER(O20),O20,NA())</f>
        <v>100</v>
      </c>
      <c r="U20" s="129">
        <f>1</f>
        <v>1</v>
      </c>
      <c r="V20" s="129">
        <f t="shared" ca="1" si="4"/>
        <v>1</v>
      </c>
      <c r="W20" s="129">
        <f t="shared" ca="1" si="5"/>
        <v>0</v>
      </c>
      <c r="X20" s="129" t="str">
        <f t="shared" ref="X20:X29" ca="1" si="30">IF(ISNA(V20),"",Q20)</f>
        <v>QUIT</v>
      </c>
      <c r="Y20" s="129" t="e">
        <f t="shared" ref="Y20:Y29" ca="1" si="31">IF(L20=2,T20,NA())</f>
        <v>#N/A</v>
      </c>
      <c r="Z20" s="129" t="e">
        <f t="shared" ref="Z20:Z29" ca="1" si="32">IF(L20=2,1,NA())</f>
        <v>#N/A</v>
      </c>
      <c r="AB20" s="129">
        <f>IF($AB$15=1,0,INDEX(tblTerritories!$AS$3:$BB$14,A20,$AB$15))</f>
        <v>0</v>
      </c>
      <c r="AC20" s="129">
        <f t="shared" ca="1" si="6"/>
        <v>0</v>
      </c>
      <c r="AE20" s="129">
        <f>IF($AE$15=1,0,tblTerritories!AN4)</f>
        <v>0</v>
      </c>
      <c r="AF20" s="129">
        <f t="shared" ca="1" si="7"/>
        <v>0</v>
      </c>
      <c r="AJ20" s="129">
        <f t="shared" ca="1" si="8"/>
        <v>100</v>
      </c>
      <c r="AM20" s="95" t="str">
        <f t="shared" ref="AM20:AM29" ca="1" si="33">IF(ISNUMBER(O20),N20,CONCATENATE(N20))</f>
        <v>Quito</v>
      </c>
      <c r="AN20" s="95">
        <f t="shared" ref="AN20:AN29" ca="1" si="34">IF(ISNUMBER(P20),P20,"-")</f>
        <v>100</v>
      </c>
      <c r="AO20" s="95" t="e">
        <f t="shared" ref="AO20:AO29" ca="1" si="35">IF(AC20=0,NA(),AN20)</f>
        <v>#N/A</v>
      </c>
      <c r="AP20" s="95" t="e">
        <f t="shared" ca="1" si="9"/>
        <v>#N/A</v>
      </c>
      <c r="AQ20" s="95" t="e">
        <f t="shared" ref="AQ20:AQ29" ca="1" si="36">IF(AND(ISNUMBER(AO20),ISNUMBER(AP20)),AN20,NA())</f>
        <v>#N/A</v>
      </c>
      <c r="AR20" s="95" t="e">
        <f t="shared" ref="AR20:AR29" ca="1" si="37">IF(W20=0,NA(),$AN20)</f>
        <v>#N/A</v>
      </c>
      <c r="AS20" s="95" t="str">
        <f t="shared" ref="AS20:AS29" ca="1" si="38">TEXT(AN20,$Q$2)</f>
        <v>100</v>
      </c>
      <c r="AT20" s="129">
        <f t="shared" ca="1" si="10"/>
        <v>2</v>
      </c>
      <c r="AU20" s="129">
        <f t="shared" ca="1" si="11"/>
        <v>6</v>
      </c>
      <c r="AV20" s="129" t="e">
        <f t="shared" ca="1" si="12"/>
        <v>#N/A</v>
      </c>
      <c r="AW20" s="129">
        <f t="shared" ca="1" si="13"/>
        <v>10</v>
      </c>
      <c r="AY20" s="129" t="str">
        <f t="shared" ca="1" si="14"/>
        <v>Quito</v>
      </c>
      <c r="AZ20" s="129">
        <f t="shared" ca="1" si="15"/>
        <v>100</v>
      </c>
      <c r="BB20" s="129" t="str">
        <f t="shared" ca="1" si="16"/>
        <v>Buenos Aires</v>
      </c>
      <c r="BC20" s="129">
        <f t="shared" ca="1" si="17"/>
        <v>50</v>
      </c>
      <c r="BE20" s="129" t="str">
        <f t="shared" ca="1" si="18"/>
        <v/>
      </c>
      <c r="BF20" s="129" t="str">
        <f t="shared" ca="1" si="19"/>
        <v/>
      </c>
      <c r="BH20" s="129" t="str">
        <f t="shared" ca="1" si="20"/>
        <v>Lima</v>
      </c>
      <c r="BI20" s="129">
        <f t="shared" ca="1" si="21"/>
        <v>0</v>
      </c>
    </row>
    <row r="21" spans="1:61">
      <c r="A21" s="129">
        <f>tblTerritories!A5</f>
        <v>3</v>
      </c>
      <c r="B21" s="129" t="str">
        <f>tblTerritories!B5</f>
        <v>BSAS</v>
      </c>
      <c r="C21" s="129" t="str">
        <f>tblTerritories!C5</f>
        <v>Buenos Aires</v>
      </c>
      <c r="D21" s="129">
        <f>tblTerritories!D5</f>
        <v>1</v>
      </c>
      <c r="E21" s="129">
        <f>tblTerritories!E5</f>
        <v>0</v>
      </c>
      <c r="F21" s="129">
        <f>IF(tblTerritories!F5=3,3,IF(tblTerritories!F5=2,2,1))</f>
        <v>1</v>
      </c>
      <c r="G21" s="138">
        <f t="shared" ca="1" si="22"/>
        <v>50</v>
      </c>
      <c r="H21" s="129">
        <f ca="1">IF(F21=0,"",RANK(G21,G$19:G$30,$B$7)+COUNTIF(G$19:G21,G21)-1)</f>
        <v>6</v>
      </c>
      <c r="I21" s="129">
        <f t="shared" ca="1" si="0"/>
        <v>10</v>
      </c>
      <c r="J21" s="129">
        <f t="shared" ca="1" si="23"/>
        <v>1</v>
      </c>
      <c r="K21" s="134">
        <f t="shared" ca="1" si="1"/>
        <v>1</v>
      </c>
      <c r="L21" s="134">
        <f t="shared" ca="1" si="2"/>
        <v>1</v>
      </c>
      <c r="M21" s="133" t="str">
        <f t="shared" ca="1" si="24"/>
        <v>=1</v>
      </c>
      <c r="N21" s="129" t="str">
        <f t="shared" ca="1" si="3"/>
        <v>San Pablo</v>
      </c>
      <c r="O21" s="135">
        <f t="shared" ca="1" si="25"/>
        <v>100</v>
      </c>
      <c r="P21" s="135">
        <f t="shared" ca="1" si="26"/>
        <v>100</v>
      </c>
      <c r="Q21" s="136" t="str">
        <f ca="1">IF(ISNA(VLOOKUP(N21,uxb_regions!$C$3:$I$38,7,FALSE)),"",VLOOKUP(N21,uxb_regions!$C$3:$I$38,7,FALSE))</f>
        <v>SAPA</v>
      </c>
      <c r="R21" s="133">
        <f t="shared" ca="1" si="27"/>
        <v>100</v>
      </c>
      <c r="S21" s="133">
        <f t="shared" ca="1" si="28"/>
        <v>4</v>
      </c>
      <c r="T21" s="129">
        <f t="shared" ca="1" si="29"/>
        <v>100</v>
      </c>
      <c r="U21" s="129">
        <f>1</f>
        <v>1</v>
      </c>
      <c r="V21" s="129">
        <f t="shared" ca="1" si="4"/>
        <v>1</v>
      </c>
      <c r="W21" s="129">
        <f t="shared" ca="1" si="5"/>
        <v>0</v>
      </c>
      <c r="X21" s="129" t="str">
        <f t="shared" ca="1" si="30"/>
        <v>SAPA</v>
      </c>
      <c r="Y21" s="129" t="e">
        <f t="shared" ca="1" si="31"/>
        <v>#N/A</v>
      </c>
      <c r="Z21" s="129" t="e">
        <f t="shared" ca="1" si="32"/>
        <v>#N/A</v>
      </c>
      <c r="AB21" s="129">
        <f>IF($AB$15=1,0,INDEX(tblTerritories!$AS$3:$BB$14,A21,$AB$15))</f>
        <v>0</v>
      </c>
      <c r="AC21" s="129">
        <f t="shared" ca="1" si="6"/>
        <v>0</v>
      </c>
      <c r="AE21" s="129">
        <f>IF($AE$15=1,0,tblTerritories!AN5)</f>
        <v>0</v>
      </c>
      <c r="AF21" s="129">
        <f t="shared" ca="1" si="7"/>
        <v>0</v>
      </c>
      <c r="AJ21" s="129">
        <f t="shared" ca="1" si="8"/>
        <v>100</v>
      </c>
      <c r="AM21" s="95" t="str">
        <f t="shared" ca="1" si="33"/>
        <v>San Pablo</v>
      </c>
      <c r="AN21" s="95">
        <f t="shared" ca="1" si="34"/>
        <v>100</v>
      </c>
      <c r="AO21" s="95" t="e">
        <f t="shared" ca="1" si="35"/>
        <v>#N/A</v>
      </c>
      <c r="AP21" s="95" t="e">
        <f t="shared" ca="1" si="9"/>
        <v>#N/A</v>
      </c>
      <c r="AQ21" s="95" t="e">
        <f t="shared" ca="1" si="36"/>
        <v>#N/A</v>
      </c>
      <c r="AR21" s="95" t="e">
        <f t="shared" ca="1" si="37"/>
        <v>#N/A</v>
      </c>
      <c r="AS21" s="95" t="str">
        <f t="shared" ca="1" si="38"/>
        <v>100</v>
      </c>
      <c r="AT21" s="129">
        <f t="shared" ca="1" si="10"/>
        <v>3</v>
      </c>
      <c r="AU21" s="129">
        <f t="shared" ca="1" si="11"/>
        <v>7</v>
      </c>
      <c r="AV21" s="129" t="e">
        <f t="shared" ca="1" si="12"/>
        <v>#N/A</v>
      </c>
      <c r="AW21" s="129">
        <f t="shared" ca="1" si="13"/>
        <v>11</v>
      </c>
      <c r="AY21" s="129" t="str">
        <f t="shared" ca="1" si="14"/>
        <v>San Pablo</v>
      </c>
      <c r="AZ21" s="129">
        <f t="shared" ca="1" si="15"/>
        <v>100</v>
      </c>
      <c r="BB21" s="129" t="str">
        <f t="shared" ca="1" si="16"/>
        <v>Ciudad de México</v>
      </c>
      <c r="BC21" s="129">
        <f t="shared" ca="1" si="17"/>
        <v>50</v>
      </c>
      <c r="BE21" s="129" t="str">
        <f t="shared" ca="1" si="18"/>
        <v/>
      </c>
      <c r="BF21" s="129" t="str">
        <f t="shared" ca="1" si="19"/>
        <v/>
      </c>
      <c r="BH21" s="129" t="str">
        <f t="shared" ca="1" si="20"/>
        <v>San José</v>
      </c>
      <c r="BI21" s="129">
        <f t="shared" ca="1" si="21"/>
        <v>0</v>
      </c>
    </row>
    <row r="22" spans="1:61">
      <c r="A22" s="129">
        <f>tblTerritories!A6</f>
        <v>4</v>
      </c>
      <c r="B22" s="129" t="str">
        <f>tblTerritories!B6</f>
        <v>CDBE</v>
      </c>
      <c r="C22" s="129" t="str">
        <f>tblTerritories!C6</f>
        <v>Ciudad de Belice</v>
      </c>
      <c r="D22" s="129">
        <f>tblTerritories!D6</f>
        <v>1</v>
      </c>
      <c r="E22" s="129">
        <f>tblTerritories!E6</f>
        <v>0</v>
      </c>
      <c r="F22" s="129">
        <f>IF(tblTerritories!F6=3,3,IF(tblTerritories!F6=2,2,1))</f>
        <v>1</v>
      </c>
      <c r="G22" s="138">
        <f t="shared" ca="1" si="22"/>
        <v>0</v>
      </c>
      <c r="H22" s="129">
        <f ca="1">IF(F22=0,"",RANK(G22,G$19:G$30,$B$7)+COUNTIF(G$19:G22,G22)-1)</f>
        <v>9</v>
      </c>
      <c r="I22" s="129">
        <f t="shared" ca="1" si="0"/>
        <v>11</v>
      </c>
      <c r="J22" s="129">
        <f t="shared" ca="1" si="23"/>
        <v>1</v>
      </c>
      <c r="K22" s="134">
        <f t="shared" ca="1" si="1"/>
        <v>1</v>
      </c>
      <c r="L22" s="134">
        <f t="shared" ca="1" si="2"/>
        <v>1</v>
      </c>
      <c r="M22" s="133" t="str">
        <f t="shared" ca="1" si="24"/>
        <v>=1</v>
      </c>
      <c r="N22" s="129" t="str">
        <f t="shared" ca="1" si="3"/>
        <v>Santa Cruz</v>
      </c>
      <c r="O22" s="135">
        <f t="shared" ca="1" si="25"/>
        <v>100</v>
      </c>
      <c r="P22" s="135">
        <f t="shared" ca="1" si="26"/>
        <v>100</v>
      </c>
      <c r="Q22" s="136" t="str">
        <f ca="1">IF(ISNA(VLOOKUP(N22,uxb_regions!$C$3:$I$38,7,FALSE)),"",VLOOKUP(N22,uxb_regions!$C$3:$I$38,7,FALSE))</f>
        <v>SACR</v>
      </c>
      <c r="R22" s="133">
        <f t="shared" ca="1" si="27"/>
        <v>100</v>
      </c>
      <c r="S22" s="133">
        <f t="shared" ca="1" si="28"/>
        <v>4</v>
      </c>
      <c r="T22" s="129">
        <f t="shared" ca="1" si="29"/>
        <v>100</v>
      </c>
      <c r="U22" s="129">
        <f>1</f>
        <v>1</v>
      </c>
      <c r="V22" s="129">
        <f t="shared" ca="1" si="4"/>
        <v>1</v>
      </c>
      <c r="W22" s="129">
        <f t="shared" ca="1" si="5"/>
        <v>0</v>
      </c>
      <c r="X22" s="129" t="str">
        <f t="shared" ca="1" si="30"/>
        <v>SACR</v>
      </c>
      <c r="Y22" s="129" t="e">
        <f t="shared" ca="1" si="31"/>
        <v>#N/A</v>
      </c>
      <c r="Z22" s="129" t="e">
        <f t="shared" ca="1" si="32"/>
        <v>#N/A</v>
      </c>
      <c r="AB22" s="129">
        <f>IF($AB$15=1,0,INDEX(tblTerritories!$AS$3:$BB$14,A22,$AB$15))</f>
        <v>0</v>
      </c>
      <c r="AC22" s="129">
        <f t="shared" ca="1" si="6"/>
        <v>0</v>
      </c>
      <c r="AE22" s="129">
        <f>IF($AE$15=1,0,tblTerritories!AN6)</f>
        <v>0</v>
      </c>
      <c r="AF22" s="129">
        <f t="shared" ca="1" si="7"/>
        <v>0</v>
      </c>
      <c r="AJ22" s="129">
        <f t="shared" ca="1" si="8"/>
        <v>100</v>
      </c>
      <c r="AM22" s="95" t="str">
        <f t="shared" ca="1" si="33"/>
        <v>Santa Cruz</v>
      </c>
      <c r="AN22" s="95">
        <f t="shared" ca="1" si="34"/>
        <v>100</v>
      </c>
      <c r="AO22" s="95" t="e">
        <f t="shared" ca="1" si="35"/>
        <v>#N/A</v>
      </c>
      <c r="AP22" s="95" t="e">
        <f t="shared" ca="1" si="9"/>
        <v>#N/A</v>
      </c>
      <c r="AQ22" s="95" t="e">
        <f t="shared" ca="1" si="36"/>
        <v>#N/A</v>
      </c>
      <c r="AR22" s="95" t="e">
        <f t="shared" ca="1" si="37"/>
        <v>#N/A</v>
      </c>
      <c r="AS22" s="95" t="str">
        <f t="shared" ca="1" si="38"/>
        <v>100</v>
      </c>
      <c r="AT22" s="129">
        <f t="shared" ca="1" si="10"/>
        <v>4</v>
      </c>
      <c r="AU22" s="129">
        <f t="shared" ca="1" si="11"/>
        <v>8</v>
      </c>
      <c r="AV22" s="129" t="e">
        <f t="shared" ca="1" si="12"/>
        <v>#N/A</v>
      </c>
      <c r="AW22" s="129">
        <f t="shared" ca="1" si="13"/>
        <v>12</v>
      </c>
      <c r="AY22" s="129" t="str">
        <f t="shared" ca="1" si="14"/>
        <v>Santa Cruz</v>
      </c>
      <c r="AZ22" s="129">
        <f t="shared" ca="1" si="15"/>
        <v>100</v>
      </c>
      <c r="BB22" s="129" t="str">
        <f t="shared" ca="1" si="16"/>
        <v>Montevideo</v>
      </c>
      <c r="BC22" s="129">
        <f t="shared" ca="1" si="17"/>
        <v>50</v>
      </c>
      <c r="BE22" s="129" t="str">
        <f t="shared" ca="1" si="18"/>
        <v/>
      </c>
      <c r="BF22" s="129" t="str">
        <f t="shared" ca="1" si="19"/>
        <v/>
      </c>
      <c r="BH22" s="129" t="str">
        <f t="shared" ca="1" si="20"/>
        <v>Santiago de Chile</v>
      </c>
      <c r="BI22" s="129">
        <f t="shared" ca="1" si="21"/>
        <v>0</v>
      </c>
    </row>
    <row r="23" spans="1:61">
      <c r="A23" s="129">
        <f>tblTerritories!A7</f>
        <v>5</v>
      </c>
      <c r="B23" s="129" t="str">
        <f>tblTerritories!B7</f>
        <v>MEXC</v>
      </c>
      <c r="C23" s="129" t="str">
        <f>tblTerritories!C7</f>
        <v>Ciudad de México</v>
      </c>
      <c r="D23" s="129">
        <f>tblTerritories!D7</f>
        <v>1</v>
      </c>
      <c r="E23" s="129">
        <f>tblTerritories!E7</f>
        <v>0</v>
      </c>
      <c r="F23" s="129">
        <f>IF(tblTerritories!F7=3,3,IF(tblTerritories!F7=2,2,1))</f>
        <v>1</v>
      </c>
      <c r="G23" s="138">
        <f t="shared" ca="1" si="22"/>
        <v>50</v>
      </c>
      <c r="H23" s="129">
        <f ca="1">IF(F23=0,"",RANK(G23,G$19:G$30,$B$7)+COUNTIF(G$19:G23,G23)-1)</f>
        <v>7</v>
      </c>
      <c r="I23" s="129">
        <f t="shared" ca="1" si="0"/>
        <v>1</v>
      </c>
      <c r="J23" s="129">
        <f t="shared" ca="1" si="23"/>
        <v>1</v>
      </c>
      <c r="K23" s="134">
        <f t="shared" ca="1" si="1"/>
        <v>5</v>
      </c>
      <c r="L23" s="134">
        <f t="shared" ca="1" si="2"/>
        <v>1</v>
      </c>
      <c r="M23" s="133" t="str">
        <f t="shared" ca="1" si="24"/>
        <v>=5</v>
      </c>
      <c r="N23" s="129" t="str">
        <f t="shared" ca="1" si="3"/>
        <v>Asunción</v>
      </c>
      <c r="O23" s="135">
        <f t="shared" ca="1" si="25"/>
        <v>50</v>
      </c>
      <c r="P23" s="135">
        <f t="shared" ca="1" si="26"/>
        <v>50</v>
      </c>
      <c r="Q23" s="136" t="str">
        <f ca="1">IF(ISNA(VLOOKUP(N23,uxb_regions!$C$3:$I$38,7,FALSE)),"",VLOOKUP(N23,uxb_regions!$C$3:$I$38,7,FALSE))</f>
        <v>ASUN</v>
      </c>
      <c r="R23" s="133">
        <f t="shared" ca="1" si="27"/>
        <v>50</v>
      </c>
      <c r="S23" s="133">
        <f t="shared" ca="1" si="28"/>
        <v>3</v>
      </c>
      <c r="T23" s="129">
        <f t="shared" ca="1" si="29"/>
        <v>50</v>
      </c>
      <c r="U23" s="129">
        <f>1</f>
        <v>1</v>
      </c>
      <c r="V23" s="129">
        <f t="shared" ca="1" si="4"/>
        <v>1</v>
      </c>
      <c r="W23" s="129">
        <f t="shared" ca="1" si="5"/>
        <v>0</v>
      </c>
      <c r="X23" s="129" t="str">
        <f t="shared" ca="1" si="30"/>
        <v>ASUN</v>
      </c>
      <c r="Y23" s="129" t="e">
        <f t="shared" ca="1" si="31"/>
        <v>#N/A</v>
      </c>
      <c r="Z23" s="129" t="e">
        <f t="shared" ca="1" si="32"/>
        <v>#N/A</v>
      </c>
      <c r="AB23" s="129">
        <f>IF($AB$15=1,0,INDEX(tblTerritories!$AS$3:$BB$14,A23,$AB$15))</f>
        <v>0</v>
      </c>
      <c r="AC23" s="129">
        <f t="shared" ca="1" si="6"/>
        <v>0</v>
      </c>
      <c r="AE23" s="129">
        <f>IF($AE$15=1,0,tblTerritories!AN7)</f>
        <v>0</v>
      </c>
      <c r="AF23" s="129">
        <f t="shared" ca="1" si="7"/>
        <v>0</v>
      </c>
      <c r="AJ23" s="129">
        <f t="shared" ca="1" si="8"/>
        <v>50</v>
      </c>
      <c r="AM23" s="95" t="str">
        <f t="shared" ca="1" si="33"/>
        <v>Asunción</v>
      </c>
      <c r="AN23" s="95">
        <f t="shared" ca="1" si="34"/>
        <v>50</v>
      </c>
      <c r="AO23" s="95" t="e">
        <f t="shared" ca="1" si="35"/>
        <v>#N/A</v>
      </c>
      <c r="AP23" s="95" t="e">
        <f t="shared" ca="1" si="9"/>
        <v>#N/A</v>
      </c>
      <c r="AQ23" s="95" t="e">
        <f t="shared" ca="1" si="36"/>
        <v>#N/A</v>
      </c>
      <c r="AR23" s="95" t="e">
        <f t="shared" ca="1" si="37"/>
        <v>#N/A</v>
      </c>
      <c r="AS23" s="95" t="str">
        <f t="shared" ca="1" si="38"/>
        <v>50</v>
      </c>
      <c r="AT23" s="129" t="e">
        <f t="shared" ca="1" si="10"/>
        <v>#N/A</v>
      </c>
      <c r="AU23" s="129" t="e">
        <f t="shared" ca="1" si="11"/>
        <v>#N/A</v>
      </c>
      <c r="AV23" s="129" t="e">
        <f t="shared" ca="1" si="12"/>
        <v>#N/A</v>
      </c>
      <c r="AW23" s="129" t="e">
        <f t="shared" ca="1" si="13"/>
        <v>#N/A</v>
      </c>
      <c r="AY23" s="129" t="str">
        <f t="shared" ca="1" si="14"/>
        <v/>
      </c>
      <c r="AZ23" s="129" t="str">
        <f t="shared" ca="1" si="15"/>
        <v/>
      </c>
      <c r="BB23" s="129" t="str">
        <f t="shared" ca="1" si="16"/>
        <v/>
      </c>
      <c r="BC23" s="129" t="str">
        <f t="shared" ca="1" si="17"/>
        <v/>
      </c>
      <c r="BE23" s="129" t="str">
        <f t="shared" ca="1" si="18"/>
        <v/>
      </c>
      <c r="BF23" s="129" t="str">
        <f t="shared" ca="1" si="19"/>
        <v/>
      </c>
      <c r="BH23" s="129" t="str">
        <f t="shared" ca="1" si="20"/>
        <v/>
      </c>
      <c r="BI23" s="129" t="str">
        <f t="shared" ca="1" si="21"/>
        <v/>
      </c>
    </row>
    <row r="24" spans="1:61">
      <c r="A24" s="129">
        <f>tblTerritories!A8</f>
        <v>6</v>
      </c>
      <c r="B24" s="129" t="str">
        <f>tblTerritories!B8</f>
        <v>LIMA</v>
      </c>
      <c r="C24" s="129" t="str">
        <f>tblTerritories!C8</f>
        <v>Lima</v>
      </c>
      <c r="D24" s="129">
        <f>tblTerritories!D8</f>
        <v>1</v>
      </c>
      <c r="E24" s="129">
        <f>tblTerritories!E8</f>
        <v>0</v>
      </c>
      <c r="F24" s="129">
        <f>IF(tblTerritories!F8=3,3,IF(tblTerritories!F8=2,2,1))</f>
        <v>1</v>
      </c>
      <c r="G24" s="138">
        <f t="shared" ca="1" si="22"/>
        <v>0</v>
      </c>
      <c r="H24" s="129">
        <f ca="1">IF(F24=0,"",RANK(G24,G$19:G$30,$B$7)+COUNTIF(G$19:G24,G24)-1)</f>
        <v>10</v>
      </c>
      <c r="I24" s="129">
        <f t="shared" ca="1" si="0"/>
        <v>3</v>
      </c>
      <c r="J24" s="129">
        <f t="shared" ca="1" si="23"/>
        <v>1</v>
      </c>
      <c r="K24" s="134">
        <f t="shared" ca="1" si="1"/>
        <v>5</v>
      </c>
      <c r="L24" s="134">
        <f t="shared" ca="1" si="2"/>
        <v>1</v>
      </c>
      <c r="M24" s="133" t="str">
        <f t="shared" ca="1" si="24"/>
        <v>=5</v>
      </c>
      <c r="N24" s="129" t="str">
        <f t="shared" ca="1" si="3"/>
        <v>Buenos Aires</v>
      </c>
      <c r="O24" s="135">
        <f t="shared" ca="1" si="25"/>
        <v>50</v>
      </c>
      <c r="P24" s="135">
        <f t="shared" ca="1" si="26"/>
        <v>50</v>
      </c>
      <c r="Q24" s="136" t="str">
        <f ca="1">IF(ISNA(VLOOKUP(N24,uxb_regions!$C$3:$I$38,7,FALSE)),"",VLOOKUP(N24,uxb_regions!$C$3:$I$38,7,FALSE))</f>
        <v>BSAS</v>
      </c>
      <c r="R24" s="133">
        <f t="shared" ca="1" si="27"/>
        <v>50</v>
      </c>
      <c r="S24" s="133">
        <f t="shared" ca="1" si="28"/>
        <v>3</v>
      </c>
      <c r="T24" s="129">
        <f t="shared" ca="1" si="29"/>
        <v>50</v>
      </c>
      <c r="U24" s="129">
        <f>1</f>
        <v>1</v>
      </c>
      <c r="V24" s="129">
        <f t="shared" ca="1" si="4"/>
        <v>1</v>
      </c>
      <c r="W24" s="129">
        <f t="shared" ca="1" si="5"/>
        <v>0</v>
      </c>
      <c r="X24" s="129" t="str">
        <f t="shared" ca="1" si="30"/>
        <v>BSAS</v>
      </c>
      <c r="Y24" s="129" t="e">
        <f t="shared" ca="1" si="31"/>
        <v>#N/A</v>
      </c>
      <c r="Z24" s="129" t="e">
        <f t="shared" ca="1" si="32"/>
        <v>#N/A</v>
      </c>
      <c r="AB24" s="129">
        <f>IF($AB$15=1,0,INDEX(tblTerritories!$AS$3:$BB$14,A24,$AB$15))</f>
        <v>0</v>
      </c>
      <c r="AC24" s="129">
        <f t="shared" ca="1" si="6"/>
        <v>0</v>
      </c>
      <c r="AE24" s="129">
        <f>IF($AE$15=1,0,tblTerritories!AN8)</f>
        <v>0</v>
      </c>
      <c r="AF24" s="129">
        <f t="shared" ca="1" si="7"/>
        <v>0</v>
      </c>
      <c r="AJ24" s="129">
        <f t="shared" ca="1" si="8"/>
        <v>50</v>
      </c>
      <c r="AM24" s="95" t="str">
        <f t="shared" ca="1" si="33"/>
        <v>Buenos Aires</v>
      </c>
      <c r="AN24" s="95">
        <f t="shared" ca="1" si="34"/>
        <v>50</v>
      </c>
      <c r="AO24" s="95" t="e">
        <f t="shared" ca="1" si="35"/>
        <v>#N/A</v>
      </c>
      <c r="AP24" s="95" t="e">
        <f t="shared" ca="1" si="9"/>
        <v>#N/A</v>
      </c>
      <c r="AQ24" s="95" t="e">
        <f t="shared" ca="1" si="36"/>
        <v>#N/A</v>
      </c>
      <c r="AR24" s="95" t="e">
        <f t="shared" ca="1" si="37"/>
        <v>#N/A</v>
      </c>
      <c r="AS24" s="95" t="str">
        <f t="shared" ca="1" si="38"/>
        <v>50</v>
      </c>
      <c r="AT24" s="129" t="e">
        <f t="shared" ca="1" si="10"/>
        <v>#N/A</v>
      </c>
      <c r="AU24" s="129" t="e">
        <f t="shared" ca="1" si="11"/>
        <v>#N/A</v>
      </c>
      <c r="AV24" s="129" t="e">
        <f t="shared" ca="1" si="12"/>
        <v>#N/A</v>
      </c>
      <c r="AW24" s="129" t="e">
        <f t="shared" ca="1" si="13"/>
        <v>#N/A</v>
      </c>
      <c r="AY24" s="129" t="str">
        <f t="shared" ca="1" si="14"/>
        <v/>
      </c>
      <c r="AZ24" s="129" t="str">
        <f t="shared" ca="1" si="15"/>
        <v/>
      </c>
      <c r="BB24" s="129" t="str">
        <f t="shared" ca="1" si="16"/>
        <v/>
      </c>
      <c r="BC24" s="129" t="str">
        <f t="shared" ca="1" si="17"/>
        <v/>
      </c>
      <c r="BE24" s="129" t="str">
        <f t="shared" ca="1" si="18"/>
        <v/>
      </c>
      <c r="BF24" s="129" t="str">
        <f t="shared" ca="1" si="19"/>
        <v/>
      </c>
      <c r="BH24" s="129" t="str">
        <f t="shared" ca="1" si="20"/>
        <v/>
      </c>
      <c r="BI24" s="129" t="str">
        <f t="shared" ca="1" si="21"/>
        <v/>
      </c>
    </row>
    <row r="25" spans="1:61">
      <c r="A25" s="129">
        <f>tblTerritories!A9</f>
        <v>7</v>
      </c>
      <c r="B25" s="129" t="str">
        <f>tblTerritories!B9</f>
        <v>MONT</v>
      </c>
      <c r="C25" s="129" t="str">
        <f>tblTerritories!C9</f>
        <v>Montevideo</v>
      </c>
      <c r="D25" s="129">
        <f>tblTerritories!D9</f>
        <v>1</v>
      </c>
      <c r="E25" s="129">
        <f>tblTerritories!E9</f>
        <v>0</v>
      </c>
      <c r="F25" s="129">
        <f>IF(tblTerritories!F9=3,3,IF(tblTerritories!F9=2,2,1))</f>
        <v>1</v>
      </c>
      <c r="G25" s="138">
        <f t="shared" ca="1" si="22"/>
        <v>50</v>
      </c>
      <c r="H25" s="129">
        <f ca="1">IF(F25=0,"",RANK(G25,G$19:G$30,$B$7)+COUNTIF(G$19:G25,G25)-1)</f>
        <v>8</v>
      </c>
      <c r="I25" s="129">
        <f t="shared" ca="1" si="0"/>
        <v>5</v>
      </c>
      <c r="J25" s="129">
        <f t="shared" ca="1" si="23"/>
        <v>1</v>
      </c>
      <c r="K25" s="134">
        <f t="shared" ca="1" si="1"/>
        <v>5</v>
      </c>
      <c r="L25" s="134">
        <f t="shared" ca="1" si="2"/>
        <v>1</v>
      </c>
      <c r="M25" s="133" t="str">
        <f t="shared" ca="1" si="24"/>
        <v>=5</v>
      </c>
      <c r="N25" s="129" t="str">
        <f t="shared" ca="1" si="3"/>
        <v>Ciudad de México</v>
      </c>
      <c r="O25" s="135">
        <f t="shared" ca="1" si="25"/>
        <v>50</v>
      </c>
      <c r="P25" s="135">
        <f t="shared" ca="1" si="26"/>
        <v>50</v>
      </c>
      <c r="Q25" s="136" t="str">
        <f ca="1">IF(ISNA(VLOOKUP(N25,uxb_regions!$C$3:$I$38,7,FALSE)),"",VLOOKUP(N25,uxb_regions!$C$3:$I$38,7,FALSE))</f>
        <v>MEXC</v>
      </c>
      <c r="R25" s="133">
        <f t="shared" ca="1" si="27"/>
        <v>50</v>
      </c>
      <c r="S25" s="133">
        <f t="shared" ca="1" si="28"/>
        <v>3</v>
      </c>
      <c r="T25" s="129">
        <f t="shared" ca="1" si="29"/>
        <v>50</v>
      </c>
      <c r="U25" s="129">
        <f>1</f>
        <v>1</v>
      </c>
      <c r="V25" s="129">
        <f t="shared" ca="1" si="4"/>
        <v>1</v>
      </c>
      <c r="W25" s="129">
        <f t="shared" ca="1" si="5"/>
        <v>0</v>
      </c>
      <c r="X25" s="129" t="str">
        <f t="shared" ca="1" si="30"/>
        <v>MEXC</v>
      </c>
      <c r="Y25" s="129" t="e">
        <f t="shared" ca="1" si="31"/>
        <v>#N/A</v>
      </c>
      <c r="Z25" s="129" t="e">
        <f t="shared" ca="1" si="32"/>
        <v>#N/A</v>
      </c>
      <c r="AB25" s="129">
        <f>IF($AB$15=1,0,INDEX(tblTerritories!$AS$3:$BB$14,A25,$AB$15))</f>
        <v>0</v>
      </c>
      <c r="AC25" s="129">
        <f t="shared" ca="1" si="6"/>
        <v>0</v>
      </c>
      <c r="AE25" s="129">
        <f>IF($AE$15=1,0,tblTerritories!AN9)</f>
        <v>0</v>
      </c>
      <c r="AF25" s="129">
        <f t="shared" ca="1" si="7"/>
        <v>0</v>
      </c>
      <c r="AJ25" s="129">
        <f t="shared" ca="1" si="8"/>
        <v>50</v>
      </c>
      <c r="AM25" s="95" t="str">
        <f t="shared" ca="1" si="33"/>
        <v>Ciudad de México</v>
      </c>
      <c r="AN25" s="95">
        <f t="shared" ca="1" si="34"/>
        <v>50</v>
      </c>
      <c r="AO25" s="95" t="e">
        <f t="shared" ca="1" si="35"/>
        <v>#N/A</v>
      </c>
      <c r="AP25" s="95" t="e">
        <f t="shared" ca="1" si="9"/>
        <v>#N/A</v>
      </c>
      <c r="AQ25" s="95" t="e">
        <f t="shared" ca="1" si="36"/>
        <v>#N/A</v>
      </c>
      <c r="AR25" s="95" t="e">
        <f t="shared" ca="1" si="37"/>
        <v>#N/A</v>
      </c>
      <c r="AS25" s="95" t="str">
        <f t="shared" ca="1" si="38"/>
        <v>50</v>
      </c>
      <c r="AT25" s="129" t="e">
        <f t="shared" ca="1" si="10"/>
        <v>#N/A</v>
      </c>
      <c r="AU25" s="129" t="e">
        <f t="shared" ca="1" si="11"/>
        <v>#N/A</v>
      </c>
      <c r="AV25" s="129" t="e">
        <f t="shared" ca="1" si="12"/>
        <v>#N/A</v>
      </c>
      <c r="AW25" s="129" t="e">
        <f t="shared" ca="1" si="13"/>
        <v>#N/A</v>
      </c>
      <c r="AY25" s="129" t="str">
        <f t="shared" ca="1" si="14"/>
        <v/>
      </c>
      <c r="AZ25" s="129" t="str">
        <f t="shared" ca="1" si="15"/>
        <v/>
      </c>
      <c r="BB25" s="129" t="str">
        <f t="shared" ca="1" si="16"/>
        <v/>
      </c>
      <c r="BC25" s="129" t="str">
        <f t="shared" ca="1" si="17"/>
        <v/>
      </c>
      <c r="BE25" s="129" t="str">
        <f t="shared" ca="1" si="18"/>
        <v/>
      </c>
      <c r="BF25" s="129" t="str">
        <f t="shared" ca="1" si="19"/>
        <v/>
      </c>
      <c r="BH25" s="129" t="str">
        <f t="shared" ca="1" si="20"/>
        <v/>
      </c>
      <c r="BI25" s="129" t="str">
        <f t="shared" ca="1" si="21"/>
        <v/>
      </c>
    </row>
    <row r="26" spans="1:61">
      <c r="A26" s="129">
        <f>tblTerritories!A10</f>
        <v>8</v>
      </c>
      <c r="B26" s="129" t="str">
        <f>tblTerritories!B10</f>
        <v>QUIT</v>
      </c>
      <c r="C26" s="129" t="str">
        <f>tblTerritories!C10</f>
        <v>Quito</v>
      </c>
      <c r="D26" s="129">
        <f>tblTerritories!D10</f>
        <v>1</v>
      </c>
      <c r="E26" s="129">
        <f>tblTerritories!E10</f>
        <v>0</v>
      </c>
      <c r="F26" s="129">
        <f>IF(tblTerritories!F10=3,3,IF(tblTerritories!F10=2,2,1))</f>
        <v>1</v>
      </c>
      <c r="G26" s="138">
        <f t="shared" ca="1" si="22"/>
        <v>100</v>
      </c>
      <c r="H26" s="129">
        <f ca="1">IF(F26=0,"",RANK(G26,G$19:G$30,$B$7)+COUNTIF(G$19:G26,G26)-1)</f>
        <v>2</v>
      </c>
      <c r="I26" s="129">
        <f t="shared" ca="1" si="0"/>
        <v>7</v>
      </c>
      <c r="J26" s="129">
        <f t="shared" ca="1" si="23"/>
        <v>1</v>
      </c>
      <c r="K26" s="134">
        <f t="shared" ca="1" si="1"/>
        <v>5</v>
      </c>
      <c r="L26" s="134">
        <f t="shared" ca="1" si="2"/>
        <v>1</v>
      </c>
      <c r="M26" s="133" t="str">
        <f t="shared" ca="1" si="24"/>
        <v>=5</v>
      </c>
      <c r="N26" s="129" t="str">
        <f t="shared" ca="1" si="3"/>
        <v>Montevideo</v>
      </c>
      <c r="O26" s="135">
        <f t="shared" ca="1" si="25"/>
        <v>50</v>
      </c>
      <c r="P26" s="135">
        <f t="shared" ca="1" si="26"/>
        <v>50</v>
      </c>
      <c r="Q26" s="136" t="str">
        <f ca="1">IF(ISNA(VLOOKUP(N26,uxb_regions!$C$3:$I$38,7,FALSE)),"",VLOOKUP(N26,uxb_regions!$C$3:$I$38,7,FALSE))</f>
        <v>MONT</v>
      </c>
      <c r="R26" s="133">
        <f t="shared" ca="1" si="27"/>
        <v>50</v>
      </c>
      <c r="S26" s="133">
        <f t="shared" ca="1" si="28"/>
        <v>3</v>
      </c>
      <c r="T26" s="129">
        <f t="shared" ca="1" si="29"/>
        <v>50</v>
      </c>
      <c r="U26" s="129">
        <f>1</f>
        <v>1</v>
      </c>
      <c r="V26" s="129">
        <f t="shared" ca="1" si="4"/>
        <v>1</v>
      </c>
      <c r="W26" s="129">
        <f t="shared" ca="1" si="5"/>
        <v>0</v>
      </c>
      <c r="X26" s="129" t="str">
        <f t="shared" ca="1" si="30"/>
        <v>MONT</v>
      </c>
      <c r="Y26" s="129" t="e">
        <f t="shared" ca="1" si="31"/>
        <v>#N/A</v>
      </c>
      <c r="Z26" s="129" t="e">
        <f t="shared" ca="1" si="32"/>
        <v>#N/A</v>
      </c>
      <c r="AB26" s="129">
        <f>IF($AB$15=1,0,INDEX(tblTerritories!$AS$3:$BB$14,A26,$AB$15))</f>
        <v>0</v>
      </c>
      <c r="AC26" s="129">
        <f t="shared" ca="1" si="6"/>
        <v>0</v>
      </c>
      <c r="AE26" s="129">
        <f>IF($AE$15=1,0,tblTerritories!AN10)</f>
        <v>0</v>
      </c>
      <c r="AF26" s="129">
        <f t="shared" ca="1" si="7"/>
        <v>0</v>
      </c>
      <c r="AJ26" s="129">
        <f t="shared" ca="1" si="8"/>
        <v>50</v>
      </c>
      <c r="AM26" s="95" t="str">
        <f t="shared" ca="1" si="33"/>
        <v>Montevideo</v>
      </c>
      <c r="AN26" s="95">
        <f t="shared" ca="1" si="34"/>
        <v>50</v>
      </c>
      <c r="AO26" s="95" t="e">
        <f t="shared" ca="1" si="35"/>
        <v>#N/A</v>
      </c>
      <c r="AP26" s="95" t="e">
        <f t="shared" ca="1" si="9"/>
        <v>#N/A</v>
      </c>
      <c r="AQ26" s="95" t="e">
        <f t="shared" ca="1" si="36"/>
        <v>#N/A</v>
      </c>
      <c r="AR26" s="95" t="e">
        <f t="shared" ca="1" si="37"/>
        <v>#N/A</v>
      </c>
      <c r="AS26" s="95" t="str">
        <f t="shared" ca="1" si="38"/>
        <v>50</v>
      </c>
      <c r="AT26" s="129" t="e">
        <f t="shared" ca="1" si="10"/>
        <v>#N/A</v>
      </c>
      <c r="AU26" s="129" t="e">
        <f t="shared" ca="1" si="11"/>
        <v>#N/A</v>
      </c>
      <c r="AV26" s="129" t="e">
        <f t="shared" ca="1" si="12"/>
        <v>#N/A</v>
      </c>
      <c r="AW26" s="129" t="e">
        <f t="shared" ca="1" si="13"/>
        <v>#N/A</v>
      </c>
      <c r="AY26" s="129" t="str">
        <f t="shared" ca="1" si="14"/>
        <v/>
      </c>
      <c r="AZ26" s="129" t="str">
        <f t="shared" ca="1" si="15"/>
        <v/>
      </c>
      <c r="BB26" s="129" t="str">
        <f t="shared" ca="1" si="16"/>
        <v/>
      </c>
      <c r="BC26" s="129" t="str">
        <f t="shared" ca="1" si="17"/>
        <v/>
      </c>
      <c r="BE26" s="129" t="str">
        <f t="shared" ca="1" si="18"/>
        <v/>
      </c>
      <c r="BF26" s="129" t="str">
        <f t="shared" ca="1" si="19"/>
        <v/>
      </c>
      <c r="BH26" s="129" t="str">
        <f t="shared" ca="1" si="20"/>
        <v/>
      </c>
      <c r="BI26" s="129" t="str">
        <f t="shared" ca="1" si="21"/>
        <v/>
      </c>
    </row>
    <row r="27" spans="1:61">
      <c r="A27" s="129">
        <f>tblTerritories!A11</f>
        <v>9</v>
      </c>
      <c r="B27" s="129" t="str">
        <f>tblTerritories!B11</f>
        <v>SANJ</v>
      </c>
      <c r="C27" s="129" t="str">
        <f>tblTerritories!C11</f>
        <v>San José</v>
      </c>
      <c r="D27" s="129">
        <f>tblTerritories!D11</f>
        <v>1</v>
      </c>
      <c r="E27" s="129">
        <f>tblTerritories!E11</f>
        <v>0</v>
      </c>
      <c r="F27" s="129">
        <f>IF(tblTerritories!F11=3,3,IF(tblTerritories!F11=2,2,1))</f>
        <v>1</v>
      </c>
      <c r="G27" s="138">
        <f t="shared" ca="1" si="22"/>
        <v>0</v>
      </c>
      <c r="H27" s="129">
        <f ca="1">IF(F27=0,"",RANK(G27,G$19:G$30,$B$7)+COUNTIF(G$19:G27,G27)-1)</f>
        <v>11</v>
      </c>
      <c r="I27" s="129">
        <f t="shared" ca="1" si="0"/>
        <v>4</v>
      </c>
      <c r="J27" s="129">
        <f t="shared" ca="1" si="23"/>
        <v>1</v>
      </c>
      <c r="K27" s="134">
        <f t="shared" ca="1" si="1"/>
        <v>9</v>
      </c>
      <c r="L27" s="134">
        <f t="shared" ca="1" si="2"/>
        <v>1</v>
      </c>
      <c r="M27" s="133" t="str">
        <f t="shared" ca="1" si="24"/>
        <v>=9</v>
      </c>
      <c r="N27" s="129" t="str">
        <f t="shared" ca="1" si="3"/>
        <v>Ciudad de Belice</v>
      </c>
      <c r="O27" s="135">
        <f t="shared" ca="1" si="25"/>
        <v>0</v>
      </c>
      <c r="P27" s="135">
        <f t="shared" ca="1" si="26"/>
        <v>0</v>
      </c>
      <c r="Q27" s="136" t="str">
        <f ca="1">IF(ISNA(VLOOKUP(N27,uxb_regions!$C$3:$I$38,7,FALSE)),"",VLOOKUP(N27,uxb_regions!$C$3:$I$38,7,FALSE))</f>
        <v>CDBE</v>
      </c>
      <c r="R27" s="133">
        <f t="shared" ca="1" si="27"/>
        <v>0</v>
      </c>
      <c r="S27" s="133">
        <f t="shared" ca="1" si="28"/>
        <v>1</v>
      </c>
      <c r="T27" s="129">
        <f t="shared" ca="1" si="29"/>
        <v>0</v>
      </c>
      <c r="U27" s="129">
        <f>1</f>
        <v>1</v>
      </c>
      <c r="V27" s="129">
        <f t="shared" ca="1" si="4"/>
        <v>1</v>
      </c>
      <c r="W27" s="129">
        <f t="shared" ca="1" si="5"/>
        <v>0</v>
      </c>
      <c r="X27" s="129" t="str">
        <f t="shared" ca="1" si="30"/>
        <v>CDBE</v>
      </c>
      <c r="Y27" s="129" t="e">
        <f t="shared" ca="1" si="31"/>
        <v>#N/A</v>
      </c>
      <c r="Z27" s="129" t="e">
        <f t="shared" ca="1" si="32"/>
        <v>#N/A</v>
      </c>
      <c r="AB27" s="129">
        <f>IF($AB$15=1,0,INDEX(tblTerritories!$AS$3:$BB$14,A27,$AB$15))</f>
        <v>0</v>
      </c>
      <c r="AC27" s="129">
        <f t="shared" ca="1" si="6"/>
        <v>0</v>
      </c>
      <c r="AE27" s="129">
        <f>IF($AE$15=1,0,tblTerritories!AN11)</f>
        <v>0</v>
      </c>
      <c r="AF27" s="129">
        <f t="shared" ca="1" si="7"/>
        <v>0</v>
      </c>
      <c r="AJ27" s="129">
        <f t="shared" ca="1" si="8"/>
        <v>0</v>
      </c>
      <c r="AM27" s="95" t="str">
        <f t="shared" ca="1" si="33"/>
        <v>Ciudad de Belice</v>
      </c>
      <c r="AN27" s="95">
        <f t="shared" ca="1" si="34"/>
        <v>0</v>
      </c>
      <c r="AO27" s="95" t="e">
        <f t="shared" ca="1" si="35"/>
        <v>#N/A</v>
      </c>
      <c r="AP27" s="95" t="e">
        <f t="shared" ca="1" si="9"/>
        <v>#N/A</v>
      </c>
      <c r="AQ27" s="95" t="e">
        <f t="shared" ca="1" si="36"/>
        <v>#N/A</v>
      </c>
      <c r="AR27" s="95" t="e">
        <f t="shared" ca="1" si="37"/>
        <v>#N/A</v>
      </c>
      <c r="AS27" s="95" t="str">
        <f t="shared" ca="1" si="38"/>
        <v>0</v>
      </c>
      <c r="AT27" s="129" t="e">
        <f t="shared" ca="1" si="10"/>
        <v>#N/A</v>
      </c>
      <c r="AU27" s="129" t="e">
        <f t="shared" ca="1" si="11"/>
        <v>#N/A</v>
      </c>
      <c r="AV27" s="129" t="e">
        <f t="shared" ca="1" si="12"/>
        <v>#N/A</v>
      </c>
      <c r="AW27" s="129" t="e">
        <f t="shared" ca="1" si="13"/>
        <v>#N/A</v>
      </c>
      <c r="AY27" s="129" t="str">
        <f t="shared" ca="1" si="14"/>
        <v/>
      </c>
      <c r="AZ27" s="129" t="str">
        <f t="shared" ca="1" si="15"/>
        <v/>
      </c>
      <c r="BB27" s="129" t="str">
        <f t="shared" ca="1" si="16"/>
        <v/>
      </c>
      <c r="BC27" s="129" t="str">
        <f t="shared" ca="1" si="17"/>
        <v/>
      </c>
      <c r="BE27" s="129" t="str">
        <f t="shared" ca="1" si="18"/>
        <v/>
      </c>
      <c r="BF27" s="129" t="str">
        <f t="shared" ca="1" si="19"/>
        <v/>
      </c>
      <c r="BH27" s="129" t="str">
        <f t="shared" ca="1" si="20"/>
        <v/>
      </c>
      <c r="BI27" s="129" t="str">
        <f t="shared" ca="1" si="21"/>
        <v/>
      </c>
    </row>
    <row r="28" spans="1:61">
      <c r="A28" s="129">
        <f>tblTerritories!A12</f>
        <v>10</v>
      </c>
      <c r="B28" s="129" t="str">
        <f>tblTerritories!B12</f>
        <v>SAPA</v>
      </c>
      <c r="C28" s="129" t="str">
        <f>tblTerritories!C12</f>
        <v>San Pablo</v>
      </c>
      <c r="D28" s="129">
        <f>tblTerritories!D12</f>
        <v>1</v>
      </c>
      <c r="E28" s="129">
        <f>tblTerritories!E12</f>
        <v>0</v>
      </c>
      <c r="F28" s="129">
        <f>IF(tblTerritories!F12=3,3,IF(tblTerritories!F12=2,2,1))</f>
        <v>1</v>
      </c>
      <c r="G28" s="138">
        <f t="shared" ca="1" si="22"/>
        <v>100</v>
      </c>
      <c r="H28" s="129">
        <f ca="1">IF(F28=0,"",RANK(G28,G$19:G$30,$B$7)+COUNTIF(G$19:G28,G28)-1)</f>
        <v>3</v>
      </c>
      <c r="I28" s="129">
        <f t="shared" ca="1" si="0"/>
        <v>6</v>
      </c>
      <c r="J28" s="129">
        <f t="shared" ca="1" si="23"/>
        <v>1</v>
      </c>
      <c r="K28" s="134">
        <f t="shared" ca="1" si="1"/>
        <v>9</v>
      </c>
      <c r="L28" s="134">
        <f t="shared" ca="1" si="2"/>
        <v>1</v>
      </c>
      <c r="M28" s="133" t="str">
        <f t="shared" ca="1" si="24"/>
        <v>=9</v>
      </c>
      <c r="N28" s="129" t="str">
        <f t="shared" ca="1" si="3"/>
        <v>Lima</v>
      </c>
      <c r="O28" s="135">
        <f t="shared" ca="1" si="25"/>
        <v>0</v>
      </c>
      <c r="P28" s="135">
        <f t="shared" ca="1" si="26"/>
        <v>0</v>
      </c>
      <c r="Q28" s="136" t="str">
        <f ca="1">IF(ISNA(VLOOKUP(N28,uxb_regions!$C$3:$I$38,7,FALSE)),"",VLOOKUP(N28,uxb_regions!$C$3:$I$38,7,FALSE))</f>
        <v>LIMA</v>
      </c>
      <c r="R28" s="133">
        <f t="shared" ca="1" si="27"/>
        <v>0</v>
      </c>
      <c r="S28" s="133">
        <f t="shared" ca="1" si="28"/>
        <v>1</v>
      </c>
      <c r="T28" s="129">
        <f t="shared" ca="1" si="29"/>
        <v>0</v>
      </c>
      <c r="U28" s="129">
        <f>1</f>
        <v>1</v>
      </c>
      <c r="V28" s="129">
        <f t="shared" ca="1" si="4"/>
        <v>1</v>
      </c>
      <c r="W28" s="129">
        <f t="shared" ca="1" si="5"/>
        <v>0</v>
      </c>
      <c r="X28" s="129" t="str">
        <f t="shared" ca="1" si="30"/>
        <v>LIMA</v>
      </c>
      <c r="Y28" s="129" t="e">
        <f t="shared" ca="1" si="31"/>
        <v>#N/A</v>
      </c>
      <c r="Z28" s="129" t="e">
        <f t="shared" ca="1" si="32"/>
        <v>#N/A</v>
      </c>
      <c r="AB28" s="129">
        <f>IF($AB$15=1,0,INDEX(tblTerritories!$AS$3:$BB$14,A28,$AB$15))</f>
        <v>0</v>
      </c>
      <c r="AC28" s="129">
        <f t="shared" ca="1" si="6"/>
        <v>0</v>
      </c>
      <c r="AE28" s="129">
        <f>IF($AE$15=1,0,tblTerritories!AN12)</f>
        <v>0</v>
      </c>
      <c r="AF28" s="129">
        <f t="shared" ca="1" si="7"/>
        <v>0</v>
      </c>
      <c r="AJ28" s="129">
        <f t="shared" ca="1" si="8"/>
        <v>0</v>
      </c>
      <c r="AM28" s="95" t="str">
        <f t="shared" ca="1" si="33"/>
        <v>Lima</v>
      </c>
      <c r="AN28" s="95">
        <f t="shared" ca="1" si="34"/>
        <v>0</v>
      </c>
      <c r="AO28" s="95" t="e">
        <f t="shared" ca="1" si="35"/>
        <v>#N/A</v>
      </c>
      <c r="AP28" s="95" t="e">
        <f t="shared" ca="1" si="9"/>
        <v>#N/A</v>
      </c>
      <c r="AQ28" s="95" t="e">
        <f t="shared" ca="1" si="36"/>
        <v>#N/A</v>
      </c>
      <c r="AR28" s="95" t="e">
        <f t="shared" ca="1" si="37"/>
        <v>#N/A</v>
      </c>
      <c r="AS28" s="95" t="str">
        <f t="shared" ca="1" si="38"/>
        <v>0</v>
      </c>
      <c r="AT28" s="129" t="e">
        <f t="shared" ca="1" si="10"/>
        <v>#N/A</v>
      </c>
      <c r="AU28" s="129" t="e">
        <f t="shared" ca="1" si="11"/>
        <v>#N/A</v>
      </c>
      <c r="AV28" s="129" t="e">
        <f t="shared" ca="1" si="12"/>
        <v>#N/A</v>
      </c>
      <c r="AW28" s="129" t="e">
        <f t="shared" ca="1" si="13"/>
        <v>#N/A</v>
      </c>
      <c r="AY28" s="129" t="str">
        <f t="shared" ca="1" si="14"/>
        <v/>
      </c>
      <c r="AZ28" s="129" t="str">
        <f t="shared" ca="1" si="15"/>
        <v/>
      </c>
      <c r="BB28" s="129" t="str">
        <f t="shared" ca="1" si="16"/>
        <v/>
      </c>
      <c r="BC28" s="129" t="str">
        <f t="shared" ca="1" si="17"/>
        <v/>
      </c>
      <c r="BE28" s="129" t="str">
        <f t="shared" ca="1" si="18"/>
        <v/>
      </c>
      <c r="BF28" s="129" t="str">
        <f t="shared" ca="1" si="19"/>
        <v/>
      </c>
      <c r="BH28" s="129" t="str">
        <f t="shared" ca="1" si="20"/>
        <v/>
      </c>
      <c r="BI28" s="129" t="str">
        <f t="shared" ca="1" si="21"/>
        <v/>
      </c>
    </row>
    <row r="29" spans="1:61">
      <c r="A29" s="129">
        <f>tblTerritories!A13</f>
        <v>11</v>
      </c>
      <c r="B29" s="129" t="str">
        <f>tblTerritories!B13</f>
        <v>SACR</v>
      </c>
      <c r="C29" s="129" t="str">
        <f>tblTerritories!C13</f>
        <v>Santa Cruz</v>
      </c>
      <c r="D29" s="129">
        <f>tblTerritories!D13</f>
        <v>1</v>
      </c>
      <c r="E29" s="129">
        <f>tblTerritories!E13</f>
        <v>0</v>
      </c>
      <c r="F29" s="129">
        <f>IF(tblTerritories!F13=3,3,IF(tblTerritories!F13=2,2,1))</f>
        <v>1</v>
      </c>
      <c r="G29" s="138">
        <f t="shared" ca="1" si="22"/>
        <v>100</v>
      </c>
      <c r="H29" s="129">
        <f ca="1">IF(F29=0,"",RANK(G29,G$19:G$30,$B$7)+COUNTIF(G$19:G29,G29)-1)</f>
        <v>4</v>
      </c>
      <c r="I29" s="129">
        <f t="shared" ca="1" si="0"/>
        <v>9</v>
      </c>
      <c r="J29" s="129">
        <f t="shared" ca="1" si="23"/>
        <v>1</v>
      </c>
      <c r="K29" s="134">
        <f t="shared" ca="1" si="1"/>
        <v>9</v>
      </c>
      <c r="L29" s="134">
        <f t="shared" ca="1" si="2"/>
        <v>1</v>
      </c>
      <c r="M29" s="133" t="str">
        <f t="shared" ca="1" si="24"/>
        <v>=9</v>
      </c>
      <c r="N29" s="129" t="str">
        <f t="shared" ca="1" si="3"/>
        <v>San José</v>
      </c>
      <c r="O29" s="135">
        <f t="shared" ca="1" si="25"/>
        <v>0</v>
      </c>
      <c r="P29" s="135">
        <f t="shared" ca="1" si="26"/>
        <v>0</v>
      </c>
      <c r="Q29" s="136" t="str">
        <f ca="1">IF(ISNA(VLOOKUP(N29,uxb_regions!$C$3:$I$38,7,FALSE)),"",VLOOKUP(N29,uxb_regions!$C$3:$I$38,7,FALSE))</f>
        <v>SANJ</v>
      </c>
      <c r="R29" s="133">
        <f t="shared" ca="1" si="27"/>
        <v>0</v>
      </c>
      <c r="S29" s="133">
        <f t="shared" ca="1" si="28"/>
        <v>1</v>
      </c>
      <c r="T29" s="129">
        <f t="shared" ca="1" si="29"/>
        <v>0</v>
      </c>
      <c r="U29" s="129">
        <f>1</f>
        <v>1</v>
      </c>
      <c r="V29" s="129">
        <f t="shared" ca="1" si="4"/>
        <v>1</v>
      </c>
      <c r="W29" s="129">
        <f t="shared" ca="1" si="5"/>
        <v>0</v>
      </c>
      <c r="X29" s="129" t="str">
        <f t="shared" ca="1" si="30"/>
        <v>SANJ</v>
      </c>
      <c r="Y29" s="129" t="e">
        <f t="shared" ca="1" si="31"/>
        <v>#N/A</v>
      </c>
      <c r="Z29" s="129" t="e">
        <f t="shared" ca="1" si="32"/>
        <v>#N/A</v>
      </c>
      <c r="AB29" s="129">
        <f>IF($AB$15=1,0,INDEX(tblTerritories!$AS$3:$BB$14,A29,$AB$15))</f>
        <v>0</v>
      </c>
      <c r="AC29" s="129">
        <f t="shared" ca="1" si="6"/>
        <v>0</v>
      </c>
      <c r="AE29" s="129">
        <f>IF($AE$15=1,0,tblTerritories!AN13)</f>
        <v>0</v>
      </c>
      <c r="AF29" s="129">
        <f t="shared" ca="1" si="7"/>
        <v>0</v>
      </c>
      <c r="AJ29" s="129">
        <f t="shared" ca="1" si="8"/>
        <v>0</v>
      </c>
      <c r="AM29" s="95" t="str">
        <f t="shared" ca="1" si="33"/>
        <v>San José</v>
      </c>
      <c r="AN29" s="95">
        <f t="shared" ca="1" si="34"/>
        <v>0</v>
      </c>
      <c r="AO29" s="95" t="e">
        <f t="shared" ca="1" si="35"/>
        <v>#N/A</v>
      </c>
      <c r="AP29" s="95" t="e">
        <f t="shared" ca="1" si="9"/>
        <v>#N/A</v>
      </c>
      <c r="AQ29" s="95" t="e">
        <f t="shared" ca="1" si="36"/>
        <v>#N/A</v>
      </c>
      <c r="AR29" s="95" t="e">
        <f t="shared" ca="1" si="37"/>
        <v>#N/A</v>
      </c>
      <c r="AS29" s="95" t="str">
        <f t="shared" ca="1" si="38"/>
        <v>0</v>
      </c>
      <c r="AT29" s="129" t="e">
        <f t="shared" ca="1" si="10"/>
        <v>#N/A</v>
      </c>
      <c r="AU29" s="129" t="e">
        <f t="shared" ca="1" si="11"/>
        <v>#N/A</v>
      </c>
      <c r="AV29" s="129" t="e">
        <f t="shared" ca="1" si="12"/>
        <v>#N/A</v>
      </c>
      <c r="AW29" s="129" t="e">
        <f t="shared" ca="1" si="13"/>
        <v>#N/A</v>
      </c>
      <c r="AY29" s="129" t="str">
        <f t="shared" ca="1" si="14"/>
        <v/>
      </c>
      <c r="AZ29" s="129" t="str">
        <f t="shared" ca="1" si="15"/>
        <v/>
      </c>
      <c r="BB29" s="129" t="str">
        <f t="shared" ca="1" si="16"/>
        <v/>
      </c>
      <c r="BC29" s="129" t="str">
        <f t="shared" ca="1" si="17"/>
        <v/>
      </c>
      <c r="BE29" s="129" t="str">
        <f t="shared" ca="1" si="18"/>
        <v/>
      </c>
      <c r="BF29" s="129" t="str">
        <f t="shared" ca="1" si="19"/>
        <v/>
      </c>
      <c r="BH29" s="129" t="str">
        <f t="shared" ca="1" si="20"/>
        <v/>
      </c>
      <c r="BI29" s="129" t="str">
        <f t="shared" ca="1" si="21"/>
        <v/>
      </c>
    </row>
    <row r="30" spans="1:61">
      <c r="A30" s="129">
        <f>tblTerritories!A14</f>
        <v>12</v>
      </c>
      <c r="B30" s="129" t="str">
        <f>tblTerritories!B14</f>
        <v>SADC</v>
      </c>
      <c r="C30" s="129" t="str">
        <f>tblTerritories!C14</f>
        <v>Santiago de Chile</v>
      </c>
      <c r="D30" s="129">
        <f>tblTerritories!D14</f>
        <v>1</v>
      </c>
      <c r="E30" s="129">
        <f>tblTerritories!E14</f>
        <v>0</v>
      </c>
      <c r="F30" s="129">
        <f>IF(tblTerritories!F14=3,3,IF(tblTerritories!F14=2,2,1))</f>
        <v>1</v>
      </c>
      <c r="G30" s="138">
        <f t="shared" ref="G30" ca="1" si="39">IF(F30=0,"",INDEX(aScores,$B$2,$A30))</f>
        <v>0</v>
      </c>
      <c r="H30" s="129">
        <f ca="1">IF(F30=0,"",RANK(G30,G$19:G$30,$B$7)+COUNTIF(G$19:G30,G30)-1)</f>
        <v>12</v>
      </c>
      <c r="I30" s="129">
        <f t="shared" ca="1" si="0"/>
        <v>12</v>
      </c>
      <c r="J30" s="129">
        <f t="shared" ref="J30" ca="1" si="40">IF(I30="","",1)</f>
        <v>1</v>
      </c>
      <c r="K30" s="134">
        <f t="shared" ca="1" si="1"/>
        <v>9</v>
      </c>
      <c r="L30" s="134">
        <f t="shared" ca="1" si="2"/>
        <v>1</v>
      </c>
      <c r="M30" s="133" t="str">
        <f t="shared" ref="M30" ca="1" si="41">IF(I30="","",IF(OR(K30=K29,K30=K31),CONCATENATE("=",K30),K30))</f>
        <v>=9</v>
      </c>
      <c r="N30" s="129" t="str">
        <f t="shared" ca="1" si="3"/>
        <v>Santiago de Chile</v>
      </c>
      <c r="O30" s="135">
        <f t="shared" ref="O30" ca="1" si="42">IF(I30="","",INDEX(aRoundedScores,$B$2,I30))</f>
        <v>0</v>
      </c>
      <c r="P30" s="135">
        <f t="shared" ref="P30" ca="1" si="43">IF(L30=0,"",IF($C$2=1,"-",O30))</f>
        <v>0</v>
      </c>
      <c r="Q30" s="136" t="str">
        <f ca="1">IF(ISNA(VLOOKUP(N30,uxb_regions!$C$3:$I$38,7,FALSE)),"",VLOOKUP(N30,uxb_regions!$C$3:$I$38,7,FALSE))</f>
        <v>SADC</v>
      </c>
      <c r="R30" s="133">
        <f t="shared" ref="R30" ca="1" si="44">IF(L30=0,"",O30)</f>
        <v>0</v>
      </c>
      <c r="S30" s="133">
        <f t="shared" ref="S30" ca="1" si="45">IF(Q30="","",CHOOSE($U$3,IF(R30&lt;R$7,1,IF(R30&lt;R$8,2,IF(R30&lt;R$9,3,IF(R30&lt;=R$10,4))))))</f>
        <v>1</v>
      </c>
      <c r="T30" s="129">
        <f t="shared" ref="T30" ca="1" si="46">IF(ISNUMBER(O30),O30,NA())</f>
        <v>0</v>
      </c>
      <c r="U30" s="129">
        <f>1</f>
        <v>1</v>
      </c>
      <c r="V30" s="129">
        <f t="shared" ca="1" si="4"/>
        <v>1</v>
      </c>
      <c r="W30" s="129">
        <f t="shared" ref="W30" ca="1" si="47">IF(OR(V30=3,V30=2),Q30,0)</f>
        <v>0</v>
      </c>
      <c r="X30" s="129" t="str">
        <f t="shared" ref="X30" ca="1" si="48">IF(ISNA(V30),"",Q30)</f>
        <v>SADC</v>
      </c>
      <c r="Y30" s="129" t="e">
        <f t="shared" ref="Y30" ca="1" si="49">IF(L30=2,T30,NA())</f>
        <v>#N/A</v>
      </c>
      <c r="Z30" s="129" t="e">
        <f t="shared" ref="Z30" ca="1" si="50">IF(L30=2,1,NA())</f>
        <v>#N/A</v>
      </c>
      <c r="AB30" s="129">
        <f>IF($AB$15=1,0,INDEX(tblTerritories!$AS$3:$BB$14,A30,$AB$15))</f>
        <v>0</v>
      </c>
      <c r="AC30" s="129">
        <f t="shared" ca="1" si="6"/>
        <v>0</v>
      </c>
      <c r="AE30" s="129">
        <f>IF($AE$15=1,0,tblTerritories!AN14)</f>
        <v>0</v>
      </c>
      <c r="AF30" s="129">
        <f t="shared" ca="1" si="7"/>
        <v>0</v>
      </c>
      <c r="AJ30" s="129">
        <f t="shared" ca="1" si="8"/>
        <v>0</v>
      </c>
      <c r="AM30" s="95" t="str">
        <f t="shared" ref="AM30" ca="1" si="51">IF(ISNUMBER(O30),N30,CONCATENATE(N30))</f>
        <v>Santiago de Chile</v>
      </c>
      <c r="AN30" s="95">
        <f t="shared" ref="AN30" ca="1" si="52">IF(ISNUMBER(P30),P30,"-")</f>
        <v>0</v>
      </c>
      <c r="AO30" s="95" t="e">
        <f t="shared" ref="AO30" ca="1" si="53">IF(AC30=0,NA(),AN30)</f>
        <v>#N/A</v>
      </c>
      <c r="AP30" s="95" t="e">
        <f t="shared" ref="AP30" ca="1" si="54">IF(AF30=0,NA(),AN30)</f>
        <v>#N/A</v>
      </c>
      <c r="AQ30" s="95" t="e">
        <f t="shared" ref="AQ30" ca="1" si="55">IF(AND(ISNUMBER(AO30),ISNUMBER(AP30)),AN30,NA())</f>
        <v>#N/A</v>
      </c>
      <c r="AR30" s="95" t="e">
        <f t="shared" ref="AR30" ca="1" si="56">IF(W30=0,NA(),$AN30)</f>
        <v>#N/A</v>
      </c>
      <c r="AS30" s="95" t="str">
        <f t="shared" ref="AS30" ca="1" si="57">TEXT(AN30,$Q$2)</f>
        <v>0</v>
      </c>
      <c r="AT30" s="129" t="e">
        <f t="shared" ca="1" si="10"/>
        <v>#N/A</v>
      </c>
      <c r="AU30" s="129" t="e">
        <f t="shared" ca="1" si="11"/>
        <v>#N/A</v>
      </c>
      <c r="AV30" s="129" t="e">
        <f t="shared" ca="1" si="12"/>
        <v>#N/A</v>
      </c>
      <c r="AW30" s="129" t="e">
        <f t="shared" ca="1" si="13"/>
        <v>#N/A</v>
      </c>
      <c r="AY30" s="129" t="str">
        <f t="shared" ca="1" si="14"/>
        <v/>
      </c>
      <c r="AZ30" s="129" t="str">
        <f t="shared" ca="1" si="15"/>
        <v/>
      </c>
      <c r="BB30" s="129" t="str">
        <f t="shared" ca="1" si="16"/>
        <v/>
      </c>
      <c r="BC30" s="129" t="str">
        <f t="shared" ca="1" si="17"/>
        <v/>
      </c>
      <c r="BE30" s="129" t="str">
        <f t="shared" ca="1" si="18"/>
        <v/>
      </c>
      <c r="BF30" s="129" t="str">
        <f t="shared" ca="1" si="19"/>
        <v/>
      </c>
      <c r="BH30" s="129" t="str">
        <f t="shared" ca="1" si="20"/>
        <v/>
      </c>
      <c r="BI30" s="129" t="str">
        <f t="shared" ca="1" si="21"/>
        <v/>
      </c>
    </row>
    <row r="31" spans="1:61">
      <c r="K31" s="134"/>
      <c r="L31" s="134"/>
      <c r="M31" s="133"/>
      <c r="O31" s="135"/>
      <c r="P31" s="135"/>
      <c r="Q31" s="136"/>
      <c r="R31" s="133"/>
      <c r="S31" s="133"/>
    </row>
    <row r="32" spans="1:61">
      <c r="K32" s="134"/>
      <c r="L32" s="134"/>
      <c r="M32" s="133"/>
      <c r="O32" s="135"/>
      <c r="P32" s="135"/>
      <c r="Q32" s="136"/>
      <c r="R32" s="133"/>
      <c r="S32" s="133"/>
    </row>
    <row r="34" spans="10:19">
      <c r="J34" s="129">
        <v>1</v>
      </c>
      <c r="O34" s="129" t="e">
        <f>IF(uxb_works!B7&gt;1,INDEX(G18:G30,uxb_works!B7),NA())</f>
        <v>#N/A</v>
      </c>
    </row>
    <row r="36" spans="10:19">
      <c r="S36" s="137"/>
    </row>
    <row r="41" spans="10:19">
      <c r="O41" s="135"/>
      <c r="P41" s="135"/>
      <c r="Q41" s="135"/>
    </row>
    <row r="42" spans="10:19">
      <c r="O42" s="135"/>
      <c r="P42" s="135"/>
      <c r="Q42" s="135"/>
    </row>
    <row r="43" spans="10:19">
      <c r="O43" s="135"/>
      <c r="P43" s="135"/>
      <c r="Q43" s="135"/>
    </row>
    <row r="44" spans="10:19">
      <c r="O44" s="135"/>
      <c r="P44" s="135"/>
      <c r="Q44" s="135"/>
    </row>
    <row r="45" spans="10:19">
      <c r="O45" s="135"/>
      <c r="P45" s="135"/>
      <c r="Q45" s="135"/>
    </row>
    <row r="46" spans="10:19">
      <c r="O46" s="135"/>
      <c r="P46" s="135"/>
      <c r="Q46" s="135"/>
    </row>
    <row r="47" spans="10:19">
      <c r="O47" s="135"/>
      <c r="P47" s="135"/>
      <c r="Q47" s="135"/>
    </row>
    <row r="48" spans="10:19">
      <c r="O48" s="135"/>
      <c r="P48" s="135"/>
      <c r="Q48" s="135"/>
    </row>
    <row r="49" spans="15:17">
      <c r="O49" s="135"/>
      <c r="P49" s="135"/>
      <c r="Q49" s="135"/>
    </row>
    <row r="50" spans="15:17">
      <c r="O50" s="135"/>
      <c r="P50" s="135"/>
      <c r="Q50" s="135"/>
    </row>
    <row r="51" spans="15:17">
      <c r="O51" s="135"/>
      <c r="P51" s="135"/>
      <c r="Q51" s="135"/>
    </row>
  </sheetData>
  <pageMargins left="0.55118110236220474" right="0.55118110236220474" top="0.59055118110236227" bottom="0.78740157480314965" header="0.51181102362204722" footer="0.51181102362204722"/>
  <pageSetup paperSize="9" scale="24" orientation="landscape" r:id="rId1"/>
  <headerFooter alignWithMargins="0">
    <oddHeader>&amp;RResultados del Modelo de Reciclaje Inclusivo</oddHeader>
  </headerFooter>
</worksheet>
</file>

<file path=xl/worksheets/sheet25.xml><?xml version="1.0" encoding="utf-8"?>
<worksheet xmlns="http://schemas.openxmlformats.org/spreadsheetml/2006/main" xmlns:r="http://schemas.openxmlformats.org/officeDocument/2006/relationships">
  <sheetPr codeName="Sheet47">
    <tabColor rgb="FFFFC000"/>
    <pageSetUpPr fitToPage="1"/>
  </sheetPr>
  <dimension ref="A1:AG30"/>
  <sheetViews>
    <sheetView showRowColHeaders="0" zoomScale="80" zoomScaleNormal="80" workbookViewId="0">
      <selection activeCell="Z8" sqref="Z8"/>
    </sheetView>
  </sheetViews>
  <sheetFormatPr defaultColWidth="9.140625" defaultRowHeight="15"/>
  <cols>
    <col min="1" max="1" width="18.42578125" style="28" customWidth="1"/>
    <col min="2" max="2" width="9.140625" style="28" customWidth="1"/>
    <col min="3" max="3" width="13.140625" style="28" bestFit="1" customWidth="1"/>
    <col min="4" max="4" width="10.28515625" style="28" bestFit="1" customWidth="1"/>
    <col min="5" max="5" width="9.140625" style="28" customWidth="1"/>
    <col min="6" max="6" width="23.42578125" style="28" customWidth="1"/>
    <col min="7" max="18" width="9.140625" style="28" customWidth="1"/>
    <col min="19" max="20" width="4.28515625" style="28" customWidth="1"/>
    <col min="21" max="21" width="4.42578125" style="28" customWidth="1"/>
    <col min="22" max="23" width="9.42578125" style="28" bestFit="1" customWidth="1"/>
    <col min="24" max="25" width="9.140625" style="28"/>
    <col min="26" max="26" width="9.42578125" style="28" bestFit="1" customWidth="1"/>
    <col min="27" max="27" width="11.140625" style="28" bestFit="1" customWidth="1"/>
    <col min="28" max="29" width="9.140625" style="28"/>
    <col min="30" max="31" width="9.42578125" style="28" bestFit="1" customWidth="1"/>
    <col min="32" max="16384" width="9.140625" style="28"/>
  </cols>
  <sheetData>
    <row r="1" spans="1:20">
      <c r="A1" s="28" t="s">
        <v>123</v>
      </c>
      <c r="B1" s="30">
        <f>uxb_works!B32+1</f>
        <v>2</v>
      </c>
      <c r="E1" s="28">
        <f>uxb_works!E32</f>
        <v>0</v>
      </c>
      <c r="F1" s="28" t="str">
        <f>INDEX(tblIndicators!$AE$2:$AE$52,iScatter3d!B1)</f>
        <v>1) NORMATIVA</v>
      </c>
      <c r="G1" s="28" t="str">
        <f>INDEX(tblIndicators!$AF$2:$AF$52,iScatter3d!B1)</f>
        <v>CATEGORÍA</v>
      </c>
    </row>
    <row r="2" spans="1:20">
      <c r="A2" s="28" t="s">
        <v>2165</v>
      </c>
      <c r="B2" s="30">
        <f>uxb_works!B33+1</f>
        <v>2</v>
      </c>
      <c r="E2" s="28">
        <f>uxb_works!E33</f>
        <v>0</v>
      </c>
      <c r="F2" s="28" t="str">
        <f>INDEX(tblIndicators!$AE$2:$AE$52,iScatter3d!B2)</f>
        <v>1) NORMATIVA</v>
      </c>
      <c r="G2" s="28" t="str">
        <f>INDEX(tblIndicators!$AF$2:$AF$52,iScatter3d!B2)</f>
        <v>CATEGORÍA</v>
      </c>
    </row>
    <row r="3" spans="1:20">
      <c r="A3" s="28" t="s">
        <v>122</v>
      </c>
      <c r="B3" s="30">
        <f>uxb_works!B34+1</f>
        <v>2</v>
      </c>
      <c r="E3" s="28">
        <f>uxb_works!E34</f>
        <v>0</v>
      </c>
      <c r="F3" s="28" t="str">
        <f>INDEX(tblIndicators!$AE$2:$AE$52,iScatter3d!B3)</f>
        <v>1) NORMATIVA</v>
      </c>
      <c r="G3" s="28" t="str">
        <f>INDEX(tblIndicators!$AF$2:$AF$52,iScatter3d!B3)</f>
        <v>CATEGORÍA</v>
      </c>
    </row>
    <row r="4" spans="1:20">
      <c r="A4" s="28" t="s">
        <v>144</v>
      </c>
      <c r="B4" s="30">
        <f>uxb_works!B7</f>
        <v>0</v>
      </c>
    </row>
    <row r="5" spans="1:20">
      <c r="A5" s="28" t="s">
        <v>121</v>
      </c>
      <c r="B5" s="30" t="b">
        <f>uxb_works!B36</f>
        <v>0</v>
      </c>
    </row>
    <row r="6" spans="1:20">
      <c r="A6" s="28" t="s">
        <v>120</v>
      </c>
      <c r="B6" s="30" t="b">
        <f>uxb_works!B37</f>
        <v>0</v>
      </c>
    </row>
    <row r="8" spans="1:20">
      <c r="A8" s="28" t="s">
        <v>326</v>
      </c>
      <c r="B8" s="28" t="b">
        <f>uxb_works!B35</f>
        <v>1</v>
      </c>
    </row>
    <row r="9" spans="1:20">
      <c r="A9" s="28" t="s">
        <v>119</v>
      </c>
    </row>
    <row r="10" spans="1:20">
      <c r="A10" s="28" t="s">
        <v>118</v>
      </c>
      <c r="B10" s="28" t="str">
        <f>F1</f>
        <v>1) NORMATIVA</v>
      </c>
    </row>
    <row r="11" spans="1:20">
      <c r="A11" s="28" t="s">
        <v>117</v>
      </c>
      <c r="B11" s="28" t="str">
        <f>F2</f>
        <v>1) NORMATIVA</v>
      </c>
    </row>
    <row r="12" spans="1:20">
      <c r="A12" s="28" t="s">
        <v>116</v>
      </c>
      <c r="B12" s="28">
        <f ca="1">SLOPE(I19:I30,H19:H30)</f>
        <v>1</v>
      </c>
    </row>
    <row r="13" spans="1:20">
      <c r="A13" s="28" t="s">
        <v>115</v>
      </c>
      <c r="B13" s="28">
        <f ca="1">INTERCEPT(I19:I30,H19:H30)</f>
        <v>0</v>
      </c>
    </row>
    <row r="14" spans="1:20">
      <c r="A14" s="28" t="s">
        <v>114</v>
      </c>
      <c r="B14" s="28">
        <f ca="1">CORREL(H19:H30,I19:I30)</f>
        <v>1</v>
      </c>
    </row>
    <row r="15" spans="1:20">
      <c r="A15" s="28" t="s">
        <v>113</v>
      </c>
      <c r="B15" s="28" t="b">
        <f ca="1">IF(ISERROR(B14),FALSE,TRUE)</f>
        <v>1</v>
      </c>
      <c r="R15" s="28" t="e">
        <f>IF($B$4=0,NA(),INDEX(H15:H26,$B$4))</f>
        <v>#N/A</v>
      </c>
      <c r="S15" s="28" t="e">
        <f>IF($B$4=0,NA(),INDEX(I15:I26,$B$4))</f>
        <v>#N/A</v>
      </c>
      <c r="T15" s="28" t="e">
        <f>IF($B$4=0,NA(),INDEX(J15:J26,$B$4))</f>
        <v>#N/A</v>
      </c>
    </row>
    <row r="16" spans="1:20">
      <c r="D16" s="28" t="e">
        <f t="shared" ref="D16" si="0">IF($C16=0,NA(),IF($B$8&gt;$B$1,INDEX(aScores,$B$1,$A16),INDEX(aData,$B$1,$A16)))</f>
        <v>#N/A</v>
      </c>
      <c r="E16" s="28" t="e">
        <f t="shared" ref="E16" si="1">IF($C16=0,NA(),IF($B$8&gt;$B$2,INDEX(aScores,$B$2,$A16),INDEX(aData,$B$2,$A16)))</f>
        <v>#N/A</v>
      </c>
      <c r="F16" s="28" t="e">
        <f>IF($C16=0,NA(),IF($B$8&gt;$B$3,INDEX(aScores,$B$3,$A16),INDEX(aData,$B$3,$A16)))</f>
        <v>#N/A</v>
      </c>
    </row>
    <row r="17" spans="1:33">
      <c r="D17" s="28" t="s">
        <v>112</v>
      </c>
      <c r="G17" s="28" t="s">
        <v>111</v>
      </c>
      <c r="H17" s="28" t="s">
        <v>110</v>
      </c>
      <c r="L17" s="28" t="s">
        <v>109</v>
      </c>
      <c r="O17" s="77" t="s">
        <v>145</v>
      </c>
      <c r="V17" s="77" t="s">
        <v>108</v>
      </c>
      <c r="AA17" s="77" t="s">
        <v>107</v>
      </c>
      <c r="AE17" s="77" t="s">
        <v>106</v>
      </c>
    </row>
    <row r="18" spans="1:33">
      <c r="A18" s="28" t="s">
        <v>146</v>
      </c>
      <c r="B18" s="28" t="s">
        <v>56</v>
      </c>
      <c r="C18" s="32" t="s">
        <v>105</v>
      </c>
      <c r="D18" s="32" t="s">
        <v>2</v>
      </c>
      <c r="E18" s="32" t="s">
        <v>1</v>
      </c>
      <c r="F18" s="32" t="s">
        <v>2164</v>
      </c>
      <c r="H18" s="32" t="s">
        <v>2</v>
      </c>
      <c r="I18" s="32" t="s">
        <v>1</v>
      </c>
      <c r="J18" s="32" t="s">
        <v>2164</v>
      </c>
      <c r="L18" s="32" t="s">
        <v>1</v>
      </c>
      <c r="M18" s="32" t="s">
        <v>104</v>
      </c>
      <c r="P18" s="28" t="s">
        <v>57</v>
      </c>
      <c r="Q18" s="67" t="s">
        <v>99</v>
      </c>
      <c r="R18" s="28" t="s">
        <v>2</v>
      </c>
      <c r="S18" s="28" t="s">
        <v>1</v>
      </c>
      <c r="T18" s="28" t="s">
        <v>2164</v>
      </c>
      <c r="V18" s="28" t="s">
        <v>103</v>
      </c>
      <c r="W18" s="28" t="s">
        <v>2</v>
      </c>
      <c r="X18" s="28" t="s">
        <v>1</v>
      </c>
      <c r="Y18" s="28" t="s">
        <v>2164</v>
      </c>
      <c r="AA18" s="28" t="s">
        <v>2</v>
      </c>
      <c r="AB18" s="28" t="s">
        <v>1</v>
      </c>
      <c r="AC18" s="28" t="s">
        <v>2164</v>
      </c>
      <c r="AE18" s="28" t="s">
        <v>2</v>
      </c>
      <c r="AF18" s="28" t="s">
        <v>1</v>
      </c>
      <c r="AG18" s="28" t="s">
        <v>2164</v>
      </c>
    </row>
    <row r="19" spans="1:33">
      <c r="A19" s="28">
        <v>1</v>
      </c>
      <c r="B19" s="28" t="str">
        <f>tblTerritories!J3</f>
        <v>Asunción</v>
      </c>
      <c r="C19" s="28">
        <f>tblTerritories!F3</f>
        <v>1</v>
      </c>
      <c r="D19" s="28">
        <f t="shared" ref="D19:D30" ca="1" si="2">IF($C19=0,NA(),IF($B$8&gt;$B$1,INDEX(aScores,$B$1,$A19),INDEX(aData,$B$1,$A19)))</f>
        <v>32.8125</v>
      </c>
      <c r="E19" s="28">
        <f t="shared" ref="E19:E30" ca="1" si="3">IF($C19=0,NA(),IF($B$8&gt;$B$2,INDEX(aScores,$B$2,$A19),INDEX(aData,$B$2,$A19)))</f>
        <v>32.8125</v>
      </c>
      <c r="F19" s="28">
        <f t="shared" ref="F19:F30" ca="1" si="4">IF($C19=0,NA(),IF($B$8&gt;$B$3,INDEX(aScores,$B$3,$A19),INDEX(aData,$B$3,$A19)))</f>
        <v>32.8125</v>
      </c>
      <c r="G19" s="28" t="b">
        <f ca="1">AND(ISNUMBER(D19),ISNUMBER(E19))</f>
        <v>1</v>
      </c>
      <c r="H19" s="28">
        <f t="shared" ref="H19:H30" ca="1" si="5">IF($G19,D19,"")</f>
        <v>32.8125</v>
      </c>
      <c r="I19" s="28">
        <f t="shared" ref="I19:I30" ca="1" si="6">IF($G19,E19,"")</f>
        <v>32.8125</v>
      </c>
      <c r="J19" s="28">
        <f t="shared" ref="J19:J30" ca="1" si="7">IF($G19,F19,"")</f>
        <v>32.8125</v>
      </c>
      <c r="L19" s="28">
        <f ca="1">IF(H19="","",(H19*$B$12)+$B$13)</f>
        <v>32.8125</v>
      </c>
      <c r="M19" s="28">
        <f ca="1">IF(L19="","",I19-L19)</f>
        <v>0</v>
      </c>
      <c r="P19" s="28">
        <f>B4</f>
        <v>0</v>
      </c>
      <c r="Q19" s="28" t="str">
        <f>IF($B$4=0,"",INDEX(luCities,$B$4))</f>
        <v/>
      </c>
      <c r="R19" s="28" t="e">
        <f>IF($B$4=0,NA(),INDEX(H19:H30,$B$4))</f>
        <v>#N/A</v>
      </c>
      <c r="S19" s="28" t="e">
        <f>IF($B$4=0,NA(),INDEX(I19:I30,$B$4))</f>
        <v>#N/A</v>
      </c>
      <c r="T19" s="28" t="e">
        <f>IF($B$4=0,NA(),INDEX(J19:J30,$B$4))</f>
        <v>#N/A</v>
      </c>
      <c r="V19" s="28">
        <f t="shared" ref="V19:V30" si="8">IF(NOT($B$5),0,IF(OR(A19=$P$19,A19=$P$23,A19=$P$27),0,IF(AND(C19&lt;3,G19),1,0)))</f>
        <v>0</v>
      </c>
      <c r="W19" s="28" t="e">
        <f t="shared" ref="W19:W30" si="9">IF($V19=0,NA(),H19)</f>
        <v>#N/A</v>
      </c>
      <c r="X19" s="28" t="e">
        <f t="shared" ref="X19:X30" si="10">IF($V19=0,NA(),I19)</f>
        <v>#N/A</v>
      </c>
      <c r="Y19" s="28" t="e">
        <f t="shared" ref="Y19:Y30" si="11">IF($V19=0,NA(),J19)</f>
        <v>#N/A</v>
      </c>
      <c r="AA19" s="28">
        <f t="shared" ref="AA19:AA30" ca="1" si="12">IF(AND($C19&gt;0,$G19),H19,NA())</f>
        <v>32.8125</v>
      </c>
      <c r="AB19" s="28">
        <f t="shared" ref="AB19:AB30" ca="1" si="13">IF(AND($C19&gt;0,$G19),I19,NA())</f>
        <v>32.8125</v>
      </c>
      <c r="AC19" s="28">
        <f t="shared" ref="AC19:AC30" ca="1" si="14">IF(AND($C19&gt;0,$G19),J19,NA())</f>
        <v>32.8125</v>
      </c>
      <c r="AE19" s="28" t="e">
        <f t="shared" ref="AE19:AE30" ca="1" si="15">IF(AND($C19=2,$G19),H19,NA())</f>
        <v>#N/A</v>
      </c>
      <c r="AF19" s="28" t="e">
        <f t="shared" ref="AF19:AF30" ca="1" si="16">IF(AND($C19=2,$G19),I19,NA())</f>
        <v>#N/A</v>
      </c>
      <c r="AG19" s="28" t="e">
        <f t="shared" ref="AG19:AG30" ca="1" si="17">IF(AND($C19=2,$G19),J19,NA())</f>
        <v>#N/A</v>
      </c>
    </row>
    <row r="20" spans="1:33">
      <c r="A20" s="28">
        <v>2</v>
      </c>
      <c r="B20" s="28" t="str">
        <f>tblTerritories!J4</f>
        <v>Bogotá</v>
      </c>
      <c r="C20" s="28">
        <f>tblTerritories!F4</f>
        <v>1</v>
      </c>
      <c r="D20" s="28">
        <f t="shared" ca="1" si="2"/>
        <v>62.5</v>
      </c>
      <c r="E20" s="28">
        <f t="shared" ca="1" si="3"/>
        <v>62.5</v>
      </c>
      <c r="F20" s="28">
        <f t="shared" ca="1" si="4"/>
        <v>62.5</v>
      </c>
      <c r="G20" s="28" t="b">
        <f t="shared" ref="G20:G30" ca="1" si="18">AND(ISNUMBER(D20),ISNUMBER(E20))</f>
        <v>1</v>
      </c>
      <c r="H20" s="28">
        <f t="shared" ca="1" si="5"/>
        <v>62.5</v>
      </c>
      <c r="I20" s="28">
        <f t="shared" ca="1" si="6"/>
        <v>62.5</v>
      </c>
      <c r="J20" s="28">
        <f t="shared" ca="1" si="7"/>
        <v>62.5</v>
      </c>
      <c r="L20" s="28">
        <f t="shared" ref="L20:L30" ca="1" si="19">IF(H20="","",(H20*$B$12)+$B$13)</f>
        <v>62.5</v>
      </c>
      <c r="M20" s="28">
        <f t="shared" ref="M20:M30" ca="1" si="20">IF(L20="","",I20-L20)</f>
        <v>0</v>
      </c>
      <c r="V20" s="28">
        <f t="shared" si="8"/>
        <v>0</v>
      </c>
      <c r="W20" s="28" t="e">
        <f t="shared" si="9"/>
        <v>#N/A</v>
      </c>
      <c r="X20" s="28" t="e">
        <f t="shared" si="10"/>
        <v>#N/A</v>
      </c>
      <c r="Y20" s="28" t="e">
        <f t="shared" si="11"/>
        <v>#N/A</v>
      </c>
      <c r="AA20" s="28">
        <f t="shared" ca="1" si="12"/>
        <v>62.5</v>
      </c>
      <c r="AB20" s="28">
        <f t="shared" ca="1" si="13"/>
        <v>62.5</v>
      </c>
      <c r="AC20" s="28">
        <f t="shared" ca="1" si="14"/>
        <v>62.5</v>
      </c>
      <c r="AE20" s="28" t="e">
        <f t="shared" ca="1" si="15"/>
        <v>#N/A</v>
      </c>
      <c r="AF20" s="28" t="e">
        <f t="shared" ca="1" si="16"/>
        <v>#N/A</v>
      </c>
      <c r="AG20" s="28" t="e">
        <f t="shared" ca="1" si="17"/>
        <v>#N/A</v>
      </c>
    </row>
    <row r="21" spans="1:33">
      <c r="A21" s="28">
        <v>3</v>
      </c>
      <c r="B21" s="28" t="str">
        <f>tblTerritories!J5</f>
        <v>Buenos Aires</v>
      </c>
      <c r="C21" s="28">
        <f>tblTerritories!F5</f>
        <v>1</v>
      </c>
      <c r="D21" s="28">
        <f t="shared" ca="1" si="2"/>
        <v>65.104166666666657</v>
      </c>
      <c r="E21" s="28">
        <f t="shared" ca="1" si="3"/>
        <v>65.104166666666657</v>
      </c>
      <c r="F21" s="28">
        <f t="shared" ca="1" si="4"/>
        <v>65.104166666666657</v>
      </c>
      <c r="G21" s="28" t="b">
        <f t="shared" ca="1" si="18"/>
        <v>1</v>
      </c>
      <c r="H21" s="28">
        <f t="shared" ca="1" si="5"/>
        <v>65.104166666666657</v>
      </c>
      <c r="I21" s="28">
        <f t="shared" ca="1" si="6"/>
        <v>65.104166666666657</v>
      </c>
      <c r="J21" s="28">
        <f t="shared" ca="1" si="7"/>
        <v>65.104166666666657</v>
      </c>
      <c r="L21" s="28">
        <f t="shared" ca="1" si="19"/>
        <v>65.104166666666657</v>
      </c>
      <c r="M21" s="28">
        <f t="shared" ca="1" si="20"/>
        <v>0</v>
      </c>
      <c r="O21" s="77" t="s">
        <v>102</v>
      </c>
      <c r="V21" s="28">
        <f t="shared" si="8"/>
        <v>0</v>
      </c>
      <c r="W21" s="28" t="e">
        <f t="shared" si="9"/>
        <v>#N/A</v>
      </c>
      <c r="X21" s="28" t="e">
        <f t="shared" si="10"/>
        <v>#N/A</v>
      </c>
      <c r="Y21" s="28" t="e">
        <f t="shared" si="11"/>
        <v>#N/A</v>
      </c>
      <c r="AA21" s="28">
        <f t="shared" ca="1" si="12"/>
        <v>65.104166666666657</v>
      </c>
      <c r="AB21" s="28">
        <f t="shared" ca="1" si="13"/>
        <v>65.104166666666657</v>
      </c>
      <c r="AC21" s="28">
        <f t="shared" ca="1" si="14"/>
        <v>65.104166666666657</v>
      </c>
      <c r="AE21" s="28" t="e">
        <f t="shared" ca="1" si="15"/>
        <v>#N/A</v>
      </c>
      <c r="AF21" s="28" t="e">
        <f t="shared" ca="1" si="16"/>
        <v>#N/A</v>
      </c>
      <c r="AG21" s="28" t="e">
        <f t="shared" ca="1" si="17"/>
        <v>#N/A</v>
      </c>
    </row>
    <row r="22" spans="1:33">
      <c r="A22" s="28">
        <v>4</v>
      </c>
      <c r="B22" s="28" t="str">
        <f>tblTerritories!J6</f>
        <v>Ciudad de Belice</v>
      </c>
      <c r="C22" s="28">
        <f>tblTerritories!F6</f>
        <v>1</v>
      </c>
      <c r="D22" s="28">
        <f t="shared" ca="1" si="2"/>
        <v>15.625</v>
      </c>
      <c r="E22" s="28">
        <f t="shared" ca="1" si="3"/>
        <v>15.625</v>
      </c>
      <c r="F22" s="28">
        <f t="shared" ca="1" si="4"/>
        <v>15.625</v>
      </c>
      <c r="G22" s="28" t="b">
        <f t="shared" ca="1" si="18"/>
        <v>1</v>
      </c>
      <c r="H22" s="28">
        <f t="shared" ca="1" si="5"/>
        <v>15.625</v>
      </c>
      <c r="I22" s="28">
        <f t="shared" ca="1" si="6"/>
        <v>15.625</v>
      </c>
      <c r="J22" s="28">
        <f t="shared" ca="1" si="7"/>
        <v>15.625</v>
      </c>
      <c r="L22" s="28">
        <f t="shared" ca="1" si="19"/>
        <v>15.625</v>
      </c>
      <c r="M22" s="28">
        <f t="shared" ca="1" si="20"/>
        <v>0</v>
      </c>
      <c r="O22" s="28" t="s">
        <v>100</v>
      </c>
      <c r="P22" s="28" t="s">
        <v>57</v>
      </c>
      <c r="Q22" s="67" t="s">
        <v>99</v>
      </c>
      <c r="R22" s="28" t="s">
        <v>2</v>
      </c>
      <c r="S22" s="28" t="s">
        <v>1</v>
      </c>
      <c r="T22" s="28" t="s">
        <v>2164</v>
      </c>
      <c r="V22" s="28">
        <f t="shared" si="8"/>
        <v>0</v>
      </c>
      <c r="W22" s="28" t="e">
        <f t="shared" si="9"/>
        <v>#N/A</v>
      </c>
      <c r="X22" s="28" t="e">
        <f t="shared" si="10"/>
        <v>#N/A</v>
      </c>
      <c r="Y22" s="28" t="e">
        <f t="shared" si="11"/>
        <v>#N/A</v>
      </c>
      <c r="AA22" s="28">
        <f t="shared" ca="1" si="12"/>
        <v>15.625</v>
      </c>
      <c r="AB22" s="28">
        <f t="shared" ca="1" si="13"/>
        <v>15.625</v>
      </c>
      <c r="AC22" s="28">
        <f t="shared" ca="1" si="14"/>
        <v>15.625</v>
      </c>
      <c r="AE22" s="28" t="e">
        <f t="shared" ca="1" si="15"/>
        <v>#N/A</v>
      </c>
      <c r="AF22" s="28" t="e">
        <f t="shared" ca="1" si="16"/>
        <v>#N/A</v>
      </c>
      <c r="AG22" s="28" t="e">
        <f t="shared" ca="1" si="17"/>
        <v>#N/A</v>
      </c>
    </row>
    <row r="23" spans="1:33">
      <c r="A23" s="28">
        <v>5</v>
      </c>
      <c r="B23" s="28" t="str">
        <f>tblTerritories!J7</f>
        <v>Ciudad de México</v>
      </c>
      <c r="C23" s="28">
        <f>tblTerritories!F7</f>
        <v>1</v>
      </c>
      <c r="D23" s="28">
        <f t="shared" ca="1" si="2"/>
        <v>33.854166666666664</v>
      </c>
      <c r="E23" s="28">
        <f t="shared" ca="1" si="3"/>
        <v>33.854166666666664</v>
      </c>
      <c r="F23" s="28">
        <f t="shared" ca="1" si="4"/>
        <v>33.854166666666664</v>
      </c>
      <c r="G23" s="28" t="b">
        <f t="shared" ca="1" si="18"/>
        <v>1</v>
      </c>
      <c r="H23" s="28">
        <f t="shared" ca="1" si="5"/>
        <v>33.854166666666664</v>
      </c>
      <c r="I23" s="28">
        <f t="shared" ca="1" si="6"/>
        <v>33.854166666666664</v>
      </c>
      <c r="J23" s="28">
        <f t="shared" ca="1" si="7"/>
        <v>33.854166666666664</v>
      </c>
      <c r="L23" s="28">
        <f t="shared" ca="1" si="19"/>
        <v>33.854166666666664</v>
      </c>
      <c r="M23" s="28">
        <f t="shared" ca="1" si="20"/>
        <v>0</v>
      </c>
      <c r="O23" s="28">
        <f ca="1">MAX(M19:M30)</f>
        <v>0</v>
      </c>
      <c r="P23" s="28">
        <f ca="1">IF(B15,IF($B$6,MATCH(O23,M19:M30,0),0),0)</f>
        <v>0</v>
      </c>
      <c r="Q23" s="28" t="e">
        <f ca="1">IF(AND($B$15,$B$6,P23&lt;&gt;P19),INDEX(B19:B30,$P23),NA())</f>
        <v>#N/A</v>
      </c>
      <c r="R23" s="28" t="e">
        <f ca="1">IF(AND($B$15,$B$6,P23&lt;&gt;P19),INDEX(H19:H30,$P23),NA())</f>
        <v>#N/A</v>
      </c>
      <c r="S23" s="28" t="e">
        <f ca="1">IF(AND($B$15,$B$6,P23&lt;&gt;P19),INDEX(I19:I30,$P23),NA())</f>
        <v>#N/A</v>
      </c>
      <c r="T23" s="28" t="e">
        <f ca="1">IF(AND($B$15,$B$6,Q23&lt;&gt;Q19),INDEX(J19:J30,$P23),NA())</f>
        <v>#N/A</v>
      </c>
      <c r="V23" s="28">
        <f t="shared" si="8"/>
        <v>0</v>
      </c>
      <c r="W23" s="28" t="e">
        <f t="shared" si="9"/>
        <v>#N/A</v>
      </c>
      <c r="X23" s="28" t="e">
        <f t="shared" si="10"/>
        <v>#N/A</v>
      </c>
      <c r="Y23" s="28" t="e">
        <f t="shared" si="11"/>
        <v>#N/A</v>
      </c>
      <c r="AA23" s="28">
        <f t="shared" ca="1" si="12"/>
        <v>33.854166666666664</v>
      </c>
      <c r="AB23" s="28">
        <f t="shared" ca="1" si="13"/>
        <v>33.854166666666664</v>
      </c>
      <c r="AC23" s="28">
        <f t="shared" ca="1" si="14"/>
        <v>33.854166666666664</v>
      </c>
      <c r="AE23" s="28" t="e">
        <f t="shared" ca="1" si="15"/>
        <v>#N/A</v>
      </c>
      <c r="AF23" s="28" t="e">
        <f t="shared" ca="1" si="16"/>
        <v>#N/A</v>
      </c>
      <c r="AG23" s="28" t="e">
        <f t="shared" ca="1" si="17"/>
        <v>#N/A</v>
      </c>
    </row>
    <row r="24" spans="1:33">
      <c r="A24" s="28">
        <v>6</v>
      </c>
      <c r="B24" s="28" t="str">
        <f>tblTerritories!J8</f>
        <v>Lima</v>
      </c>
      <c r="C24" s="28">
        <f>tblTerritories!F8</f>
        <v>1</v>
      </c>
      <c r="D24" s="28">
        <f t="shared" ca="1" si="2"/>
        <v>62.5</v>
      </c>
      <c r="E24" s="28">
        <f t="shared" ca="1" si="3"/>
        <v>62.5</v>
      </c>
      <c r="F24" s="28">
        <f t="shared" ca="1" si="4"/>
        <v>62.5</v>
      </c>
      <c r="G24" s="28" t="b">
        <f t="shared" ca="1" si="18"/>
        <v>1</v>
      </c>
      <c r="H24" s="28">
        <f t="shared" ca="1" si="5"/>
        <v>62.5</v>
      </c>
      <c r="I24" s="28">
        <f t="shared" ca="1" si="6"/>
        <v>62.5</v>
      </c>
      <c r="J24" s="28">
        <f t="shared" ca="1" si="7"/>
        <v>62.5</v>
      </c>
      <c r="L24" s="28">
        <f t="shared" ca="1" si="19"/>
        <v>62.5</v>
      </c>
      <c r="M24" s="28">
        <f t="shared" ca="1" si="20"/>
        <v>0</v>
      </c>
      <c r="V24" s="28">
        <f t="shared" si="8"/>
        <v>0</v>
      </c>
      <c r="W24" s="28" t="e">
        <f t="shared" si="9"/>
        <v>#N/A</v>
      </c>
      <c r="X24" s="28" t="e">
        <f t="shared" si="10"/>
        <v>#N/A</v>
      </c>
      <c r="Y24" s="28" t="e">
        <f t="shared" si="11"/>
        <v>#N/A</v>
      </c>
      <c r="AA24" s="28">
        <f t="shared" ca="1" si="12"/>
        <v>62.5</v>
      </c>
      <c r="AB24" s="28">
        <f t="shared" ca="1" si="13"/>
        <v>62.5</v>
      </c>
      <c r="AC24" s="28">
        <f t="shared" ca="1" si="14"/>
        <v>62.5</v>
      </c>
      <c r="AE24" s="28" t="e">
        <f t="shared" ca="1" si="15"/>
        <v>#N/A</v>
      </c>
      <c r="AF24" s="28" t="e">
        <f t="shared" ca="1" si="16"/>
        <v>#N/A</v>
      </c>
      <c r="AG24" s="28" t="e">
        <f t="shared" ca="1" si="17"/>
        <v>#N/A</v>
      </c>
    </row>
    <row r="25" spans="1:33">
      <c r="A25" s="28">
        <v>7</v>
      </c>
      <c r="B25" s="28" t="str">
        <f>tblTerritories!J9</f>
        <v>Montevideo</v>
      </c>
      <c r="C25" s="28">
        <f>tblTerritories!F9</f>
        <v>1</v>
      </c>
      <c r="D25" s="28">
        <f t="shared" ca="1" si="2"/>
        <v>43.229166666666664</v>
      </c>
      <c r="E25" s="28">
        <f t="shared" ca="1" si="3"/>
        <v>43.229166666666664</v>
      </c>
      <c r="F25" s="28">
        <f t="shared" ca="1" si="4"/>
        <v>43.229166666666664</v>
      </c>
      <c r="G25" s="28" t="b">
        <f t="shared" ca="1" si="18"/>
        <v>1</v>
      </c>
      <c r="H25" s="28">
        <f t="shared" ca="1" si="5"/>
        <v>43.229166666666664</v>
      </c>
      <c r="I25" s="28">
        <f t="shared" ca="1" si="6"/>
        <v>43.229166666666664</v>
      </c>
      <c r="J25" s="28">
        <f t="shared" ca="1" si="7"/>
        <v>43.229166666666664</v>
      </c>
      <c r="L25" s="28">
        <f t="shared" ca="1" si="19"/>
        <v>43.229166666666664</v>
      </c>
      <c r="M25" s="28">
        <f t="shared" ca="1" si="20"/>
        <v>0</v>
      </c>
      <c r="O25" s="77" t="s">
        <v>101</v>
      </c>
      <c r="Q25" s="67"/>
      <c r="V25" s="28">
        <f t="shared" si="8"/>
        <v>0</v>
      </c>
      <c r="W25" s="28" t="e">
        <f t="shared" si="9"/>
        <v>#N/A</v>
      </c>
      <c r="X25" s="28" t="e">
        <f t="shared" si="10"/>
        <v>#N/A</v>
      </c>
      <c r="Y25" s="28" t="e">
        <f t="shared" si="11"/>
        <v>#N/A</v>
      </c>
      <c r="AA25" s="28">
        <f t="shared" ca="1" si="12"/>
        <v>43.229166666666664</v>
      </c>
      <c r="AB25" s="28">
        <f t="shared" ca="1" si="13"/>
        <v>43.229166666666664</v>
      </c>
      <c r="AC25" s="28">
        <f t="shared" ca="1" si="14"/>
        <v>43.229166666666664</v>
      </c>
      <c r="AE25" s="28" t="e">
        <f t="shared" ca="1" si="15"/>
        <v>#N/A</v>
      </c>
      <c r="AF25" s="28" t="e">
        <f t="shared" ca="1" si="16"/>
        <v>#N/A</v>
      </c>
      <c r="AG25" s="28" t="e">
        <f t="shared" ca="1" si="17"/>
        <v>#N/A</v>
      </c>
    </row>
    <row r="26" spans="1:33">
      <c r="A26" s="28">
        <v>8</v>
      </c>
      <c r="B26" s="28" t="str">
        <f>tblTerritories!J10</f>
        <v>Quito</v>
      </c>
      <c r="C26" s="28">
        <f>tblTerritories!F10</f>
        <v>1</v>
      </c>
      <c r="D26" s="28">
        <f t="shared" ca="1" si="2"/>
        <v>42.1875</v>
      </c>
      <c r="E26" s="28">
        <f t="shared" ca="1" si="3"/>
        <v>42.1875</v>
      </c>
      <c r="F26" s="28">
        <f t="shared" ca="1" si="4"/>
        <v>42.1875</v>
      </c>
      <c r="G26" s="28" t="b">
        <f t="shared" ca="1" si="18"/>
        <v>1</v>
      </c>
      <c r="H26" s="28">
        <f t="shared" ca="1" si="5"/>
        <v>42.1875</v>
      </c>
      <c r="I26" s="28">
        <f t="shared" ca="1" si="6"/>
        <v>42.1875</v>
      </c>
      <c r="J26" s="28">
        <f t="shared" ca="1" si="7"/>
        <v>42.1875</v>
      </c>
      <c r="L26" s="28">
        <f t="shared" ca="1" si="19"/>
        <v>42.1875</v>
      </c>
      <c r="M26" s="28">
        <f t="shared" ca="1" si="20"/>
        <v>0</v>
      </c>
      <c r="O26" s="28" t="s">
        <v>100</v>
      </c>
      <c r="P26" s="28" t="s">
        <v>57</v>
      </c>
      <c r="Q26" s="67" t="s">
        <v>99</v>
      </c>
      <c r="R26" s="28" t="s">
        <v>2</v>
      </c>
      <c r="S26" s="28" t="s">
        <v>1</v>
      </c>
      <c r="T26" s="28" t="s">
        <v>2164</v>
      </c>
      <c r="V26" s="28">
        <f t="shared" si="8"/>
        <v>0</v>
      </c>
      <c r="W26" s="28" t="e">
        <f t="shared" si="9"/>
        <v>#N/A</v>
      </c>
      <c r="X26" s="28" t="e">
        <f t="shared" si="10"/>
        <v>#N/A</v>
      </c>
      <c r="Y26" s="28" t="e">
        <f t="shared" si="11"/>
        <v>#N/A</v>
      </c>
      <c r="AA26" s="28">
        <f t="shared" ca="1" si="12"/>
        <v>42.1875</v>
      </c>
      <c r="AB26" s="28">
        <f t="shared" ca="1" si="13"/>
        <v>42.1875</v>
      </c>
      <c r="AC26" s="28">
        <f t="shared" ca="1" si="14"/>
        <v>42.1875</v>
      </c>
      <c r="AE26" s="28" t="e">
        <f t="shared" ca="1" si="15"/>
        <v>#N/A</v>
      </c>
      <c r="AF26" s="28" t="e">
        <f t="shared" ca="1" si="16"/>
        <v>#N/A</v>
      </c>
      <c r="AG26" s="28" t="e">
        <f t="shared" ca="1" si="17"/>
        <v>#N/A</v>
      </c>
    </row>
    <row r="27" spans="1:33">
      <c r="A27" s="28">
        <v>9</v>
      </c>
      <c r="B27" s="28" t="str">
        <f>tblTerritories!J11</f>
        <v>San José</v>
      </c>
      <c r="C27" s="28">
        <f>tblTerritories!F11</f>
        <v>1</v>
      </c>
      <c r="D27" s="28">
        <f t="shared" ca="1" si="2"/>
        <v>26.041666666666664</v>
      </c>
      <c r="E27" s="28">
        <f t="shared" ca="1" si="3"/>
        <v>26.041666666666664</v>
      </c>
      <c r="F27" s="28">
        <f t="shared" ca="1" si="4"/>
        <v>26.041666666666664</v>
      </c>
      <c r="G27" s="28" t="b">
        <f t="shared" ca="1" si="18"/>
        <v>1</v>
      </c>
      <c r="H27" s="28">
        <f t="shared" ca="1" si="5"/>
        <v>26.041666666666664</v>
      </c>
      <c r="I27" s="28">
        <f t="shared" ca="1" si="6"/>
        <v>26.041666666666664</v>
      </c>
      <c r="J27" s="28">
        <f t="shared" ca="1" si="7"/>
        <v>26.041666666666664</v>
      </c>
      <c r="L27" s="28">
        <f t="shared" ca="1" si="19"/>
        <v>26.041666666666664</v>
      </c>
      <c r="M27" s="28">
        <f t="shared" ca="1" si="20"/>
        <v>0</v>
      </c>
      <c r="O27" s="28">
        <f ca="1">MIN(M19:M30)</f>
        <v>0</v>
      </c>
      <c r="P27" s="28">
        <f ca="1">IF(B15,IF($B$6,MATCH(O27,M19:M30,0),0),0)</f>
        <v>0</v>
      </c>
      <c r="Q27" s="28" t="e">
        <f ca="1">IF(AND($B$15,$B$6,P27&lt;&gt;P19),INDEX(B19:B30,$P27),NA())</f>
        <v>#N/A</v>
      </c>
      <c r="R27" s="28" t="e">
        <f ca="1">IF(AND($B$6,$B$15,P27&lt;&gt;P19),INDEX(H19:H30,$P27),NA())</f>
        <v>#N/A</v>
      </c>
      <c r="S27" s="28" t="e">
        <f ca="1">IF(AND($B$6,$B$15,P27&lt;&gt;P19),INDEX(I19:I30,$P27),NA())</f>
        <v>#N/A</v>
      </c>
      <c r="T27" s="28" t="e">
        <f ca="1">IF(AND($B$6,$B$15,Q27&lt;&gt;Q19),INDEX(J19:J30,$P27),NA())</f>
        <v>#N/A</v>
      </c>
      <c r="V27" s="28">
        <f t="shared" si="8"/>
        <v>0</v>
      </c>
      <c r="W27" s="28" t="e">
        <f t="shared" si="9"/>
        <v>#N/A</v>
      </c>
      <c r="X27" s="28" t="e">
        <f t="shared" si="10"/>
        <v>#N/A</v>
      </c>
      <c r="Y27" s="28" t="e">
        <f t="shared" si="11"/>
        <v>#N/A</v>
      </c>
      <c r="AA27" s="28">
        <f t="shared" ca="1" si="12"/>
        <v>26.041666666666664</v>
      </c>
      <c r="AB27" s="28">
        <f t="shared" ca="1" si="13"/>
        <v>26.041666666666664</v>
      </c>
      <c r="AC27" s="28">
        <f t="shared" ca="1" si="14"/>
        <v>26.041666666666664</v>
      </c>
      <c r="AE27" s="28" t="e">
        <f t="shared" ca="1" si="15"/>
        <v>#N/A</v>
      </c>
      <c r="AF27" s="28" t="e">
        <f t="shared" ca="1" si="16"/>
        <v>#N/A</v>
      </c>
      <c r="AG27" s="28" t="e">
        <f t="shared" ca="1" si="17"/>
        <v>#N/A</v>
      </c>
    </row>
    <row r="28" spans="1:33">
      <c r="A28" s="28">
        <v>10</v>
      </c>
      <c r="B28" s="28" t="str">
        <f>tblTerritories!J12</f>
        <v>San Pablo</v>
      </c>
      <c r="C28" s="28">
        <f>tblTerritories!F12</f>
        <v>1</v>
      </c>
      <c r="D28" s="28">
        <f t="shared" ca="1" si="2"/>
        <v>70.3125</v>
      </c>
      <c r="E28" s="28">
        <f t="shared" ca="1" si="3"/>
        <v>70.3125</v>
      </c>
      <c r="F28" s="28">
        <f t="shared" ca="1" si="4"/>
        <v>70.3125</v>
      </c>
      <c r="G28" s="28" t="b">
        <f t="shared" ca="1" si="18"/>
        <v>1</v>
      </c>
      <c r="H28" s="28">
        <f t="shared" ca="1" si="5"/>
        <v>70.3125</v>
      </c>
      <c r="I28" s="28">
        <f t="shared" ca="1" si="6"/>
        <v>70.3125</v>
      </c>
      <c r="J28" s="28">
        <f t="shared" ca="1" si="7"/>
        <v>70.3125</v>
      </c>
      <c r="L28" s="28">
        <f t="shared" ca="1" si="19"/>
        <v>70.3125</v>
      </c>
      <c r="M28" s="28">
        <f t="shared" ca="1" si="20"/>
        <v>0</v>
      </c>
      <c r="V28" s="28">
        <f t="shared" si="8"/>
        <v>0</v>
      </c>
      <c r="W28" s="28" t="e">
        <f t="shared" si="9"/>
        <v>#N/A</v>
      </c>
      <c r="X28" s="28" t="e">
        <f t="shared" si="10"/>
        <v>#N/A</v>
      </c>
      <c r="Y28" s="28" t="e">
        <f t="shared" si="11"/>
        <v>#N/A</v>
      </c>
      <c r="AA28" s="28">
        <f t="shared" ca="1" si="12"/>
        <v>70.3125</v>
      </c>
      <c r="AB28" s="28">
        <f t="shared" ca="1" si="13"/>
        <v>70.3125</v>
      </c>
      <c r="AC28" s="28">
        <f t="shared" ca="1" si="14"/>
        <v>70.3125</v>
      </c>
      <c r="AE28" s="28" t="e">
        <f t="shared" ca="1" si="15"/>
        <v>#N/A</v>
      </c>
      <c r="AF28" s="28" t="e">
        <f t="shared" ca="1" si="16"/>
        <v>#N/A</v>
      </c>
      <c r="AG28" s="28" t="e">
        <f t="shared" ca="1" si="17"/>
        <v>#N/A</v>
      </c>
    </row>
    <row r="29" spans="1:33">
      <c r="A29" s="28">
        <v>11</v>
      </c>
      <c r="B29" s="28" t="str">
        <f>tblTerritories!J13</f>
        <v>Santa Cruz</v>
      </c>
      <c r="C29" s="28">
        <f>tblTerritories!F13</f>
        <v>1</v>
      </c>
      <c r="D29" s="28">
        <f t="shared" ca="1" si="2"/>
        <v>52.083333333333329</v>
      </c>
      <c r="E29" s="28">
        <f t="shared" ca="1" si="3"/>
        <v>52.083333333333329</v>
      </c>
      <c r="F29" s="28">
        <f t="shared" ca="1" si="4"/>
        <v>52.083333333333329</v>
      </c>
      <c r="G29" s="28" t="b">
        <f t="shared" ca="1" si="18"/>
        <v>1</v>
      </c>
      <c r="H29" s="28">
        <f t="shared" ca="1" si="5"/>
        <v>52.083333333333329</v>
      </c>
      <c r="I29" s="28">
        <f t="shared" ca="1" si="6"/>
        <v>52.083333333333329</v>
      </c>
      <c r="J29" s="28">
        <f t="shared" ca="1" si="7"/>
        <v>52.083333333333329</v>
      </c>
      <c r="L29" s="28">
        <f t="shared" ca="1" si="19"/>
        <v>52.083333333333329</v>
      </c>
      <c r="M29" s="28">
        <f t="shared" ca="1" si="20"/>
        <v>0</v>
      </c>
      <c r="V29" s="28">
        <f t="shared" si="8"/>
        <v>0</v>
      </c>
      <c r="W29" s="28" t="e">
        <f t="shared" si="9"/>
        <v>#N/A</v>
      </c>
      <c r="X29" s="28" t="e">
        <f t="shared" si="10"/>
        <v>#N/A</v>
      </c>
      <c r="Y29" s="28" t="e">
        <f t="shared" si="11"/>
        <v>#N/A</v>
      </c>
      <c r="AA29" s="28">
        <f t="shared" ca="1" si="12"/>
        <v>52.083333333333329</v>
      </c>
      <c r="AB29" s="28">
        <f t="shared" ca="1" si="13"/>
        <v>52.083333333333329</v>
      </c>
      <c r="AC29" s="28">
        <f t="shared" ca="1" si="14"/>
        <v>52.083333333333329</v>
      </c>
      <c r="AE29" s="28" t="e">
        <f t="shared" ca="1" si="15"/>
        <v>#N/A</v>
      </c>
      <c r="AF29" s="28" t="e">
        <f t="shared" ca="1" si="16"/>
        <v>#N/A</v>
      </c>
      <c r="AG29" s="28" t="e">
        <f t="shared" ca="1" si="17"/>
        <v>#N/A</v>
      </c>
    </row>
    <row r="30" spans="1:33">
      <c r="A30" s="28">
        <v>12</v>
      </c>
      <c r="B30" s="28" t="str">
        <f>tblTerritories!J14</f>
        <v>Santiago de Chile</v>
      </c>
      <c r="C30" s="28">
        <f>tblTerritories!F14</f>
        <v>1</v>
      </c>
      <c r="D30" s="28">
        <f t="shared" ca="1" si="2"/>
        <v>39.0625</v>
      </c>
      <c r="E30" s="28">
        <f t="shared" ca="1" si="3"/>
        <v>39.0625</v>
      </c>
      <c r="F30" s="28">
        <f t="shared" ca="1" si="4"/>
        <v>39.0625</v>
      </c>
      <c r="G30" s="28" t="b">
        <f t="shared" ca="1" si="18"/>
        <v>1</v>
      </c>
      <c r="H30" s="28">
        <f t="shared" ca="1" si="5"/>
        <v>39.0625</v>
      </c>
      <c r="I30" s="28">
        <f t="shared" ca="1" si="6"/>
        <v>39.0625</v>
      </c>
      <c r="J30" s="28">
        <f t="shared" ca="1" si="7"/>
        <v>39.0625</v>
      </c>
      <c r="L30" s="28">
        <f t="shared" ca="1" si="19"/>
        <v>39.0625</v>
      </c>
      <c r="M30" s="28">
        <f t="shared" ca="1" si="20"/>
        <v>0</v>
      </c>
      <c r="V30" s="28">
        <f t="shared" si="8"/>
        <v>0</v>
      </c>
      <c r="W30" s="28" t="e">
        <f t="shared" si="9"/>
        <v>#N/A</v>
      </c>
      <c r="X30" s="28" t="e">
        <f t="shared" si="10"/>
        <v>#N/A</v>
      </c>
      <c r="Y30" s="28" t="e">
        <f t="shared" si="11"/>
        <v>#N/A</v>
      </c>
      <c r="AA30" s="28">
        <f t="shared" ca="1" si="12"/>
        <v>39.0625</v>
      </c>
      <c r="AB30" s="28">
        <f t="shared" ca="1" si="13"/>
        <v>39.0625</v>
      </c>
      <c r="AC30" s="28">
        <f t="shared" ca="1" si="14"/>
        <v>39.0625</v>
      </c>
      <c r="AE30" s="28" t="e">
        <f t="shared" ca="1" si="15"/>
        <v>#N/A</v>
      </c>
      <c r="AF30" s="28" t="e">
        <f t="shared" ca="1" si="16"/>
        <v>#N/A</v>
      </c>
      <c r="AG30" s="28" t="e">
        <f t="shared" ca="1" si="17"/>
        <v>#N/A</v>
      </c>
    </row>
  </sheetData>
  <pageMargins left="0.55118110236220474" right="0.55118110236220474" top="0.59055118110236227" bottom="0.78740157480314965" header="0.51181102362204722" footer="0.51181102362204722"/>
  <pageSetup paperSize="9" scale="42" orientation="landscape" r:id="rId1"/>
  <headerFooter alignWithMargins="0">
    <oddHeader>&amp;RResultados del Modelo de Reciclaje Inclusivo</oddHeader>
  </headerFooter>
</worksheet>
</file>

<file path=xl/worksheets/sheet26.xml><?xml version="1.0" encoding="utf-8"?>
<worksheet xmlns="http://schemas.openxmlformats.org/spreadsheetml/2006/main" xmlns:r="http://schemas.openxmlformats.org/officeDocument/2006/relationships">
  <sheetPr codeName="Sheet48">
    <tabColor rgb="FFFFC000"/>
    <pageSetUpPr fitToPage="1"/>
  </sheetPr>
  <dimension ref="A1:BB32"/>
  <sheetViews>
    <sheetView showGridLines="0" showRowColHeaders="0" zoomScale="80" zoomScaleNormal="80" workbookViewId="0">
      <pane ySplit="2" topLeftCell="A3" activePane="bottomLeft" state="frozen"/>
      <selection activeCell="Z8" sqref="Z8"/>
      <selection pane="bottomLeft" activeCell="Z8" sqref="Z8"/>
    </sheetView>
  </sheetViews>
  <sheetFormatPr defaultRowHeight="15"/>
  <cols>
    <col min="1" max="1" width="2.42578125" style="28" customWidth="1"/>
    <col min="2" max="2" width="40.5703125" style="28" customWidth="1"/>
    <col min="3" max="3" width="4.7109375" style="28" customWidth="1"/>
    <col min="4" max="4" width="3.7109375" style="28" customWidth="1"/>
    <col min="5" max="5" width="8.7109375" style="28" hidden="1" customWidth="1"/>
    <col min="6" max="6" width="20.28515625" style="28" customWidth="1"/>
    <col min="7" max="9" width="9.140625" style="28"/>
    <col min="10" max="10" width="5.42578125" style="28" customWidth="1"/>
    <col min="11" max="16" width="9.140625" style="28"/>
    <col min="17" max="18" width="5.5703125" style="28" customWidth="1"/>
    <col min="19" max="19" width="11.7109375" style="28" customWidth="1"/>
    <col min="20" max="20" width="9.140625" style="28"/>
    <col min="21" max="21" width="7.140625" style="28" customWidth="1"/>
    <col min="22" max="23" width="9.140625" style="28"/>
    <col min="24" max="24" width="4.28515625" style="28" customWidth="1"/>
    <col min="25" max="16384" width="9.140625" style="28"/>
  </cols>
  <sheetData>
    <row r="1" spans="1:54" ht="24" customHeight="1">
      <c r="A1" s="72"/>
      <c r="B1" s="72"/>
      <c r="C1" s="72"/>
      <c r="D1" s="72"/>
      <c r="E1" s="72"/>
      <c r="F1" s="72"/>
      <c r="G1" s="72"/>
      <c r="H1" s="72"/>
      <c r="I1" s="72"/>
      <c r="J1" s="72"/>
      <c r="K1" s="72"/>
      <c r="L1" s="72"/>
      <c r="M1" s="72"/>
      <c r="N1" s="72"/>
      <c r="O1" s="72"/>
      <c r="P1" s="72"/>
      <c r="Q1" s="72"/>
      <c r="R1" s="72"/>
      <c r="S1" s="72"/>
      <c r="T1" s="72"/>
      <c r="U1" s="72"/>
      <c r="V1" s="72"/>
      <c r="W1" s="72"/>
      <c r="X1" s="72"/>
      <c r="BA1" s="82">
        <v>3</v>
      </c>
      <c r="BB1" s="82">
        <v>2</v>
      </c>
    </row>
    <row r="2" spans="1:54" ht="67.5" customHeight="1">
      <c r="A2" s="72"/>
      <c r="B2" s="72"/>
      <c r="C2" s="72"/>
      <c r="D2" s="72"/>
      <c r="E2" s="72"/>
      <c r="F2" s="72"/>
      <c r="G2" s="72"/>
      <c r="H2" s="72"/>
      <c r="I2" s="72"/>
      <c r="J2" s="72"/>
      <c r="K2" s="72"/>
      <c r="L2" s="72"/>
      <c r="M2" s="72"/>
      <c r="N2" s="72"/>
      <c r="O2" s="72"/>
      <c r="P2" s="72"/>
      <c r="Q2" s="72"/>
      <c r="R2" s="72"/>
      <c r="S2" s="72"/>
      <c r="T2" s="72"/>
      <c r="U2" s="72"/>
      <c r="V2" s="72"/>
      <c r="W2" s="72"/>
      <c r="X2" s="72"/>
    </row>
    <row r="3" spans="1:54" ht="21.75" hidden="1" customHeight="1"/>
    <row r="4" spans="1:54" s="101" customFormat="1" ht="42.75" customHeight="1">
      <c r="B4" s="102" t="str">
        <f>iScatter3d!G1</f>
        <v>CATEGORÍA</v>
      </c>
      <c r="M4" s="103"/>
      <c r="O4" s="103" t="str">
        <f>iScatter3d!G2</f>
        <v>CATEGORÍA</v>
      </c>
    </row>
    <row r="5" spans="1:54">
      <c r="B5" s="3" t="str">
        <f>IF(iScatter3d!B1=1,"",iScatter3d!F1)</f>
        <v>1) NORMATIVA</v>
      </c>
      <c r="C5" s="3"/>
      <c r="H5" s="3"/>
      <c r="I5" s="3"/>
      <c r="J5" s="3"/>
      <c r="K5" s="3"/>
      <c r="L5" s="3"/>
      <c r="M5" s="73"/>
      <c r="N5" s="3"/>
      <c r="O5" s="191" t="str">
        <f>IF(iScatter3d!B2=1,"",iScatter3d!F2)</f>
        <v>1) NORMATIVA</v>
      </c>
      <c r="Q5" s="73"/>
    </row>
    <row r="6" spans="1:54" ht="7.5" customHeight="1"/>
    <row r="7" spans="1:54" ht="16.5" customHeight="1">
      <c r="B7" s="3" t="s">
        <v>127</v>
      </c>
      <c r="C7" s="793">
        <f ca="1">IF(ISERROR(iScatter3d!B14),"n/a",iScatter3d!B14)</f>
        <v>1</v>
      </c>
      <c r="D7" s="793"/>
      <c r="P7" s="78"/>
    </row>
    <row r="9" spans="1:54" ht="16.5" customHeight="1"/>
    <row r="10" spans="1:54" ht="16.5" customHeight="1"/>
    <row r="11" spans="1:54" ht="16.5" customHeight="1"/>
    <row r="12" spans="1:54" ht="16.5" customHeight="1"/>
    <row r="13" spans="1:54" ht="16.5" customHeight="1"/>
    <row r="14" spans="1:54" ht="16.5" customHeight="1"/>
    <row r="15" spans="1:54" ht="16.5" customHeight="1"/>
    <row r="16" spans="1:5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sheetData>
  <mergeCells count="1">
    <mergeCell ref="C7:D7"/>
  </mergeCells>
  <pageMargins left="0.55118110236220474" right="0.55118110236220474" top="0.59055118110236227" bottom="0.78740157480314965" header="0.51181102362204722" footer="0.51181102362204722"/>
  <pageSetup paperSize="9" scale="61" orientation="landscape" r:id="rId1"/>
  <headerFooter alignWithMargins="0">
    <oddHeader>&amp;RResultados del Modelo de Reciclaje Inclusivo</oddHeader>
  </headerFooter>
  <drawing r:id="rId2"/>
  <legacyDrawing r:id="rId3"/>
</worksheet>
</file>

<file path=xl/worksheets/sheet27.xml><?xml version="1.0" encoding="utf-8"?>
<worksheet xmlns="http://schemas.openxmlformats.org/spreadsheetml/2006/main" xmlns:r="http://schemas.openxmlformats.org/officeDocument/2006/relationships">
  <sheetPr codeName="Sheet16">
    <tabColor rgb="FFFFC000"/>
    <pageSetUpPr fitToPage="1"/>
  </sheetPr>
  <dimension ref="A1:AA30"/>
  <sheetViews>
    <sheetView showRowColHeaders="0" topLeftCell="B2" zoomScale="80" zoomScaleNormal="80" workbookViewId="0">
      <selection activeCell="C21" sqref="C21"/>
    </sheetView>
  </sheetViews>
  <sheetFormatPr defaultColWidth="9.140625" defaultRowHeight="15"/>
  <cols>
    <col min="1" max="1" width="18.42578125" style="28" customWidth="1"/>
    <col min="2" max="2" width="9.140625" style="28" customWidth="1"/>
    <col min="3" max="3" width="13.140625" style="28" bestFit="1" customWidth="1"/>
    <col min="4" max="4" width="10.28515625" style="28" bestFit="1" customWidth="1"/>
    <col min="5" max="5" width="9.140625" style="28" customWidth="1"/>
    <col min="6" max="6" width="23.42578125" style="28" customWidth="1"/>
    <col min="7" max="17" width="9.140625" style="28" customWidth="1"/>
    <col min="18" max="18" width="4.28515625" style="28" customWidth="1"/>
    <col min="19" max="19" width="4.42578125" style="28" customWidth="1"/>
    <col min="20" max="21" width="9.42578125" style="28" bestFit="1" customWidth="1"/>
    <col min="22" max="22" width="9.140625" style="28"/>
    <col min="23" max="23" width="9.42578125" style="28" bestFit="1" customWidth="1"/>
    <col min="24" max="24" width="11.140625" style="28" bestFit="1" customWidth="1"/>
    <col min="25" max="25" width="9.140625" style="28"/>
    <col min="26" max="27" width="9.42578125" style="28" bestFit="1" customWidth="1"/>
    <col min="28" max="16384" width="9.140625" style="28"/>
  </cols>
  <sheetData>
    <row r="1" spans="1:7">
      <c r="A1" s="28" t="s">
        <v>123</v>
      </c>
      <c r="B1" s="30">
        <f>uxb_works!B32</f>
        <v>1</v>
      </c>
      <c r="E1" s="28">
        <f>uxb_works!E32</f>
        <v>0</v>
      </c>
      <c r="F1" s="28" t="str">
        <f>INDEX(tblIndicators!$AE$2:$AE$52,iScatter!B1)</f>
        <v>CATEGORÍA</v>
      </c>
      <c r="G1" s="28" t="str">
        <f>INDEX(tblIndicators!$AF$2:$AF$52,iScatter!B1)</f>
        <v>OVERALL SCORE</v>
      </c>
    </row>
    <row r="2" spans="1:7">
      <c r="A2" s="28" t="s">
        <v>122</v>
      </c>
      <c r="B2" s="30">
        <f>uxb_works!B33</f>
        <v>1</v>
      </c>
      <c r="E2" s="28">
        <f>uxb_works!E33</f>
        <v>0</v>
      </c>
      <c r="F2" s="28" t="str">
        <f>INDEX(tblIndicators!$AE$2:$AE$52,iScatter!B2)</f>
        <v>CATEGORÍA</v>
      </c>
      <c r="G2" s="28" t="str">
        <f>INDEX(tblIndicators!$AF$2:$AF$52,iScatter!B2)</f>
        <v>OVERALL SCORE</v>
      </c>
    </row>
    <row r="3" spans="1:7">
      <c r="A3" s="28" t="s">
        <v>144</v>
      </c>
      <c r="B3" s="30">
        <f>uxb_works!B7</f>
        <v>0</v>
      </c>
    </row>
    <row r="4" spans="1:7">
      <c r="A4" s="28" t="s">
        <v>121</v>
      </c>
      <c r="B4" s="30" t="b">
        <f>uxb_works!B36</f>
        <v>0</v>
      </c>
    </row>
    <row r="5" spans="1:7">
      <c r="A5" s="28" t="s">
        <v>120</v>
      </c>
      <c r="B5" s="30" t="b">
        <f>uxb_works!B37</f>
        <v>0</v>
      </c>
    </row>
    <row r="7" spans="1:7">
      <c r="A7" s="28" t="s">
        <v>326</v>
      </c>
      <c r="B7" s="28" t="b">
        <f>uxb_works!B35</f>
        <v>1</v>
      </c>
    </row>
    <row r="8" spans="1:7">
      <c r="A8" s="28" t="s">
        <v>119</v>
      </c>
    </row>
    <row r="9" spans="1:7">
      <c r="A9" s="28" t="s">
        <v>118</v>
      </c>
      <c r="B9" s="28" t="str">
        <f>F1</f>
        <v>CATEGORÍA</v>
      </c>
    </row>
    <row r="10" spans="1:7">
      <c r="A10" s="28" t="s">
        <v>117</v>
      </c>
      <c r="B10" s="28" t="str">
        <f>F2</f>
        <v>CATEGORÍA</v>
      </c>
    </row>
    <row r="12" spans="1:7">
      <c r="A12" s="28" t="s">
        <v>116</v>
      </c>
      <c r="B12" s="28">
        <f ca="1">SLOPE(H19:H30,G19:G30)</f>
        <v>1</v>
      </c>
    </row>
    <row r="13" spans="1:7">
      <c r="A13" s="28" t="s">
        <v>115</v>
      </c>
      <c r="B13" s="28">
        <f ca="1">INTERCEPT(H19:H30,G19:G30)</f>
        <v>0</v>
      </c>
    </row>
    <row r="14" spans="1:7">
      <c r="A14" s="28" t="s">
        <v>114</v>
      </c>
      <c r="B14" s="28">
        <f ca="1">CORREL(G19:G30,H19:H30)</f>
        <v>1</v>
      </c>
    </row>
    <row r="15" spans="1:7">
      <c r="A15" s="28" t="s">
        <v>113</v>
      </c>
      <c r="B15" s="28" t="b">
        <f ca="1">IF(ISERROR(B14),FALSE,TRUE)</f>
        <v>1</v>
      </c>
    </row>
    <row r="17" spans="1:27">
      <c r="D17" s="28" t="s">
        <v>112</v>
      </c>
      <c r="F17" s="28" t="s">
        <v>111</v>
      </c>
      <c r="G17" s="28" t="s">
        <v>110</v>
      </c>
      <c r="J17" s="28" t="s">
        <v>109</v>
      </c>
      <c r="M17" s="77" t="s">
        <v>145</v>
      </c>
      <c r="S17" s="77" t="s">
        <v>108</v>
      </c>
      <c r="W17" s="77" t="s">
        <v>107</v>
      </c>
      <c r="Z17" s="77" t="s">
        <v>106</v>
      </c>
    </row>
    <row r="18" spans="1:27">
      <c r="A18" s="28" t="s">
        <v>146</v>
      </c>
      <c r="B18" s="28" t="s">
        <v>56</v>
      </c>
      <c r="C18" s="32" t="s">
        <v>105</v>
      </c>
      <c r="D18" s="32" t="s">
        <v>2</v>
      </c>
      <c r="E18" s="32" t="s">
        <v>1</v>
      </c>
      <c r="G18" s="32" t="s">
        <v>2</v>
      </c>
      <c r="H18" s="32" t="s">
        <v>1</v>
      </c>
      <c r="J18" s="32" t="s">
        <v>1</v>
      </c>
      <c r="K18" s="32" t="s">
        <v>104</v>
      </c>
      <c r="N18" s="28" t="s">
        <v>57</v>
      </c>
      <c r="O18" s="67" t="s">
        <v>99</v>
      </c>
      <c r="P18" s="28" t="s">
        <v>2</v>
      </c>
      <c r="Q18" s="28" t="s">
        <v>1</v>
      </c>
      <c r="S18" s="28" t="s">
        <v>103</v>
      </c>
      <c r="T18" s="28" t="s">
        <v>2</v>
      </c>
      <c r="U18" s="28" t="s">
        <v>1</v>
      </c>
      <c r="W18" s="28" t="s">
        <v>2</v>
      </c>
      <c r="X18" s="28" t="s">
        <v>1</v>
      </c>
      <c r="Z18" s="28" t="s">
        <v>2</v>
      </c>
      <c r="AA18" s="28" t="s">
        <v>1</v>
      </c>
    </row>
    <row r="19" spans="1:27">
      <c r="A19" s="28">
        <v>1</v>
      </c>
      <c r="B19" s="28" t="str">
        <f>tblTerritories!J3</f>
        <v>Asunción</v>
      </c>
      <c r="C19" s="28">
        <f>tblTerritories!F3</f>
        <v>1</v>
      </c>
      <c r="D19" s="28">
        <f t="shared" ref="D19:D30" ca="1" si="0">IF($C19=0,NA(),IF($B$7&gt;$B$1,INDEX(aScores,$B$1,$A19),INDEX(aData,$B$1,$A19)))</f>
        <v>29.531599128521769</v>
      </c>
      <c r="E19" s="28">
        <f t="shared" ref="E19:E30" ca="1" si="1">IF($C19=0,NA(),IF($B$7&gt;$B$2,INDEX(aScores,$B$2,$A19),INDEX(aData,$B$2,$A19)))</f>
        <v>29.531599128521769</v>
      </c>
      <c r="F19" s="28" t="b">
        <f ca="1">AND(ISNUMBER(D19),ISNUMBER(E19))</f>
        <v>1</v>
      </c>
      <c r="G19" s="28">
        <f ca="1">IF($F19,D19,"")</f>
        <v>29.531599128521769</v>
      </c>
      <c r="H19" s="28">
        <f ca="1">IF($F19,E19,"")</f>
        <v>29.531599128521769</v>
      </c>
      <c r="J19" s="28">
        <f ca="1">IF(G19="","",(G19*$B$12)+$B$13)</f>
        <v>29.531599128521769</v>
      </c>
      <c r="K19" s="28">
        <f ca="1">IF(J19="","",H19-J19)</f>
        <v>0</v>
      </c>
      <c r="N19" s="28">
        <f>B3</f>
        <v>0</v>
      </c>
      <c r="O19" s="28" t="str">
        <f>IF($B$3=0,"&lt;none&gt;",INDEX(luCities,$B$3))</f>
        <v>&lt;none&gt;</v>
      </c>
      <c r="P19" s="28" t="e">
        <f>IF($B$3=0,NA(),INDEX(G19:G30,$B$3))</f>
        <v>#N/A</v>
      </c>
      <c r="Q19" s="28" t="e">
        <f>IF($B$3=0,NA(),INDEX(H19:H30,$B$3))</f>
        <v>#N/A</v>
      </c>
      <c r="S19" s="28">
        <f t="shared" ref="S19:S26" si="2">IF(NOT($B$4),0,IF(OR(A19=$N$19,A19=$N$23,A19=$N$27),0,IF(AND(C19&lt;3,F19),1,0)))</f>
        <v>0</v>
      </c>
      <c r="T19" s="28" t="e">
        <f t="shared" ref="T19:U26" si="3">IF($S19=0,NA(),G19)</f>
        <v>#N/A</v>
      </c>
      <c r="U19" s="28" t="e">
        <f t="shared" si="3"/>
        <v>#N/A</v>
      </c>
      <c r="W19" s="28">
        <f t="shared" ref="W19:X26" ca="1" si="4">IF(AND($C19&gt;0,$F19),G19,NA())</f>
        <v>29.531599128521769</v>
      </c>
      <c r="X19" s="28">
        <f t="shared" ca="1" si="4"/>
        <v>29.531599128521769</v>
      </c>
      <c r="Z19" s="28" t="e">
        <f t="shared" ref="Z19:AA26" ca="1" si="5">IF(AND($C19=2,$F19),G19,NA())</f>
        <v>#N/A</v>
      </c>
      <c r="AA19" s="28" t="e">
        <f t="shared" ca="1" si="5"/>
        <v>#N/A</v>
      </c>
    </row>
    <row r="20" spans="1:27">
      <c r="A20" s="28">
        <v>2</v>
      </c>
      <c r="B20" s="28" t="str">
        <f>tblTerritories!J4</f>
        <v>Bogotá</v>
      </c>
      <c r="C20" s="28">
        <f>tblTerritories!F4</f>
        <v>1</v>
      </c>
      <c r="D20" s="28">
        <f t="shared" ca="1" si="0"/>
        <v>65.144325288871812</v>
      </c>
      <c r="E20" s="28">
        <f t="shared" ca="1" si="1"/>
        <v>65.144325288871812</v>
      </c>
      <c r="F20" s="28" t="b">
        <f t="shared" ref="F20:F30" ca="1" si="6">AND(ISNUMBER(D20),ISNUMBER(E20))</f>
        <v>1</v>
      </c>
      <c r="G20" s="28">
        <f t="shared" ref="G20:G25" ca="1" si="7">IF($F20,D20,"")</f>
        <v>65.144325288871812</v>
      </c>
      <c r="H20" s="28">
        <f t="shared" ref="H20:H25" ca="1" si="8">IF($F20,E20,"")</f>
        <v>65.144325288871812</v>
      </c>
      <c r="J20" s="28">
        <f t="shared" ref="J20:J30" ca="1" si="9">IF(G20="","",(G20*$B$12)+$B$13)</f>
        <v>65.144325288871812</v>
      </c>
      <c r="K20" s="28">
        <f t="shared" ref="K20:K30" ca="1" si="10">IF(J20="","",H20-J20)</f>
        <v>0</v>
      </c>
      <c r="S20" s="28">
        <f t="shared" si="2"/>
        <v>0</v>
      </c>
      <c r="T20" s="28" t="e">
        <f t="shared" si="3"/>
        <v>#N/A</v>
      </c>
      <c r="U20" s="28" t="e">
        <f t="shared" si="3"/>
        <v>#N/A</v>
      </c>
      <c r="W20" s="28">
        <f t="shared" ca="1" si="4"/>
        <v>65.144325288871812</v>
      </c>
      <c r="X20" s="28">
        <f t="shared" ca="1" si="4"/>
        <v>65.144325288871812</v>
      </c>
      <c r="Z20" s="28" t="e">
        <f t="shared" ca="1" si="5"/>
        <v>#N/A</v>
      </c>
      <c r="AA20" s="28" t="e">
        <f t="shared" ca="1" si="5"/>
        <v>#N/A</v>
      </c>
    </row>
    <row r="21" spans="1:27">
      <c r="A21" s="28">
        <v>3</v>
      </c>
      <c r="B21" s="28" t="str">
        <f>tblTerritories!J5</f>
        <v>Buenos Aires</v>
      </c>
      <c r="C21" s="28">
        <f>tblTerritories!F5</f>
        <v>1</v>
      </c>
      <c r="D21" s="28">
        <f t="shared" ca="1" si="0"/>
        <v>78.843427630084065</v>
      </c>
      <c r="E21" s="28">
        <f t="shared" ca="1" si="1"/>
        <v>78.843427630084065</v>
      </c>
      <c r="F21" s="28" t="b">
        <f t="shared" ca="1" si="6"/>
        <v>1</v>
      </c>
      <c r="G21" s="28">
        <f t="shared" ca="1" si="7"/>
        <v>78.843427630084065</v>
      </c>
      <c r="H21" s="28">
        <f t="shared" ca="1" si="8"/>
        <v>78.843427630084065</v>
      </c>
      <c r="J21" s="28">
        <f t="shared" ca="1" si="9"/>
        <v>78.843427630084065</v>
      </c>
      <c r="K21" s="28">
        <f t="shared" ca="1" si="10"/>
        <v>0</v>
      </c>
      <c r="M21" s="77" t="s">
        <v>102</v>
      </c>
      <c r="S21" s="28">
        <f t="shared" si="2"/>
        <v>0</v>
      </c>
      <c r="T21" s="28" t="e">
        <f t="shared" si="3"/>
        <v>#N/A</v>
      </c>
      <c r="U21" s="28" t="e">
        <f t="shared" si="3"/>
        <v>#N/A</v>
      </c>
      <c r="W21" s="28">
        <f t="shared" ca="1" si="4"/>
        <v>78.843427630084065</v>
      </c>
      <c r="X21" s="28">
        <f t="shared" ca="1" si="4"/>
        <v>78.843427630084065</v>
      </c>
      <c r="Z21" s="28" t="e">
        <f t="shared" ca="1" si="5"/>
        <v>#N/A</v>
      </c>
      <c r="AA21" s="28" t="e">
        <f t="shared" ca="1" si="5"/>
        <v>#N/A</v>
      </c>
    </row>
    <row r="22" spans="1:27">
      <c r="A22" s="28">
        <v>4</v>
      </c>
      <c r="B22" s="28" t="str">
        <f>tblTerritories!J6</f>
        <v>Ciudad de Belice</v>
      </c>
      <c r="C22" s="28">
        <f>tblTerritories!F6</f>
        <v>1</v>
      </c>
      <c r="D22" s="28">
        <f t="shared" ca="1" si="0"/>
        <v>17.405048300370385</v>
      </c>
      <c r="E22" s="28">
        <f t="shared" ca="1" si="1"/>
        <v>17.405048300370385</v>
      </c>
      <c r="F22" s="28" t="b">
        <f t="shared" ca="1" si="6"/>
        <v>1</v>
      </c>
      <c r="G22" s="28">
        <f t="shared" ca="1" si="7"/>
        <v>17.405048300370385</v>
      </c>
      <c r="H22" s="28">
        <f t="shared" ca="1" si="8"/>
        <v>17.405048300370385</v>
      </c>
      <c r="J22" s="28">
        <f t="shared" ca="1" si="9"/>
        <v>17.405048300370385</v>
      </c>
      <c r="K22" s="28">
        <f t="shared" ca="1" si="10"/>
        <v>0</v>
      </c>
      <c r="M22" s="28" t="s">
        <v>100</v>
      </c>
      <c r="N22" s="28" t="s">
        <v>57</v>
      </c>
      <c r="O22" s="67" t="s">
        <v>99</v>
      </c>
      <c r="P22" s="28" t="s">
        <v>2</v>
      </c>
      <c r="Q22" s="28" t="s">
        <v>1</v>
      </c>
      <c r="S22" s="28">
        <f t="shared" si="2"/>
        <v>0</v>
      </c>
      <c r="T22" s="28" t="e">
        <f t="shared" si="3"/>
        <v>#N/A</v>
      </c>
      <c r="U22" s="28" t="e">
        <f t="shared" si="3"/>
        <v>#N/A</v>
      </c>
      <c r="W22" s="28">
        <f t="shared" ca="1" si="4"/>
        <v>17.405048300370385</v>
      </c>
      <c r="X22" s="28">
        <f t="shared" ca="1" si="4"/>
        <v>17.405048300370385</v>
      </c>
      <c r="Z22" s="28" t="e">
        <f t="shared" ca="1" si="5"/>
        <v>#N/A</v>
      </c>
      <c r="AA22" s="28" t="e">
        <f t="shared" ca="1" si="5"/>
        <v>#N/A</v>
      </c>
    </row>
    <row r="23" spans="1:27">
      <c r="A23" s="28">
        <v>5</v>
      </c>
      <c r="B23" s="28" t="str">
        <f>tblTerritories!J7</f>
        <v>Ciudad de México</v>
      </c>
      <c r="C23" s="28">
        <f>tblTerritories!F7</f>
        <v>1</v>
      </c>
      <c r="D23" s="28">
        <f t="shared" ca="1" si="0"/>
        <v>45.341522453773223</v>
      </c>
      <c r="E23" s="28">
        <f t="shared" ca="1" si="1"/>
        <v>45.341522453773223</v>
      </c>
      <c r="F23" s="28" t="b">
        <f t="shared" ca="1" si="6"/>
        <v>1</v>
      </c>
      <c r="G23" s="28">
        <f t="shared" ca="1" si="7"/>
        <v>45.341522453773223</v>
      </c>
      <c r="H23" s="28">
        <f t="shared" ca="1" si="8"/>
        <v>45.341522453773223</v>
      </c>
      <c r="J23" s="28">
        <f t="shared" ca="1" si="9"/>
        <v>45.341522453773223</v>
      </c>
      <c r="K23" s="28">
        <f t="shared" ca="1" si="10"/>
        <v>0</v>
      </c>
      <c r="M23" s="28">
        <f ca="1">MAX(K19:K30)</f>
        <v>0</v>
      </c>
      <c r="N23" s="28">
        <f ca="1">IF(B15,IF($B$5,MATCH(M23,K19:K30,0),0),0)</f>
        <v>0</v>
      </c>
      <c r="O23" s="28" t="e">
        <f ca="1">IF(AND($B$15,$B$5,N23&lt;&gt;N19),INDEX(B19:B30,$N23),NA())</f>
        <v>#N/A</v>
      </c>
      <c r="P23" s="28" t="e">
        <f ca="1">IF(AND($B$15,$B$5,N23&lt;&gt;N19),INDEX(G19:G30,$N23),NA())</f>
        <v>#N/A</v>
      </c>
      <c r="Q23" s="28" t="e">
        <f ca="1">IF(AND($B$15,$B$5,N23&lt;&gt;N19),INDEX(H19:H30,$N23),NA())</f>
        <v>#N/A</v>
      </c>
      <c r="S23" s="28">
        <f t="shared" si="2"/>
        <v>0</v>
      </c>
      <c r="T23" s="28" t="e">
        <f t="shared" si="3"/>
        <v>#N/A</v>
      </c>
      <c r="U23" s="28" t="e">
        <f t="shared" si="3"/>
        <v>#N/A</v>
      </c>
      <c r="W23" s="28">
        <f t="shared" ca="1" si="4"/>
        <v>45.341522453773223</v>
      </c>
      <c r="X23" s="28">
        <f t="shared" ca="1" si="4"/>
        <v>45.341522453773223</v>
      </c>
      <c r="Z23" s="28" t="e">
        <f t="shared" ca="1" si="5"/>
        <v>#N/A</v>
      </c>
      <c r="AA23" s="28" t="e">
        <f t="shared" ca="1" si="5"/>
        <v>#N/A</v>
      </c>
    </row>
    <row r="24" spans="1:27">
      <c r="A24" s="28">
        <v>6</v>
      </c>
      <c r="B24" s="28" t="str">
        <f>tblTerritories!J8</f>
        <v>Lima</v>
      </c>
      <c r="C24" s="28">
        <f>tblTerritories!F8</f>
        <v>1</v>
      </c>
      <c r="D24" s="28">
        <f t="shared" ca="1" si="0"/>
        <v>53.769759292166306</v>
      </c>
      <c r="E24" s="28">
        <f t="shared" ca="1" si="1"/>
        <v>53.769759292166306</v>
      </c>
      <c r="F24" s="28" t="b">
        <f t="shared" ca="1" si="6"/>
        <v>1</v>
      </c>
      <c r="G24" s="28">
        <f t="shared" ca="1" si="7"/>
        <v>53.769759292166306</v>
      </c>
      <c r="H24" s="28">
        <f t="shared" ca="1" si="8"/>
        <v>53.769759292166306</v>
      </c>
      <c r="J24" s="28">
        <f t="shared" ca="1" si="9"/>
        <v>53.769759292166306</v>
      </c>
      <c r="K24" s="28">
        <f t="shared" ca="1" si="10"/>
        <v>0</v>
      </c>
      <c r="S24" s="28">
        <f t="shared" si="2"/>
        <v>0</v>
      </c>
      <c r="T24" s="28" t="e">
        <f t="shared" si="3"/>
        <v>#N/A</v>
      </c>
      <c r="U24" s="28" t="e">
        <f t="shared" si="3"/>
        <v>#N/A</v>
      </c>
      <c r="W24" s="28">
        <f t="shared" ca="1" si="4"/>
        <v>53.769759292166306</v>
      </c>
      <c r="X24" s="28">
        <f t="shared" ca="1" si="4"/>
        <v>53.769759292166306</v>
      </c>
      <c r="Z24" s="28" t="e">
        <f t="shared" ca="1" si="5"/>
        <v>#N/A</v>
      </c>
      <c r="AA24" s="28" t="e">
        <f t="shared" ca="1" si="5"/>
        <v>#N/A</v>
      </c>
    </row>
    <row r="25" spans="1:27">
      <c r="A25" s="28">
        <v>7</v>
      </c>
      <c r="B25" s="28" t="str">
        <f>tblTerritories!J9</f>
        <v>Montevideo</v>
      </c>
      <c r="C25" s="28">
        <f>tblTerritories!F9</f>
        <v>1</v>
      </c>
      <c r="D25" s="28">
        <f t="shared" ca="1" si="0"/>
        <v>39.250748976231442</v>
      </c>
      <c r="E25" s="28">
        <f t="shared" ca="1" si="1"/>
        <v>39.250748976231442</v>
      </c>
      <c r="F25" s="28" t="b">
        <f t="shared" ca="1" si="6"/>
        <v>1</v>
      </c>
      <c r="G25" s="28">
        <f t="shared" ca="1" si="7"/>
        <v>39.250748976231442</v>
      </c>
      <c r="H25" s="28">
        <f t="shared" ca="1" si="8"/>
        <v>39.250748976231442</v>
      </c>
      <c r="J25" s="28">
        <f t="shared" ca="1" si="9"/>
        <v>39.250748976231442</v>
      </c>
      <c r="K25" s="28">
        <f t="shared" ca="1" si="10"/>
        <v>0</v>
      </c>
      <c r="M25" s="77" t="s">
        <v>101</v>
      </c>
      <c r="O25" s="67"/>
      <c r="S25" s="28">
        <f t="shared" si="2"/>
        <v>0</v>
      </c>
      <c r="T25" s="28" t="e">
        <f t="shared" si="3"/>
        <v>#N/A</v>
      </c>
      <c r="U25" s="28" t="e">
        <f t="shared" si="3"/>
        <v>#N/A</v>
      </c>
      <c r="W25" s="28">
        <f t="shared" ca="1" si="4"/>
        <v>39.250748976231442</v>
      </c>
      <c r="X25" s="28">
        <f t="shared" ca="1" si="4"/>
        <v>39.250748976231442</v>
      </c>
      <c r="Z25" s="28" t="e">
        <f t="shared" ca="1" si="5"/>
        <v>#N/A</v>
      </c>
      <c r="AA25" s="28" t="e">
        <f t="shared" ca="1" si="5"/>
        <v>#N/A</v>
      </c>
    </row>
    <row r="26" spans="1:27">
      <c r="A26" s="28">
        <v>8</v>
      </c>
      <c r="B26" s="28" t="str">
        <f>tblTerritories!J10</f>
        <v>Quito</v>
      </c>
      <c r="C26" s="28">
        <f>tblTerritories!F10</f>
        <v>1</v>
      </c>
      <c r="D26" s="28">
        <f t="shared" ca="1" si="0"/>
        <v>41.239073426573427</v>
      </c>
      <c r="E26" s="28">
        <f t="shared" ca="1" si="1"/>
        <v>41.239073426573427</v>
      </c>
      <c r="F26" s="28" t="b">
        <f t="shared" ca="1" si="6"/>
        <v>1</v>
      </c>
      <c r="G26" s="28">
        <f t="shared" ref="G26:G30" ca="1" si="11">IF($F26,D26,"")</f>
        <v>41.239073426573427</v>
      </c>
      <c r="H26" s="28">
        <f t="shared" ref="H26:H30" ca="1" si="12">IF($F26,E26,"")</f>
        <v>41.239073426573427</v>
      </c>
      <c r="J26" s="28">
        <f t="shared" ca="1" si="9"/>
        <v>41.239073426573427</v>
      </c>
      <c r="K26" s="28">
        <f t="shared" ca="1" si="10"/>
        <v>0</v>
      </c>
      <c r="M26" s="28" t="s">
        <v>100</v>
      </c>
      <c r="N26" s="28" t="s">
        <v>57</v>
      </c>
      <c r="O26" s="67" t="s">
        <v>99</v>
      </c>
      <c r="P26" s="28" t="s">
        <v>2</v>
      </c>
      <c r="Q26" s="28" t="s">
        <v>1</v>
      </c>
      <c r="S26" s="28">
        <f t="shared" si="2"/>
        <v>0</v>
      </c>
      <c r="T26" s="28" t="e">
        <f t="shared" si="3"/>
        <v>#N/A</v>
      </c>
      <c r="U26" s="28" t="e">
        <f t="shared" si="3"/>
        <v>#N/A</v>
      </c>
      <c r="W26" s="28">
        <f t="shared" ca="1" si="4"/>
        <v>41.239073426573427</v>
      </c>
      <c r="X26" s="28">
        <f t="shared" ca="1" si="4"/>
        <v>41.239073426573427</v>
      </c>
      <c r="Z26" s="28" t="e">
        <f t="shared" ca="1" si="5"/>
        <v>#N/A</v>
      </c>
      <c r="AA26" s="28" t="e">
        <f t="shared" ca="1" si="5"/>
        <v>#N/A</v>
      </c>
    </row>
    <row r="27" spans="1:27">
      <c r="A27" s="28">
        <v>9</v>
      </c>
      <c r="B27" s="28" t="str">
        <f>tblTerritories!J11</f>
        <v>San José</v>
      </c>
      <c r="C27" s="28">
        <f>tblTerritories!F11</f>
        <v>1</v>
      </c>
      <c r="D27" s="28">
        <f t="shared" ca="1" si="0"/>
        <v>17.361111111111107</v>
      </c>
      <c r="E27" s="28">
        <f t="shared" ca="1" si="1"/>
        <v>17.361111111111107</v>
      </c>
      <c r="F27" s="28" t="b">
        <f t="shared" ca="1" si="6"/>
        <v>1</v>
      </c>
      <c r="G27" s="28">
        <f t="shared" ca="1" si="11"/>
        <v>17.361111111111107</v>
      </c>
      <c r="H27" s="28">
        <f t="shared" ca="1" si="12"/>
        <v>17.361111111111107</v>
      </c>
      <c r="J27" s="28">
        <f t="shared" ca="1" si="9"/>
        <v>17.361111111111107</v>
      </c>
      <c r="K27" s="28">
        <f t="shared" ca="1" si="10"/>
        <v>0</v>
      </c>
      <c r="M27" s="28">
        <f ca="1">MIN(K19:K30)</f>
        <v>0</v>
      </c>
      <c r="N27" s="28">
        <f ca="1">IF(B15,IF($B$5,MATCH(M27,K19:K30,0),0),0)</f>
        <v>0</v>
      </c>
      <c r="O27" s="28" t="e">
        <f ca="1">IF(AND($B$15,$B$5,N27&lt;&gt;N19),INDEX(B19:B30,$N27),NA())</f>
        <v>#N/A</v>
      </c>
      <c r="P27" s="28" t="e">
        <f ca="1">IF(AND($B$5,$B$15,N27&lt;&gt;N19),INDEX(G19:G30,$N27),NA())</f>
        <v>#N/A</v>
      </c>
      <c r="Q27" s="28" t="e">
        <f ca="1">IF(AND($B$5,$B$15,N27&lt;&gt;N19),INDEX(H19:H30,$N27),NA())</f>
        <v>#N/A</v>
      </c>
      <c r="S27" s="28">
        <f t="shared" ref="S27:S30" si="13">IF(NOT($B$4),0,IF(OR(A27=$N$19,A27=$N$23,A27=$N$27),0,IF(AND(C27&lt;3,F27),1,0)))</f>
        <v>0</v>
      </c>
      <c r="T27" s="28" t="e">
        <f t="shared" ref="T27:T30" si="14">IF($S27=0,NA(),G27)</f>
        <v>#N/A</v>
      </c>
      <c r="U27" s="28" t="e">
        <f t="shared" ref="U27:U30" si="15">IF($S27=0,NA(),H27)</f>
        <v>#N/A</v>
      </c>
      <c r="W27" s="28">
        <f t="shared" ref="W27:W30" ca="1" si="16">IF(AND($C27&gt;0,$F27),G27,NA())</f>
        <v>17.361111111111107</v>
      </c>
      <c r="X27" s="28">
        <f t="shared" ref="X27:X30" ca="1" si="17">IF(AND($C27&gt;0,$F27),H27,NA())</f>
        <v>17.361111111111107</v>
      </c>
      <c r="Z27" s="28" t="e">
        <f t="shared" ref="Z27:Z30" ca="1" si="18">IF(AND($C27=2,$F27),G27,NA())</f>
        <v>#N/A</v>
      </c>
      <c r="AA27" s="28" t="e">
        <f t="shared" ref="AA27:AA30" ca="1" si="19">IF(AND($C27=2,$F27),H27,NA())</f>
        <v>#N/A</v>
      </c>
    </row>
    <row r="28" spans="1:27">
      <c r="A28" s="28">
        <v>10</v>
      </c>
      <c r="B28" s="28" t="str">
        <f>tblTerritories!J12</f>
        <v>San Pablo</v>
      </c>
      <c r="C28" s="28">
        <f>tblTerritories!F12</f>
        <v>1</v>
      </c>
      <c r="D28" s="28">
        <f t="shared" ca="1" si="0"/>
        <v>70.450228226824706</v>
      </c>
      <c r="E28" s="28">
        <f t="shared" ca="1" si="1"/>
        <v>70.450228226824706</v>
      </c>
      <c r="F28" s="28" t="b">
        <f t="shared" ca="1" si="6"/>
        <v>1</v>
      </c>
      <c r="G28" s="28">
        <f t="shared" ca="1" si="11"/>
        <v>70.450228226824706</v>
      </c>
      <c r="H28" s="28">
        <f t="shared" ca="1" si="12"/>
        <v>70.450228226824706</v>
      </c>
      <c r="J28" s="28">
        <f t="shared" ca="1" si="9"/>
        <v>70.450228226824706</v>
      </c>
      <c r="K28" s="28">
        <f t="shared" ca="1" si="10"/>
        <v>0</v>
      </c>
      <c r="S28" s="28">
        <f t="shared" si="13"/>
        <v>0</v>
      </c>
      <c r="T28" s="28" t="e">
        <f t="shared" si="14"/>
        <v>#N/A</v>
      </c>
      <c r="U28" s="28" t="e">
        <f t="shared" si="15"/>
        <v>#N/A</v>
      </c>
      <c r="W28" s="28">
        <f t="shared" ca="1" si="16"/>
        <v>70.450228226824706</v>
      </c>
      <c r="X28" s="28">
        <f t="shared" ca="1" si="17"/>
        <v>70.450228226824706</v>
      </c>
      <c r="Z28" s="28" t="e">
        <f t="shared" ca="1" si="18"/>
        <v>#N/A</v>
      </c>
      <c r="AA28" s="28" t="e">
        <f t="shared" ca="1" si="19"/>
        <v>#N/A</v>
      </c>
    </row>
    <row r="29" spans="1:27">
      <c r="A29" s="28">
        <v>11</v>
      </c>
      <c r="B29" s="28" t="str">
        <f>tblTerritories!J13</f>
        <v>Santa Cruz</v>
      </c>
      <c r="C29" s="28">
        <f>tblTerritories!F13</f>
        <v>1</v>
      </c>
      <c r="D29" s="28">
        <f t="shared" ca="1" si="0"/>
        <v>48.842469732040271</v>
      </c>
      <c r="E29" s="28">
        <f t="shared" ca="1" si="1"/>
        <v>48.842469732040271</v>
      </c>
      <c r="F29" s="28" t="b">
        <f t="shared" ca="1" si="6"/>
        <v>1</v>
      </c>
      <c r="G29" s="28">
        <f t="shared" ca="1" si="11"/>
        <v>48.842469732040271</v>
      </c>
      <c r="H29" s="28">
        <f t="shared" ca="1" si="12"/>
        <v>48.842469732040271</v>
      </c>
      <c r="J29" s="28">
        <f t="shared" ca="1" si="9"/>
        <v>48.842469732040271</v>
      </c>
      <c r="K29" s="28">
        <f t="shared" ca="1" si="10"/>
        <v>0</v>
      </c>
      <c r="S29" s="28">
        <f t="shared" si="13"/>
        <v>0</v>
      </c>
      <c r="T29" s="28" t="e">
        <f t="shared" si="14"/>
        <v>#N/A</v>
      </c>
      <c r="U29" s="28" t="e">
        <f t="shared" si="15"/>
        <v>#N/A</v>
      </c>
      <c r="W29" s="28">
        <f t="shared" ca="1" si="16"/>
        <v>48.842469732040271</v>
      </c>
      <c r="X29" s="28">
        <f t="shared" ca="1" si="17"/>
        <v>48.842469732040271</v>
      </c>
      <c r="Z29" s="28" t="e">
        <f t="shared" ca="1" si="18"/>
        <v>#N/A</v>
      </c>
      <c r="AA29" s="28" t="e">
        <f t="shared" ca="1" si="19"/>
        <v>#N/A</v>
      </c>
    </row>
    <row r="30" spans="1:27">
      <c r="A30" s="28">
        <v>12</v>
      </c>
      <c r="B30" s="28" t="str">
        <f>tblTerritories!J14</f>
        <v>Santiago de Chile</v>
      </c>
      <c r="C30" s="28">
        <f>tblTerritories!F14</f>
        <v>1</v>
      </c>
      <c r="D30" s="28">
        <f t="shared" ca="1" si="0"/>
        <v>42.9813511372177</v>
      </c>
      <c r="E30" s="28">
        <f t="shared" ca="1" si="1"/>
        <v>42.9813511372177</v>
      </c>
      <c r="F30" s="28" t="b">
        <f t="shared" ca="1" si="6"/>
        <v>1</v>
      </c>
      <c r="G30" s="28">
        <f t="shared" ca="1" si="11"/>
        <v>42.9813511372177</v>
      </c>
      <c r="H30" s="28">
        <f t="shared" ca="1" si="12"/>
        <v>42.9813511372177</v>
      </c>
      <c r="J30" s="28">
        <f t="shared" ca="1" si="9"/>
        <v>42.9813511372177</v>
      </c>
      <c r="K30" s="28">
        <f t="shared" ca="1" si="10"/>
        <v>0</v>
      </c>
      <c r="S30" s="28">
        <f t="shared" si="13"/>
        <v>0</v>
      </c>
      <c r="T30" s="28" t="e">
        <f t="shared" si="14"/>
        <v>#N/A</v>
      </c>
      <c r="U30" s="28" t="e">
        <f t="shared" si="15"/>
        <v>#N/A</v>
      </c>
      <c r="W30" s="28">
        <f t="shared" ca="1" si="16"/>
        <v>42.9813511372177</v>
      </c>
      <c r="X30" s="28">
        <f t="shared" ca="1" si="17"/>
        <v>42.9813511372177</v>
      </c>
      <c r="Z30" s="28" t="e">
        <f t="shared" ca="1" si="18"/>
        <v>#N/A</v>
      </c>
      <c r="AA30" s="28" t="e">
        <f t="shared" ca="1" si="19"/>
        <v>#N/A</v>
      </c>
    </row>
  </sheetData>
  <pageMargins left="0.55118110236220474" right="0.55118110236220474" top="0.59055118110236227" bottom="0.78740157480314965" header="0.51181102362204722" footer="0.51181102362204722"/>
  <pageSetup paperSize="9" scale="50" orientation="landscape" r:id="rId1"/>
  <headerFooter alignWithMargins="0">
    <oddHeader>&amp;RResultados del Modelo de Reciclaje Inclusivo</oddHeader>
  </headerFooter>
</worksheet>
</file>

<file path=xl/worksheets/sheet28.xml><?xml version="1.0" encoding="utf-8"?>
<worksheet xmlns="http://schemas.openxmlformats.org/spreadsheetml/2006/main" xmlns:r="http://schemas.openxmlformats.org/officeDocument/2006/relationships">
  <sheetPr codeName="Sheet18">
    <tabColor rgb="FFFFC000"/>
    <pageSetUpPr fitToPage="1"/>
  </sheetPr>
  <dimension ref="A1:BB34"/>
  <sheetViews>
    <sheetView showGridLines="0" showRowColHeaders="0" zoomScale="80" zoomScaleNormal="80" workbookViewId="0">
      <pane ySplit="2" topLeftCell="A3" activePane="bottomLeft" state="frozen"/>
      <selection activeCell="Z8" sqref="Z8"/>
      <selection pane="bottomLeft" activeCell="M2" sqref="M2"/>
    </sheetView>
  </sheetViews>
  <sheetFormatPr defaultRowHeight="15"/>
  <cols>
    <col min="1" max="1" width="2.42578125" style="28" customWidth="1"/>
    <col min="2" max="2" width="40.5703125" style="28" customWidth="1"/>
    <col min="3" max="3" width="4.7109375" style="28" customWidth="1"/>
    <col min="4" max="4" width="3.7109375" style="28" customWidth="1"/>
    <col min="5" max="5" width="8.7109375" style="28" hidden="1" customWidth="1"/>
    <col min="6" max="6" width="20.28515625" style="28" customWidth="1"/>
    <col min="7" max="9" width="9.140625" style="28"/>
    <col min="10" max="10" width="5.42578125" style="28" customWidth="1"/>
    <col min="11" max="16" width="9.140625" style="28"/>
    <col min="17" max="18" width="5.5703125" style="28" customWidth="1"/>
    <col min="19" max="19" width="11.7109375" style="28" customWidth="1"/>
    <col min="20" max="20" width="9.140625" style="28"/>
    <col min="21" max="21" width="7.140625" style="28" customWidth="1"/>
    <col min="22" max="23" width="9.140625" style="28"/>
    <col min="24" max="24" width="4.28515625" style="28" customWidth="1"/>
    <col min="25" max="16384" width="9.140625" style="28"/>
  </cols>
  <sheetData>
    <row r="1" spans="1:54" customFormat="1" ht="24" customHeight="1">
      <c r="A1" s="72"/>
      <c r="B1" s="72"/>
      <c r="C1" s="72"/>
      <c r="D1" s="72"/>
      <c r="E1" s="72"/>
      <c r="F1" s="72"/>
      <c r="G1" s="72"/>
      <c r="H1" s="72"/>
      <c r="I1" s="72"/>
      <c r="J1" s="72"/>
      <c r="K1" s="72"/>
      <c r="L1" s="72"/>
      <c r="M1" s="72"/>
      <c r="N1" s="72"/>
      <c r="O1" s="72"/>
      <c r="P1" s="72"/>
      <c r="Q1" s="72"/>
      <c r="R1" s="72"/>
      <c r="S1" s="72"/>
      <c r="T1" s="72"/>
      <c r="U1" s="72"/>
      <c r="V1" s="72"/>
      <c r="W1" s="72"/>
      <c r="X1" s="72"/>
      <c r="BA1" s="82">
        <v>3</v>
      </c>
      <c r="BB1" s="82">
        <v>2</v>
      </c>
    </row>
    <row r="2" spans="1:54" customFormat="1" ht="68.099999999999994" customHeight="1">
      <c r="A2" s="72"/>
      <c r="B2" s="72"/>
      <c r="C2" s="72"/>
      <c r="D2" s="72"/>
      <c r="E2" s="72"/>
      <c r="F2" s="72"/>
      <c r="G2" s="72"/>
      <c r="H2" s="72"/>
      <c r="I2" s="72"/>
      <c r="J2" s="72"/>
      <c r="K2" s="72"/>
      <c r="L2" s="72"/>
      <c r="M2" s="72"/>
      <c r="N2" s="72"/>
      <c r="O2" s="72"/>
      <c r="P2" s="72"/>
      <c r="Q2" s="72"/>
      <c r="R2" s="72"/>
      <c r="S2" s="72"/>
      <c r="T2" s="72"/>
      <c r="U2" s="72"/>
      <c r="V2" s="72"/>
      <c r="W2" s="72"/>
      <c r="X2" s="72"/>
    </row>
    <row r="3" spans="1:54" customFormat="1" ht="21.75" customHeight="1"/>
    <row r="4" spans="1:54" s="101" customFormat="1" ht="42.75" customHeight="1">
      <c r="B4" s="102" t="str">
        <f>iScatter!G1</f>
        <v>OVERALL SCORE</v>
      </c>
      <c r="M4" s="103"/>
      <c r="W4" s="103" t="str">
        <f>iScatter!G2</f>
        <v>OVERALL SCORE</v>
      </c>
    </row>
    <row r="5" spans="1:54">
      <c r="A5"/>
      <c r="B5" s="3" t="str">
        <f>IF(iScatter!B1=1,"",iScatter!F1)</f>
        <v/>
      </c>
      <c r="C5" s="3"/>
      <c r="H5" s="3"/>
      <c r="I5" s="3"/>
      <c r="J5" s="3"/>
      <c r="K5" s="3"/>
      <c r="L5" s="3"/>
      <c r="M5" s="73"/>
      <c r="N5" s="3"/>
      <c r="O5" s="3"/>
      <c r="Q5" s="73"/>
      <c r="W5" s="191" t="str">
        <f>IF(iScatter!B2=1,"",iScatter!F2)</f>
        <v/>
      </c>
    </row>
    <row r="6" spans="1:54" ht="7.5" customHeight="1">
      <c r="A6"/>
    </row>
    <row r="7" spans="1:54" ht="16.5" customHeight="1">
      <c r="A7"/>
      <c r="B7" s="3" t="s">
        <v>127</v>
      </c>
      <c r="C7" s="793">
        <f ca="1">IF(ISERROR(iScatter!B14),"n/a",iScatter!B14)</f>
        <v>1</v>
      </c>
      <c r="D7" s="793"/>
      <c r="P7" s="78"/>
    </row>
    <row r="8" spans="1:54">
      <c r="A8"/>
      <c r="B8"/>
      <c r="C8"/>
    </row>
    <row r="9" spans="1:54" ht="16.5" customHeight="1">
      <c r="A9"/>
      <c r="B9"/>
      <c r="C9"/>
    </row>
    <row r="10" spans="1:54" ht="16.5" customHeight="1">
      <c r="A10"/>
      <c r="B10"/>
      <c r="C10"/>
    </row>
    <row r="11" spans="1:54" ht="16.5" customHeight="1">
      <c r="A11"/>
      <c r="B11"/>
      <c r="C11"/>
    </row>
    <row r="12" spans="1:54" ht="16.5" customHeight="1">
      <c r="A12"/>
      <c r="B12"/>
      <c r="C12"/>
    </row>
    <row r="13" spans="1:54" ht="16.5" customHeight="1">
      <c r="A13"/>
      <c r="B13"/>
      <c r="C13"/>
    </row>
    <row r="14" spans="1:54" ht="16.5" customHeight="1">
      <c r="A14"/>
      <c r="B14"/>
      <c r="C14"/>
    </row>
    <row r="15" spans="1:54" ht="16.5" customHeight="1">
      <c r="A15"/>
      <c r="B15"/>
      <c r="C15"/>
    </row>
    <row r="16" spans="1:54" ht="16.5" customHeight="1">
      <c r="A16"/>
      <c r="B16"/>
      <c r="C16"/>
    </row>
    <row r="17" spans="1:3" ht="16.5" customHeight="1">
      <c r="A17"/>
      <c r="B17"/>
      <c r="C17"/>
    </row>
    <row r="18" spans="1:3" ht="16.5" customHeight="1">
      <c r="A18"/>
      <c r="B18"/>
      <c r="C18"/>
    </row>
    <row r="19" spans="1:3" ht="16.5" customHeight="1">
      <c r="A19"/>
      <c r="B19"/>
      <c r="C19"/>
    </row>
    <row r="20" spans="1:3" ht="16.5" customHeight="1">
      <c r="A20"/>
      <c r="B20"/>
      <c r="C20"/>
    </row>
    <row r="21" spans="1:3" ht="16.5" customHeight="1">
      <c r="A21"/>
      <c r="B21"/>
      <c r="C21"/>
    </row>
    <row r="22" spans="1:3" ht="16.5" customHeight="1">
      <c r="A22"/>
      <c r="B22"/>
      <c r="C22"/>
    </row>
    <row r="23" spans="1:3" ht="16.5" customHeight="1">
      <c r="A23"/>
      <c r="B23"/>
      <c r="C23"/>
    </row>
    <row r="24" spans="1:3" ht="16.5" customHeight="1">
      <c r="A24"/>
      <c r="B24"/>
      <c r="C24"/>
    </row>
    <row r="25" spans="1:3" ht="16.5" customHeight="1">
      <c r="A25"/>
      <c r="B25"/>
      <c r="C25"/>
    </row>
    <row r="26" spans="1:3" ht="16.5" customHeight="1">
      <c r="A26"/>
      <c r="B26"/>
      <c r="C26"/>
    </row>
    <row r="27" spans="1:3" ht="16.5" customHeight="1">
      <c r="A27"/>
      <c r="B27"/>
      <c r="C27"/>
    </row>
    <row r="28" spans="1:3" ht="16.5" customHeight="1">
      <c r="A28"/>
      <c r="B28"/>
      <c r="C28"/>
    </row>
    <row r="29" spans="1:3" ht="16.5" customHeight="1">
      <c r="A29"/>
      <c r="B29"/>
      <c r="C29"/>
    </row>
    <row r="30" spans="1:3" ht="16.5" customHeight="1">
      <c r="A30"/>
      <c r="B30"/>
      <c r="C30"/>
    </row>
    <row r="31" spans="1:3" ht="16.5" customHeight="1">
      <c r="A31"/>
      <c r="B31"/>
      <c r="C31"/>
    </row>
    <row r="32" spans="1:3" ht="16.5" customHeight="1">
      <c r="A32"/>
      <c r="B32"/>
      <c r="C32"/>
    </row>
    <row r="33" spans="1:3">
      <c r="A33"/>
      <c r="B33"/>
      <c r="C33"/>
    </row>
    <row r="34" spans="1:3">
      <c r="A34"/>
      <c r="B34"/>
      <c r="C34"/>
    </row>
  </sheetData>
  <mergeCells count="1">
    <mergeCell ref="C7:D7"/>
  </mergeCells>
  <pageMargins left="0.55118110236220474" right="0.55118110236220474" top="0.59055118110236227" bottom="0.78740157480314965" header="0.51181102362204722" footer="0.51181102362204722"/>
  <pageSetup paperSize="9" scale="61" orientation="landscape" r:id="rId1"/>
  <headerFooter alignWithMargins="0">
    <oddHeader>&amp;RResultados del Modelo de Reciclaje Inclusivo</oddHeader>
  </headerFooter>
  <drawing r:id="rId2"/>
  <legacyDrawing r:id="rId3"/>
</worksheet>
</file>

<file path=xl/worksheets/sheet29.xml><?xml version="1.0" encoding="utf-8"?>
<worksheet xmlns="http://schemas.openxmlformats.org/spreadsheetml/2006/main" xmlns:r="http://schemas.openxmlformats.org/officeDocument/2006/relationships">
  <sheetPr codeName="Sheet35">
    <tabColor rgb="FFFFC000"/>
    <pageSetUpPr autoPageBreaks="0" fitToPage="1"/>
  </sheetPr>
  <dimension ref="A1:BB112"/>
  <sheetViews>
    <sheetView showGridLines="0" showRowColHeaders="0" zoomScale="80" zoomScaleNormal="80" workbookViewId="0">
      <pane ySplit="2" topLeftCell="A3" activePane="bottomLeft" state="frozen"/>
      <selection activeCell="Z8" sqref="Z8"/>
      <selection pane="bottomLeft" activeCell="Z8" sqref="Z8"/>
    </sheetView>
  </sheetViews>
  <sheetFormatPr defaultColWidth="43.7109375" defaultRowHeight="15"/>
  <cols>
    <col min="1" max="1" width="1.7109375" style="229" customWidth="1"/>
    <col min="2" max="2" width="4.7109375" style="80" hidden="1" customWidth="1"/>
    <col min="3" max="3" width="49.85546875" style="229" customWidth="1"/>
    <col min="4" max="5" width="10.7109375" style="229" customWidth="1"/>
    <col min="6" max="6" width="2.85546875" style="229" hidden="1" customWidth="1"/>
    <col min="7" max="7" width="49.85546875" style="229" customWidth="1"/>
    <col min="8" max="9" width="10.7109375" style="229" customWidth="1"/>
    <col min="10" max="10" width="3" style="229" hidden="1" customWidth="1"/>
    <col min="11" max="11" width="49.85546875" style="229" customWidth="1"/>
    <col min="12" max="12" width="10.7109375" style="222" customWidth="1"/>
    <col min="13" max="13" width="2.28515625" style="222" customWidth="1"/>
    <col min="14" max="14" width="1.85546875" style="229" customWidth="1"/>
    <col min="15" max="16" width="7.85546875" style="229" customWidth="1"/>
    <col min="17" max="425" width="5.7109375" style="229" customWidth="1"/>
    <col min="426" max="16384" width="43.7109375" style="229"/>
  </cols>
  <sheetData>
    <row r="1" spans="1:54" ht="24" customHeight="1">
      <c r="A1" s="260"/>
      <c r="B1" s="229"/>
      <c r="BA1" s="82">
        <v>4</v>
      </c>
      <c r="BB1" s="82">
        <v>0</v>
      </c>
    </row>
    <row r="2" spans="1:54" ht="68.099999999999994" customHeight="1"/>
    <row r="3" spans="1:54" ht="42.75" customHeight="1">
      <c r="C3" s="350" t="str">
        <f ca="1">UPPER(uxb_works!C24)</f>
        <v>ASUNCIÓN</v>
      </c>
      <c r="D3" s="81" t="str">
        <f>lang!E119</f>
        <v>“=” denotes tied score</v>
      </c>
    </row>
    <row r="4" spans="1:54" s="261" customFormat="1" ht="31.5" customHeight="1">
      <c r="B4" s="157"/>
      <c r="C4" s="262"/>
      <c r="D4" s="263" t="str">
        <f>iCountryP!H6</f>
        <v>Ranking / 12</v>
      </c>
      <c r="E4" s="263" t="str">
        <f>iCountryP!I6</f>
        <v>Puntaje / 100</v>
      </c>
      <c r="F4" s="99"/>
      <c r="G4" s="99"/>
      <c r="H4" s="99"/>
      <c r="L4" s="264"/>
      <c r="M4" s="264"/>
    </row>
    <row r="5" spans="1:54" s="261" customFormat="1">
      <c r="B5" s="157">
        <v>1</v>
      </c>
      <c r="C5" s="265" t="str">
        <f>iCountryP!E8</f>
        <v>CATEGORÍA</v>
      </c>
      <c r="D5" s="266">
        <f ca="1">iCountryP!H8</f>
        <v>10</v>
      </c>
      <c r="E5" s="340">
        <f ca="1">iCountryP!I8</f>
        <v>29.5</v>
      </c>
      <c r="F5" s="99"/>
      <c r="G5" s="99"/>
      <c r="H5" s="99"/>
      <c r="L5" s="264"/>
      <c r="M5" s="264"/>
    </row>
    <row r="6" spans="1:54" s="261" customFormat="1">
      <c r="B6" s="157">
        <v>1</v>
      </c>
      <c r="C6" s="267" t="str">
        <f>iCountryP!E9</f>
        <v>1) NORMATIVA</v>
      </c>
      <c r="D6" s="254">
        <f ca="1">iCountryP!H9</f>
        <v>10</v>
      </c>
      <c r="E6" s="341">
        <f ca="1">iCountryP!I9</f>
        <v>32.799999999999997</v>
      </c>
      <c r="G6" s="230"/>
      <c r="H6" s="230"/>
      <c r="I6" s="230"/>
      <c r="J6" s="230"/>
      <c r="K6" s="230"/>
      <c r="L6" s="231"/>
      <c r="M6" s="231"/>
    </row>
    <row r="7" spans="1:54" s="261" customFormat="1">
      <c r="B7" s="157">
        <v>1</v>
      </c>
      <c r="C7" s="267" t="str">
        <f>iCountryP!E10</f>
        <v>2) ORGANIZATIVA</v>
      </c>
      <c r="D7" s="254">
        <f ca="1">iCountryP!H10</f>
        <v>10</v>
      </c>
      <c r="E7" s="341">
        <f ca="1">iCountryP!I10</f>
        <v>28.3</v>
      </c>
      <c r="G7" s="230"/>
      <c r="H7" s="230"/>
      <c r="I7" s="230"/>
      <c r="J7" s="230"/>
      <c r="K7" s="230"/>
      <c r="L7" s="231"/>
      <c r="M7" s="231"/>
    </row>
    <row r="8" spans="1:54" s="261" customFormat="1">
      <c r="B8" s="157">
        <v>1</v>
      </c>
      <c r="C8" s="267" t="str">
        <f>iCountryP!E11</f>
        <v>3) MERCADO</v>
      </c>
      <c r="D8" s="254">
        <f ca="1">iCountryP!H11</f>
        <v>11</v>
      </c>
      <c r="E8" s="341">
        <f ca="1">iCountryP!I11</f>
        <v>27.4</v>
      </c>
      <c r="G8" s="230"/>
      <c r="H8" s="230"/>
      <c r="I8" s="230"/>
      <c r="J8" s="230"/>
      <c r="K8" s="230"/>
      <c r="L8" s="231"/>
      <c r="M8" s="231"/>
    </row>
    <row r="9" spans="1:54" s="261" customFormat="1">
      <c r="G9" s="230"/>
      <c r="H9" s="230"/>
      <c r="I9" s="230"/>
      <c r="J9" s="230"/>
      <c r="K9" s="230"/>
      <c r="L9" s="231"/>
      <c r="M9" s="231"/>
    </row>
    <row r="10" spans="1:54" s="261" customFormat="1" ht="15.75">
      <c r="C10" s="262"/>
      <c r="D10" s="262"/>
      <c r="E10" s="262"/>
      <c r="F10" s="262"/>
      <c r="G10" s="268"/>
      <c r="H10" s="230"/>
      <c r="I10" s="230"/>
      <c r="J10" s="230"/>
      <c r="K10" s="230"/>
      <c r="L10" s="231"/>
      <c r="M10" s="231"/>
    </row>
    <row r="11" spans="1:54" s="261" customFormat="1">
      <c r="B11" s="261">
        <v>1</v>
      </c>
      <c r="C11" s="267"/>
      <c r="D11" s="267"/>
      <c r="E11" s="267"/>
      <c r="F11" s="267"/>
      <c r="G11" s="269"/>
      <c r="H11" s="230"/>
      <c r="I11" s="230"/>
      <c r="J11" s="230"/>
      <c r="K11" s="230"/>
      <c r="L11" s="231"/>
      <c r="M11" s="231"/>
    </row>
    <row r="12" spans="1:54" s="261" customFormat="1">
      <c r="B12" s="261">
        <v>1</v>
      </c>
      <c r="C12" s="267"/>
      <c r="D12" s="267"/>
      <c r="E12" s="267"/>
      <c r="F12" s="267"/>
      <c r="G12" s="269"/>
      <c r="H12" s="230"/>
      <c r="I12" s="230"/>
      <c r="J12" s="230"/>
      <c r="K12" s="230"/>
      <c r="L12" s="231"/>
      <c r="M12" s="231"/>
    </row>
    <row r="13" spans="1:54" s="261" customFormat="1">
      <c r="A13" s="160"/>
      <c r="B13" s="261">
        <v>1</v>
      </c>
      <c r="C13" s="267"/>
      <c r="D13" s="267"/>
      <c r="E13" s="267"/>
      <c r="F13" s="267"/>
      <c r="G13" s="269"/>
      <c r="H13" s="230"/>
      <c r="I13" s="230"/>
      <c r="J13" s="230"/>
      <c r="K13" s="230"/>
      <c r="L13" s="231"/>
      <c r="M13" s="231"/>
    </row>
    <row r="14" spans="1:54" s="261" customFormat="1">
      <c r="A14" s="160"/>
      <c r="B14" s="261">
        <v>1</v>
      </c>
      <c r="C14" s="267"/>
      <c r="D14" s="267"/>
      <c r="E14" s="267"/>
      <c r="F14" s="267"/>
      <c r="G14" s="269"/>
      <c r="H14" s="230"/>
      <c r="I14" s="230"/>
      <c r="J14" s="230"/>
      <c r="K14" s="230"/>
      <c r="L14" s="231"/>
      <c r="M14" s="231"/>
    </row>
    <row r="15" spans="1:54" s="261" customFormat="1">
      <c r="A15" s="160"/>
      <c r="B15" s="229"/>
      <c r="C15" s="229"/>
      <c r="D15" s="229"/>
      <c r="E15" s="229"/>
      <c r="F15" s="229"/>
      <c r="G15" s="229"/>
      <c r="H15" s="230"/>
      <c r="I15" s="230"/>
      <c r="J15" s="230"/>
      <c r="K15" s="230"/>
      <c r="L15" s="231"/>
      <c r="M15" s="231"/>
    </row>
    <row r="16" spans="1:54" s="261" customFormat="1" hidden="1">
      <c r="A16" s="160"/>
      <c r="B16" s="229"/>
      <c r="C16" s="229"/>
      <c r="D16" s="229"/>
      <c r="E16" s="229"/>
      <c r="F16" s="229"/>
      <c r="G16" s="229"/>
      <c r="H16" s="230"/>
      <c r="I16" s="230"/>
      <c r="J16" s="230"/>
      <c r="K16" s="230"/>
      <c r="L16" s="231"/>
      <c r="M16" s="231"/>
    </row>
    <row r="17" spans="1:13" s="261" customFormat="1" hidden="1">
      <c r="A17" s="160"/>
      <c r="B17" s="229"/>
      <c r="C17" s="229"/>
      <c r="D17" s="229"/>
      <c r="E17" s="229"/>
      <c r="F17" s="229"/>
      <c r="G17" s="229"/>
      <c r="H17" s="230"/>
      <c r="I17" s="230"/>
      <c r="J17" s="230"/>
      <c r="K17" s="230"/>
      <c r="L17" s="231"/>
      <c r="M17" s="231"/>
    </row>
    <row r="18" spans="1:13" s="261" customFormat="1" hidden="1">
      <c r="A18" s="160"/>
      <c r="B18" s="229"/>
      <c r="C18" s="229"/>
      <c r="D18" s="229"/>
      <c r="E18" s="229"/>
      <c r="F18" s="229"/>
      <c r="G18" s="229"/>
      <c r="H18" s="230"/>
      <c r="I18" s="230"/>
      <c r="J18" s="230"/>
      <c r="K18" s="230"/>
      <c r="L18" s="231"/>
      <c r="M18" s="231"/>
    </row>
    <row r="19" spans="1:13" s="261" customFormat="1">
      <c r="A19" s="160"/>
      <c r="B19" s="229"/>
      <c r="C19" s="229"/>
      <c r="D19" s="229"/>
      <c r="E19" s="229"/>
      <c r="F19" s="229"/>
      <c r="G19" s="229"/>
      <c r="H19" s="230"/>
      <c r="I19" s="230"/>
      <c r="J19" s="230"/>
      <c r="K19" s="230"/>
      <c r="L19" s="231"/>
      <c r="M19" s="231"/>
    </row>
    <row r="20" spans="1:13" s="261" customFormat="1">
      <c r="A20" s="160"/>
      <c r="B20" s="229"/>
      <c r="C20" s="229"/>
      <c r="D20" s="229"/>
      <c r="E20" s="229"/>
      <c r="F20" s="229"/>
      <c r="G20" s="229"/>
      <c r="H20" s="230"/>
      <c r="I20" s="230"/>
      <c r="J20" s="230"/>
      <c r="K20" s="230"/>
      <c r="L20" s="231"/>
      <c r="M20" s="231"/>
    </row>
    <row r="21" spans="1:13" s="261" customFormat="1" ht="3.75" customHeight="1">
      <c r="A21" s="160"/>
      <c r="B21" s="232"/>
      <c r="D21" s="270"/>
      <c r="E21" s="270"/>
      <c r="G21" s="230"/>
      <c r="H21" s="230"/>
      <c r="I21" s="230"/>
      <c r="J21" s="230"/>
      <c r="K21" s="230"/>
      <c r="L21" s="231"/>
      <c r="M21" s="231"/>
    </row>
    <row r="22" spans="1:13" s="261" customFormat="1" hidden="1">
      <c r="A22" s="160"/>
      <c r="B22" s="157"/>
      <c r="G22" s="230"/>
      <c r="H22" s="230"/>
      <c r="I22" s="230"/>
      <c r="J22" s="230"/>
      <c r="K22" s="230"/>
      <c r="L22" s="231"/>
      <c r="M22" s="231"/>
    </row>
    <row r="23" spans="1:13" s="261" customFormat="1" hidden="1">
      <c r="A23" s="160"/>
      <c r="B23" s="157"/>
      <c r="G23" s="230"/>
      <c r="H23" s="230"/>
      <c r="I23" s="230"/>
      <c r="J23" s="230"/>
      <c r="K23" s="230"/>
      <c r="L23" s="231"/>
      <c r="M23" s="231"/>
    </row>
    <row r="24" spans="1:13" s="261" customFormat="1" hidden="1">
      <c r="A24" s="160"/>
      <c r="B24" s="157"/>
      <c r="G24" s="230"/>
      <c r="H24" s="230"/>
      <c r="I24" s="230"/>
      <c r="J24" s="230"/>
      <c r="K24" s="230"/>
      <c r="L24" s="231"/>
      <c r="M24" s="231"/>
    </row>
    <row r="25" spans="1:13" s="261" customFormat="1" hidden="1">
      <c r="A25" s="160"/>
      <c r="B25" s="157"/>
      <c r="G25" s="230"/>
      <c r="H25" s="230"/>
      <c r="I25" s="230"/>
      <c r="J25" s="230"/>
      <c r="K25" s="230"/>
      <c r="L25" s="231"/>
      <c r="M25" s="231"/>
    </row>
    <row r="26" spans="1:13" s="261" customFormat="1" hidden="1">
      <c r="A26" s="160"/>
      <c r="B26" s="157"/>
      <c r="G26" s="230"/>
      <c r="H26" s="230"/>
      <c r="I26" s="230"/>
      <c r="J26" s="230"/>
      <c r="K26" s="230"/>
      <c r="L26" s="231"/>
      <c r="M26" s="231"/>
    </row>
    <row r="27" spans="1:13" s="261" customFormat="1" hidden="1">
      <c r="A27" s="160"/>
      <c r="B27" s="157"/>
      <c r="G27" s="230"/>
      <c r="H27" s="230"/>
      <c r="I27" s="230"/>
      <c r="J27" s="230"/>
      <c r="K27" s="230"/>
      <c r="L27" s="231"/>
      <c r="M27" s="231"/>
    </row>
    <row r="28" spans="1:13" s="261" customFormat="1" hidden="1">
      <c r="B28" s="157"/>
      <c r="D28" s="233"/>
      <c r="L28" s="264"/>
      <c r="M28" s="264"/>
    </row>
    <row r="29" spans="1:13" s="261" customFormat="1" hidden="1">
      <c r="B29" s="157"/>
      <c r="C29" s="271"/>
      <c r="L29" s="264"/>
      <c r="M29" s="264"/>
    </row>
    <row r="30" spans="1:13" s="261" customFormat="1" hidden="1">
      <c r="B30" s="157"/>
      <c r="C30" s="234"/>
      <c r="L30" s="264"/>
      <c r="M30" s="264"/>
    </row>
    <row r="31" spans="1:13" s="261" customFormat="1">
      <c r="B31" s="157"/>
      <c r="C31" s="271"/>
      <c r="L31" s="264"/>
      <c r="M31" s="264"/>
    </row>
    <row r="32" spans="1:13" s="261" customFormat="1">
      <c r="B32" s="157"/>
      <c r="L32" s="264"/>
      <c r="M32" s="264"/>
    </row>
    <row r="33" spans="2:15" s="261" customFormat="1" ht="15.75" customHeight="1">
      <c r="B33" s="157"/>
      <c r="C33" s="794" t="str">
        <f>lang!C115</f>
        <v>Banda alta (puntaje &gt;=66)</v>
      </c>
      <c r="D33" s="794"/>
      <c r="E33" s="235"/>
      <c r="F33" s="235"/>
      <c r="G33" s="795" t="str">
        <f>lang!C116</f>
        <v>Banda intermedia (puntaje &gt;=66)</v>
      </c>
      <c r="H33" s="795"/>
      <c r="I33" s="235"/>
      <c r="J33" s="235"/>
      <c r="K33" s="796" t="str">
        <f>lang!C117</f>
        <v>Banda baja (puntaje &lt;=33)</v>
      </c>
      <c r="L33" s="796"/>
      <c r="M33" s="264"/>
      <c r="O33" s="272"/>
    </row>
    <row r="34" spans="2:15" s="261" customFormat="1" ht="15.75">
      <c r="B34" s="157"/>
      <c r="C34" s="794"/>
      <c r="D34" s="794"/>
      <c r="E34" s="235"/>
      <c r="F34" s="235"/>
      <c r="G34" s="795"/>
      <c r="H34" s="795"/>
      <c r="I34" s="235"/>
      <c r="J34" s="235"/>
      <c r="K34" s="796"/>
      <c r="L34" s="796"/>
      <c r="M34" s="264"/>
      <c r="O34" s="272"/>
    </row>
    <row r="35" spans="2:15" s="270" customFormat="1">
      <c r="B35" s="158">
        <f ca="1">IF(ISNUMBER(D35),1,0)</f>
        <v>1</v>
      </c>
      <c r="C35" s="273" t="str">
        <f ca="1">iCountryP!T17</f>
        <v>3.2) Condiciones para la comercialización de material reciclable</v>
      </c>
      <c r="D35" s="274">
        <f ca="1">iCountryP!U17</f>
        <v>97.584355828220851</v>
      </c>
      <c r="F35" s="158">
        <f ca="1">IF(ISNUMBER(H35),1,0)</f>
        <v>1</v>
      </c>
      <c r="G35" s="273" t="str">
        <f ca="1">iCountryP!V17</f>
        <v>1.4) Salud pública y el medioambiente</v>
      </c>
      <c r="H35" s="274">
        <f ca="1">iCountryP!W17</f>
        <v>50</v>
      </c>
      <c r="I35" s="229"/>
      <c r="J35" s="229">
        <f ca="1">IF(ISNUMBER(L35),1,0)</f>
        <v>1</v>
      </c>
      <c r="K35" s="273" t="str">
        <f ca="1">iCountryP!X17</f>
        <v>1.1) Normativa sobre gestión de residuos</v>
      </c>
      <c r="L35" s="274">
        <f ca="1">iCountryP!Y17</f>
        <v>25</v>
      </c>
      <c r="M35" s="275"/>
      <c r="O35" s="272"/>
    </row>
    <row r="36" spans="2:15" s="270" customFormat="1">
      <c r="B36" s="158">
        <f t="shared" ref="B36:B57" ca="1" si="0">IF(ISNUMBER(D36),1,0)</f>
        <v>0</v>
      </c>
      <c r="C36" s="273" t="str">
        <f ca="1">iCountryP!T18</f>
        <v/>
      </c>
      <c r="D36" s="274" t="str">
        <f ca="1">iCountryP!U18</f>
        <v/>
      </c>
      <c r="F36" s="158">
        <f t="shared" ref="F36:F57" ca="1" si="1">IF(ISNUMBER(H36),1,0)</f>
        <v>1</v>
      </c>
      <c r="G36" s="273" t="str">
        <f ca="1">iCountryP!V18</f>
        <v>2.1) Asociatividad</v>
      </c>
      <c r="H36" s="274">
        <f ca="1">iCountryP!W18</f>
        <v>40</v>
      </c>
      <c r="I36" s="229"/>
      <c r="J36" s="229">
        <f t="shared" ref="J36:J57" ca="1" si="2">IF(ISNUMBER(L36),1,0)</f>
        <v>1</v>
      </c>
      <c r="K36" s="273" t="str">
        <f ca="1">iCountryP!X18</f>
        <v>1.2) Integración del reciclador de base</v>
      </c>
      <c r="L36" s="274">
        <f ca="1">iCountryP!Y18</f>
        <v>31.25</v>
      </c>
      <c r="M36" s="275"/>
      <c r="O36" s="272"/>
    </row>
    <row r="37" spans="2:15" s="270" customFormat="1">
      <c r="B37" s="158">
        <f t="shared" ca="1" si="0"/>
        <v>0</v>
      </c>
      <c r="C37" s="273" t="str">
        <f ca="1">iCountryP!T19</f>
        <v/>
      </c>
      <c r="D37" s="274" t="str">
        <f ca="1">iCountryP!U19</f>
        <v/>
      </c>
      <c r="F37" s="158">
        <f t="shared" ca="1" si="1"/>
        <v>0</v>
      </c>
      <c r="G37" s="273" t="str">
        <f ca="1">iCountryP!V19</f>
        <v/>
      </c>
      <c r="H37" s="274" t="str">
        <f ca="1">iCountryP!W19</f>
        <v/>
      </c>
      <c r="I37" s="229"/>
      <c r="J37" s="229">
        <f t="shared" ca="1" si="2"/>
        <v>1</v>
      </c>
      <c r="K37" s="273" t="str">
        <f ca="1">iCountryP!X19</f>
        <v>1.3) Generación de información</v>
      </c>
      <c r="L37" s="274">
        <f ca="1">iCountryP!Y19</f>
        <v>25</v>
      </c>
      <c r="M37" s="275"/>
      <c r="O37" s="272"/>
    </row>
    <row r="38" spans="2:15" s="270" customFormat="1">
      <c r="B38" s="158">
        <f t="shared" ca="1" si="0"/>
        <v>0</v>
      </c>
      <c r="C38" s="273" t="str">
        <f ca="1">iCountryP!T20</f>
        <v/>
      </c>
      <c r="D38" s="274" t="str">
        <f ca="1">iCountryP!U20</f>
        <v/>
      </c>
      <c r="F38" s="158">
        <f t="shared" ca="1" si="1"/>
        <v>0</v>
      </c>
      <c r="G38" s="273" t="str">
        <f ca="1">iCountryP!V20</f>
        <v/>
      </c>
      <c r="H38" s="274" t="str">
        <f ca="1">iCountryP!W20</f>
        <v/>
      </c>
      <c r="I38" s="229"/>
      <c r="J38" s="229">
        <f t="shared" ca="1" si="2"/>
        <v>1</v>
      </c>
      <c r="K38" s="273" t="str">
        <f ca="1">iCountryP!X20</f>
        <v>2.2) Organizaciones comerciales</v>
      </c>
      <c r="L38" s="274">
        <f ca="1">iCountryP!Y20</f>
        <v>16.666666666666664</v>
      </c>
      <c r="M38" s="275"/>
      <c r="O38" s="272"/>
    </row>
    <row r="39" spans="2:15" s="270" customFormat="1">
      <c r="B39" s="158">
        <f t="shared" ca="1" si="0"/>
        <v>0</v>
      </c>
      <c r="C39" s="273" t="str">
        <f ca="1">iCountryP!T21</f>
        <v/>
      </c>
      <c r="D39" s="274" t="str">
        <f ca="1">iCountryP!U21</f>
        <v/>
      </c>
      <c r="F39" s="158">
        <f t="shared" ca="1" si="1"/>
        <v>0</v>
      </c>
      <c r="G39" s="273" t="str">
        <f ca="1">iCountryP!V21</f>
        <v/>
      </c>
      <c r="H39" s="274" t="str">
        <f ca="1">iCountryP!W21</f>
        <v/>
      </c>
      <c r="I39" s="229"/>
      <c r="J39" s="229">
        <f t="shared" ca="1" si="2"/>
        <v>1</v>
      </c>
      <c r="K39" s="273" t="str">
        <f ca="1">iCountryP!X21</f>
        <v>3.1) Condiciones de acceso y almacenamiento de residuos</v>
      </c>
      <c r="L39" s="274">
        <f ca="1">iCountryP!Y21</f>
        <v>8.3333333333333321</v>
      </c>
      <c r="M39" s="275"/>
      <c r="O39" s="272"/>
    </row>
    <row r="40" spans="2:15" s="270" customFormat="1" ht="25.5">
      <c r="B40" s="158">
        <f t="shared" ca="1" si="0"/>
        <v>0</v>
      </c>
      <c r="C40" s="273" t="str">
        <f ca="1">iCountryP!T22</f>
        <v/>
      </c>
      <c r="D40" s="274" t="str">
        <f ca="1">iCountryP!U22</f>
        <v/>
      </c>
      <c r="F40" s="158">
        <f t="shared" ca="1" si="1"/>
        <v>0</v>
      </c>
      <c r="G40" s="273" t="str">
        <f ca="1">iCountryP!V22</f>
        <v/>
      </c>
      <c r="H40" s="274" t="str">
        <f ca="1">iCountryP!W22</f>
        <v/>
      </c>
      <c r="I40" s="229"/>
      <c r="J40" s="229">
        <f t="shared" ca="1" si="2"/>
        <v>1</v>
      </c>
      <c r="K40" s="273" t="str">
        <f ca="1">iCountryP!X22</f>
        <v>3.3) Ingreso de los recicladores de base</v>
      </c>
      <c r="L40" s="274">
        <f ca="1">iCountryP!Y22</f>
        <v>3.8781670473737684</v>
      </c>
      <c r="M40" s="275"/>
      <c r="O40" s="272"/>
    </row>
    <row r="41" spans="2:15" s="270" customFormat="1">
      <c r="B41" s="158">
        <f t="shared" ca="1" si="0"/>
        <v>0</v>
      </c>
      <c r="C41" s="273" t="str">
        <f ca="1">iCountryP!T23</f>
        <v/>
      </c>
      <c r="D41" s="274" t="str">
        <f ca="1">iCountryP!U23</f>
        <v/>
      </c>
      <c r="F41" s="158">
        <f t="shared" ca="1" si="1"/>
        <v>0</v>
      </c>
      <c r="G41" s="273" t="str">
        <f ca="1">iCountryP!V23</f>
        <v/>
      </c>
      <c r="H41" s="274" t="str">
        <f ca="1">iCountryP!W23</f>
        <v/>
      </c>
      <c r="I41" s="229"/>
      <c r="J41" s="229">
        <f t="shared" ca="1" si="2"/>
        <v>1</v>
      </c>
      <c r="K41" s="273" t="str">
        <f ca="1">iCountryP!X23</f>
        <v>3.4) Condiciones de trabajo de los recicladores de base</v>
      </c>
      <c r="L41" s="274">
        <f ca="1">iCountryP!Y23</f>
        <v>0</v>
      </c>
      <c r="M41" s="275"/>
      <c r="O41" s="272"/>
    </row>
    <row r="42" spans="2:15" s="270" customFormat="1">
      <c r="B42" s="158">
        <f t="shared" ca="1" si="0"/>
        <v>0</v>
      </c>
      <c r="C42" s="273" t="str">
        <f ca="1">iCountryP!T24</f>
        <v/>
      </c>
      <c r="D42" s="274" t="str">
        <f ca="1">iCountryP!U24</f>
        <v/>
      </c>
      <c r="F42" s="158">
        <f t="shared" ca="1" si="1"/>
        <v>0</v>
      </c>
      <c r="G42" s="273" t="str">
        <f ca="1">iCountryP!V24</f>
        <v/>
      </c>
      <c r="H42" s="274" t="str">
        <f ca="1">iCountryP!W24</f>
        <v/>
      </c>
      <c r="I42" s="229"/>
      <c r="J42" s="229">
        <f t="shared" ca="1" si="2"/>
        <v>0</v>
      </c>
      <c r="K42" s="273" t="str">
        <f ca="1">iCountryP!X24</f>
        <v/>
      </c>
      <c r="L42" s="274" t="str">
        <f ca="1">iCountryP!Y24</f>
        <v/>
      </c>
      <c r="M42" s="275"/>
      <c r="O42" s="272"/>
    </row>
    <row r="43" spans="2:15" s="270" customFormat="1">
      <c r="B43" s="158">
        <f t="shared" ca="1" si="0"/>
        <v>0</v>
      </c>
      <c r="C43" s="273" t="str">
        <f ca="1">iCountryP!T25</f>
        <v/>
      </c>
      <c r="D43" s="274" t="str">
        <f ca="1">iCountryP!U25</f>
        <v/>
      </c>
      <c r="F43" s="158">
        <f t="shared" ca="1" si="1"/>
        <v>0</v>
      </c>
      <c r="G43" s="273" t="str">
        <f ca="1">iCountryP!V25</f>
        <v/>
      </c>
      <c r="H43" s="274" t="str">
        <f ca="1">iCountryP!W25</f>
        <v/>
      </c>
      <c r="I43" s="229"/>
      <c r="J43" s="229">
        <f t="shared" ca="1" si="2"/>
        <v>0</v>
      </c>
      <c r="K43" s="273" t="str">
        <f ca="1">iCountryP!X25</f>
        <v/>
      </c>
      <c r="L43" s="274" t="str">
        <f ca="1">iCountryP!Y25</f>
        <v/>
      </c>
      <c r="M43" s="275"/>
      <c r="O43" s="272"/>
    </row>
    <row r="44" spans="2:15" s="270" customFormat="1">
      <c r="B44" s="158">
        <f t="shared" ca="1" si="0"/>
        <v>0</v>
      </c>
      <c r="C44" s="273" t="str">
        <f ca="1">iCountryP!T26</f>
        <v/>
      </c>
      <c r="D44" s="274" t="str">
        <f ca="1">iCountryP!U26</f>
        <v/>
      </c>
      <c r="F44" s="158">
        <f t="shared" ca="1" si="1"/>
        <v>0</v>
      </c>
      <c r="G44" s="273" t="str">
        <f ca="1">iCountryP!V26</f>
        <v/>
      </c>
      <c r="H44" s="274" t="str">
        <f ca="1">iCountryP!W26</f>
        <v/>
      </c>
      <c r="I44" s="229"/>
      <c r="J44" s="229">
        <f t="shared" ca="1" si="2"/>
        <v>0</v>
      </c>
      <c r="K44" s="273" t="str">
        <f ca="1">iCountryP!X26</f>
        <v/>
      </c>
      <c r="L44" s="274" t="str">
        <f ca="1">iCountryP!Y26</f>
        <v/>
      </c>
      <c r="M44" s="275"/>
      <c r="O44" s="272"/>
    </row>
    <row r="45" spans="2:15" s="270" customFormat="1">
      <c r="B45" s="158">
        <f t="shared" ca="1" si="0"/>
        <v>0</v>
      </c>
      <c r="C45" s="273" t="str">
        <f ca="1">iCountryP!T27</f>
        <v/>
      </c>
      <c r="D45" s="274" t="str">
        <f ca="1">iCountryP!U27</f>
        <v/>
      </c>
      <c r="F45" s="158">
        <f t="shared" ca="1" si="1"/>
        <v>0</v>
      </c>
      <c r="G45" s="273" t="str">
        <f ca="1">iCountryP!V27</f>
        <v/>
      </c>
      <c r="H45" s="274" t="str">
        <f ca="1">iCountryP!W27</f>
        <v/>
      </c>
      <c r="I45" s="229"/>
      <c r="J45" s="229">
        <f t="shared" ca="1" si="2"/>
        <v>0</v>
      </c>
      <c r="K45" s="273" t="str">
        <f ca="1">iCountryP!X27</f>
        <v/>
      </c>
      <c r="L45" s="274" t="str">
        <f ca="1">iCountryP!Y27</f>
        <v/>
      </c>
      <c r="M45" s="275"/>
      <c r="O45" s="272"/>
    </row>
    <row r="46" spans="2:15" s="270" customFormat="1">
      <c r="B46" s="158">
        <f t="shared" ca="1" si="0"/>
        <v>0</v>
      </c>
      <c r="C46" s="273" t="str">
        <f ca="1">iCountryP!T28</f>
        <v/>
      </c>
      <c r="D46" s="274" t="str">
        <f ca="1">iCountryP!U28</f>
        <v/>
      </c>
      <c r="F46" s="158">
        <f t="shared" ca="1" si="1"/>
        <v>0</v>
      </c>
      <c r="G46" s="273" t="str">
        <f ca="1">iCountryP!V28</f>
        <v/>
      </c>
      <c r="H46" s="274" t="str">
        <f ca="1">iCountryP!W28</f>
        <v/>
      </c>
      <c r="I46" s="229"/>
      <c r="J46" s="229">
        <f t="shared" ca="1" si="2"/>
        <v>0</v>
      </c>
      <c r="K46" s="273" t="str">
        <f ca="1">iCountryP!X28</f>
        <v/>
      </c>
      <c r="L46" s="274" t="str">
        <f ca="1">iCountryP!Y28</f>
        <v/>
      </c>
      <c r="M46" s="275"/>
      <c r="O46" s="272"/>
    </row>
    <row r="47" spans="2:15" s="270" customFormat="1">
      <c r="B47" s="158">
        <f t="shared" ca="1" si="0"/>
        <v>0</v>
      </c>
      <c r="C47" s="273" t="str">
        <f ca="1">iCountryP!T29</f>
        <v/>
      </c>
      <c r="D47" s="274" t="str">
        <f ca="1">iCountryP!U29</f>
        <v/>
      </c>
      <c r="F47" s="158">
        <f t="shared" ca="1" si="1"/>
        <v>0</v>
      </c>
      <c r="G47" s="273" t="str">
        <f ca="1">iCountryP!V29</f>
        <v/>
      </c>
      <c r="H47" s="274" t="str">
        <f ca="1">iCountryP!W29</f>
        <v/>
      </c>
      <c r="I47" s="229"/>
      <c r="J47" s="229">
        <f t="shared" ca="1" si="2"/>
        <v>0</v>
      </c>
      <c r="K47" s="273" t="str">
        <f ca="1">iCountryP!X29</f>
        <v/>
      </c>
      <c r="L47" s="274" t="str">
        <f ca="1">iCountryP!Y29</f>
        <v/>
      </c>
      <c r="M47" s="275"/>
      <c r="O47" s="272"/>
    </row>
    <row r="48" spans="2:15" s="270" customFormat="1">
      <c r="B48" s="158">
        <f t="shared" ca="1" si="0"/>
        <v>0</v>
      </c>
      <c r="C48" s="273" t="str">
        <f ca="1">iCountryP!T30</f>
        <v/>
      </c>
      <c r="D48" s="274" t="str">
        <f ca="1">iCountryP!U30</f>
        <v/>
      </c>
      <c r="F48" s="158">
        <f t="shared" ca="1" si="1"/>
        <v>0</v>
      </c>
      <c r="G48" s="273" t="str">
        <f ca="1">iCountryP!V30</f>
        <v/>
      </c>
      <c r="H48" s="274" t="str">
        <f ca="1">iCountryP!W30</f>
        <v/>
      </c>
      <c r="I48" s="229"/>
      <c r="J48" s="229">
        <f t="shared" ca="1" si="2"/>
        <v>0</v>
      </c>
      <c r="K48" s="273" t="str">
        <f ca="1">iCountryP!X30</f>
        <v/>
      </c>
      <c r="L48" s="274" t="str">
        <f ca="1">iCountryP!Y30</f>
        <v/>
      </c>
      <c r="M48" s="275"/>
      <c r="O48" s="272"/>
    </row>
    <row r="49" spans="2:15" s="270" customFormat="1">
      <c r="B49" s="158">
        <f t="shared" ca="1" si="0"/>
        <v>0</v>
      </c>
      <c r="C49" s="273" t="str">
        <f ca="1">iCountryP!T31</f>
        <v/>
      </c>
      <c r="D49" s="274" t="str">
        <f ca="1">iCountryP!U31</f>
        <v/>
      </c>
      <c r="F49" s="158">
        <f t="shared" ca="1" si="1"/>
        <v>0</v>
      </c>
      <c r="G49" s="273" t="str">
        <f ca="1">iCountryP!V31</f>
        <v/>
      </c>
      <c r="H49" s="274" t="str">
        <f ca="1">iCountryP!W31</f>
        <v/>
      </c>
      <c r="I49" s="229"/>
      <c r="J49" s="229">
        <f t="shared" ca="1" si="2"/>
        <v>0</v>
      </c>
      <c r="K49" s="273" t="str">
        <f ca="1">iCountryP!X31</f>
        <v/>
      </c>
      <c r="L49" s="274" t="str">
        <f ca="1">iCountryP!Y31</f>
        <v/>
      </c>
      <c r="M49" s="275"/>
      <c r="O49" s="272"/>
    </row>
    <row r="50" spans="2:15" s="270" customFormat="1">
      <c r="B50" s="158">
        <f t="shared" ca="1" si="0"/>
        <v>0</v>
      </c>
      <c r="C50" s="273" t="str">
        <f ca="1">iCountryP!T32</f>
        <v/>
      </c>
      <c r="D50" s="274" t="str">
        <f ca="1">iCountryP!U32</f>
        <v/>
      </c>
      <c r="F50" s="158">
        <f t="shared" ca="1" si="1"/>
        <v>0</v>
      </c>
      <c r="G50" s="273" t="str">
        <f ca="1">iCountryP!V32</f>
        <v/>
      </c>
      <c r="H50" s="274" t="str">
        <f ca="1">iCountryP!W32</f>
        <v/>
      </c>
      <c r="I50" s="229"/>
      <c r="J50" s="229">
        <f t="shared" ca="1" si="2"/>
        <v>0</v>
      </c>
      <c r="K50" s="273" t="str">
        <f ca="1">iCountryP!X32</f>
        <v/>
      </c>
      <c r="L50" s="274" t="str">
        <f ca="1">iCountryP!Y32</f>
        <v/>
      </c>
      <c r="M50" s="275"/>
      <c r="O50" s="272"/>
    </row>
    <row r="51" spans="2:15" s="270" customFormat="1">
      <c r="B51" s="158">
        <f t="shared" ca="1" si="0"/>
        <v>0</v>
      </c>
      <c r="C51" s="273" t="str">
        <f ca="1">iCountryP!T33</f>
        <v/>
      </c>
      <c r="D51" s="274" t="str">
        <f ca="1">iCountryP!U33</f>
        <v/>
      </c>
      <c r="F51" s="158">
        <f t="shared" ca="1" si="1"/>
        <v>0</v>
      </c>
      <c r="G51" s="273" t="str">
        <f ca="1">iCountryP!V33</f>
        <v/>
      </c>
      <c r="H51" s="274" t="str">
        <f ca="1">iCountryP!W33</f>
        <v/>
      </c>
      <c r="I51" s="229"/>
      <c r="J51" s="229">
        <f t="shared" ca="1" si="2"/>
        <v>0</v>
      </c>
      <c r="K51" s="273" t="str">
        <f ca="1">iCountryP!X33</f>
        <v/>
      </c>
      <c r="L51" s="274" t="str">
        <f ca="1">iCountryP!Y33</f>
        <v/>
      </c>
      <c r="M51" s="275"/>
      <c r="O51" s="272"/>
    </row>
    <row r="52" spans="2:15" s="270" customFormat="1">
      <c r="B52" s="158">
        <f t="shared" ca="1" si="0"/>
        <v>0</v>
      </c>
      <c r="C52" s="273" t="str">
        <f ca="1">iCountryP!T34</f>
        <v/>
      </c>
      <c r="D52" s="274" t="str">
        <f ca="1">iCountryP!U34</f>
        <v/>
      </c>
      <c r="F52" s="158">
        <f t="shared" ca="1" si="1"/>
        <v>0</v>
      </c>
      <c r="G52" s="273" t="str">
        <f ca="1">iCountryP!V34</f>
        <v/>
      </c>
      <c r="H52" s="274" t="str">
        <f ca="1">iCountryP!W34</f>
        <v/>
      </c>
      <c r="I52" s="229"/>
      <c r="J52" s="229">
        <f t="shared" ca="1" si="2"/>
        <v>0</v>
      </c>
      <c r="K52" s="273" t="str">
        <f ca="1">iCountryP!X34</f>
        <v/>
      </c>
      <c r="L52" s="274" t="str">
        <f ca="1">iCountryP!Y34</f>
        <v/>
      </c>
      <c r="M52" s="275"/>
      <c r="O52" s="272"/>
    </row>
    <row r="53" spans="2:15" s="270" customFormat="1">
      <c r="B53" s="158">
        <f t="shared" si="0"/>
        <v>0</v>
      </c>
      <c r="C53" s="273" t="e">
        <f>iCountryP!#REF!</f>
        <v>#REF!</v>
      </c>
      <c r="D53" s="274" t="e">
        <f>iCountryP!#REF!</f>
        <v>#REF!</v>
      </c>
      <c r="F53" s="158">
        <f t="shared" si="1"/>
        <v>0</v>
      </c>
      <c r="G53" s="273" t="e">
        <f>iCountryP!#REF!</f>
        <v>#REF!</v>
      </c>
      <c r="H53" s="274" t="e">
        <f>iCountryP!#REF!</f>
        <v>#REF!</v>
      </c>
      <c r="I53" s="229"/>
      <c r="J53" s="229">
        <f t="shared" si="2"/>
        <v>0</v>
      </c>
      <c r="K53" s="273" t="e">
        <f>iCountryP!#REF!</f>
        <v>#REF!</v>
      </c>
      <c r="L53" s="274" t="e">
        <f>iCountryP!#REF!</f>
        <v>#REF!</v>
      </c>
      <c r="M53" s="275"/>
      <c r="O53" s="272"/>
    </row>
    <row r="54" spans="2:15" s="270" customFormat="1">
      <c r="B54" s="158">
        <f t="shared" si="0"/>
        <v>0</v>
      </c>
      <c r="C54" s="273" t="e">
        <f>iCountryP!#REF!</f>
        <v>#REF!</v>
      </c>
      <c r="D54" s="274" t="e">
        <f>iCountryP!#REF!</f>
        <v>#REF!</v>
      </c>
      <c r="F54" s="158">
        <f t="shared" si="1"/>
        <v>0</v>
      </c>
      <c r="G54" s="273" t="e">
        <f>iCountryP!#REF!</f>
        <v>#REF!</v>
      </c>
      <c r="H54" s="274" t="e">
        <f>iCountryP!#REF!</f>
        <v>#REF!</v>
      </c>
      <c r="I54" s="229"/>
      <c r="J54" s="229">
        <f t="shared" si="2"/>
        <v>0</v>
      </c>
      <c r="K54" s="273" t="e">
        <f>iCountryP!#REF!</f>
        <v>#REF!</v>
      </c>
      <c r="L54" s="274" t="e">
        <f>iCountryP!#REF!</f>
        <v>#REF!</v>
      </c>
      <c r="M54" s="275"/>
      <c r="O54" s="272"/>
    </row>
    <row r="55" spans="2:15" s="270" customFormat="1">
      <c r="B55" s="158">
        <f t="shared" si="0"/>
        <v>0</v>
      </c>
      <c r="C55" s="273" t="e">
        <f>iCountryP!#REF!</f>
        <v>#REF!</v>
      </c>
      <c r="D55" s="274" t="e">
        <f>iCountryP!#REF!</f>
        <v>#REF!</v>
      </c>
      <c r="F55" s="158">
        <f t="shared" si="1"/>
        <v>0</v>
      </c>
      <c r="G55" s="273" t="e">
        <f>iCountryP!#REF!</f>
        <v>#REF!</v>
      </c>
      <c r="H55" s="274" t="e">
        <f>iCountryP!#REF!</f>
        <v>#REF!</v>
      </c>
      <c r="I55" s="229"/>
      <c r="J55" s="229">
        <f t="shared" si="2"/>
        <v>0</v>
      </c>
      <c r="K55" s="273" t="e">
        <f>iCountryP!#REF!</f>
        <v>#REF!</v>
      </c>
      <c r="L55" s="274" t="e">
        <f>iCountryP!#REF!</f>
        <v>#REF!</v>
      </c>
      <c r="M55" s="275"/>
      <c r="O55" s="272"/>
    </row>
    <row r="56" spans="2:15" s="270" customFormat="1">
      <c r="B56" s="158">
        <f t="shared" si="0"/>
        <v>0</v>
      </c>
      <c r="C56" s="273" t="e">
        <f>iCountryP!#REF!</f>
        <v>#REF!</v>
      </c>
      <c r="D56" s="274" t="e">
        <f>iCountryP!#REF!</f>
        <v>#REF!</v>
      </c>
      <c r="F56" s="158">
        <f t="shared" si="1"/>
        <v>0</v>
      </c>
      <c r="G56" s="273" t="e">
        <f>iCountryP!#REF!</f>
        <v>#REF!</v>
      </c>
      <c r="H56" s="274" t="e">
        <f>iCountryP!#REF!</f>
        <v>#REF!</v>
      </c>
      <c r="I56" s="229"/>
      <c r="J56" s="229">
        <f t="shared" si="2"/>
        <v>0</v>
      </c>
      <c r="K56" s="273" t="e">
        <f>iCountryP!#REF!</f>
        <v>#REF!</v>
      </c>
      <c r="L56" s="274" t="e">
        <f>iCountryP!#REF!</f>
        <v>#REF!</v>
      </c>
      <c r="M56" s="275"/>
      <c r="O56" s="272"/>
    </row>
    <row r="57" spans="2:15" s="270" customFormat="1">
      <c r="B57" s="158">
        <f t="shared" si="0"/>
        <v>0</v>
      </c>
      <c r="C57" s="273" t="e">
        <f>iCountryP!#REF!</f>
        <v>#REF!</v>
      </c>
      <c r="D57" s="274" t="e">
        <f>iCountryP!#REF!</f>
        <v>#REF!</v>
      </c>
      <c r="F57" s="158">
        <f t="shared" si="1"/>
        <v>0</v>
      </c>
      <c r="G57" s="273" t="e">
        <f>iCountryP!#REF!</f>
        <v>#REF!</v>
      </c>
      <c r="H57" s="274" t="e">
        <f>iCountryP!#REF!</f>
        <v>#REF!</v>
      </c>
      <c r="I57" s="229"/>
      <c r="J57" s="229">
        <f t="shared" si="2"/>
        <v>0</v>
      </c>
      <c r="K57" s="273" t="e">
        <f>iCountryP!#REF!</f>
        <v>#REF!</v>
      </c>
      <c r="L57" s="274" t="e">
        <f>iCountryP!#REF!</f>
        <v>#REF!</v>
      </c>
      <c r="M57" s="275"/>
      <c r="O57" s="272"/>
    </row>
    <row r="58" spans="2:15" s="270" customFormat="1">
      <c r="B58" s="158"/>
      <c r="C58" s="273"/>
      <c r="D58" s="274"/>
      <c r="F58" s="158"/>
      <c r="G58" s="273"/>
      <c r="H58" s="274"/>
      <c r="I58" s="229"/>
      <c r="J58" s="229"/>
      <c r="K58" s="273"/>
      <c r="L58" s="274"/>
      <c r="M58" s="275"/>
      <c r="O58" s="272"/>
    </row>
    <row r="59" spans="2:15" s="270" customFormat="1">
      <c r="B59" s="158"/>
      <c r="C59" s="273"/>
      <c r="D59" s="274"/>
      <c r="F59" s="158"/>
      <c r="G59" s="273"/>
      <c r="H59" s="274"/>
      <c r="I59" s="229"/>
      <c r="J59" s="229"/>
      <c r="K59" s="273"/>
      <c r="L59" s="274"/>
      <c r="M59" s="275"/>
      <c r="O59" s="272"/>
    </row>
    <row r="60" spans="2:15" s="261" customFormat="1">
      <c r="B60" s="157"/>
      <c r="G60" s="229"/>
      <c r="H60" s="276"/>
      <c r="I60" s="229"/>
      <c r="J60" s="229"/>
      <c r="K60" s="229"/>
      <c r="L60" s="229"/>
      <c r="M60" s="264"/>
    </row>
    <row r="61" spans="2:15" s="261" customFormat="1">
      <c r="B61" s="157"/>
      <c r="G61" s="229"/>
      <c r="H61" s="276"/>
      <c r="I61" s="229"/>
      <c r="J61" s="229"/>
      <c r="K61" s="229"/>
      <c r="L61" s="229"/>
      <c r="M61" s="264"/>
    </row>
    <row r="62" spans="2:15" s="261" customFormat="1">
      <c r="B62" s="157"/>
      <c r="G62" s="229"/>
      <c r="H62" s="276"/>
      <c r="I62" s="229"/>
      <c r="J62" s="229"/>
      <c r="K62" s="229"/>
      <c r="L62" s="229"/>
      <c r="M62" s="264"/>
    </row>
    <row r="63" spans="2:15" s="261" customFormat="1">
      <c r="B63" s="157"/>
      <c r="G63" s="229"/>
      <c r="H63" s="276"/>
      <c r="I63" s="229"/>
      <c r="J63" s="229"/>
      <c r="K63" s="229"/>
      <c r="L63" s="229"/>
      <c r="M63" s="264"/>
    </row>
    <row r="64" spans="2:15" s="261" customFormat="1">
      <c r="B64" s="157"/>
      <c r="G64" s="229"/>
      <c r="H64" s="276"/>
      <c r="I64" s="229"/>
      <c r="J64" s="229"/>
      <c r="K64" s="229"/>
      <c r="L64" s="229"/>
      <c r="M64" s="264"/>
    </row>
    <row r="65" spans="2:13" s="261" customFormat="1">
      <c r="B65" s="157"/>
      <c r="G65" s="229"/>
      <c r="H65" s="276"/>
      <c r="I65" s="229"/>
      <c r="J65" s="229"/>
      <c r="K65" s="229"/>
      <c r="L65" s="229"/>
      <c r="M65" s="264"/>
    </row>
    <row r="66" spans="2:13" s="261" customFormat="1">
      <c r="B66" s="157"/>
      <c r="G66" s="229"/>
      <c r="H66" s="276"/>
      <c r="I66" s="229"/>
      <c r="J66" s="229"/>
      <c r="K66" s="229"/>
      <c r="L66" s="229"/>
      <c r="M66" s="264"/>
    </row>
    <row r="67" spans="2:13" s="261" customFormat="1">
      <c r="B67" s="157"/>
      <c r="G67" s="229"/>
      <c r="H67" s="276"/>
      <c r="I67" s="229"/>
      <c r="J67" s="229"/>
      <c r="K67" s="229"/>
      <c r="L67" s="229"/>
      <c r="M67" s="264"/>
    </row>
    <row r="68" spans="2:13" s="261" customFormat="1">
      <c r="B68" s="157"/>
      <c r="G68" s="229"/>
      <c r="H68" s="276"/>
      <c r="I68" s="229"/>
      <c r="J68" s="229"/>
      <c r="K68" s="229"/>
      <c r="L68" s="229"/>
      <c r="M68" s="264"/>
    </row>
    <row r="69" spans="2:13" s="261" customFormat="1">
      <c r="B69" s="157"/>
      <c r="G69" s="229"/>
      <c r="H69" s="276"/>
      <c r="I69" s="229"/>
      <c r="J69" s="229"/>
      <c r="K69" s="229"/>
      <c r="L69" s="229"/>
      <c r="M69" s="264"/>
    </row>
    <row r="70" spans="2:13" s="261" customFormat="1">
      <c r="B70" s="157"/>
      <c r="G70" s="229"/>
      <c r="H70" s="276"/>
      <c r="I70" s="229"/>
      <c r="J70" s="229"/>
      <c r="K70" s="229"/>
      <c r="L70" s="229"/>
      <c r="M70" s="264"/>
    </row>
    <row r="71" spans="2:13" s="261" customFormat="1">
      <c r="B71" s="157"/>
      <c r="G71" s="229"/>
      <c r="H71" s="276"/>
      <c r="I71" s="229"/>
      <c r="J71" s="229"/>
      <c r="K71" s="229"/>
      <c r="L71" s="229"/>
      <c r="M71" s="264"/>
    </row>
    <row r="72" spans="2:13" s="261" customFormat="1">
      <c r="B72" s="157"/>
      <c r="G72" s="229"/>
      <c r="H72" s="276"/>
      <c r="I72" s="229"/>
      <c r="J72" s="229"/>
      <c r="K72" s="229"/>
      <c r="L72" s="229"/>
      <c r="M72" s="264"/>
    </row>
    <row r="73" spans="2:13" s="261" customFormat="1">
      <c r="B73" s="157"/>
      <c r="G73" s="229"/>
      <c r="H73" s="276"/>
      <c r="I73" s="229"/>
      <c r="J73" s="229"/>
      <c r="K73" s="229"/>
      <c r="L73" s="229"/>
      <c r="M73" s="264"/>
    </row>
    <row r="74" spans="2:13" s="261" customFormat="1">
      <c r="B74" s="157"/>
      <c r="G74" s="229"/>
      <c r="H74" s="276"/>
      <c r="I74" s="229"/>
      <c r="J74" s="229"/>
      <c r="K74" s="229"/>
      <c r="L74" s="229"/>
      <c r="M74" s="264"/>
    </row>
    <row r="75" spans="2:13" s="261" customFormat="1">
      <c r="B75" s="157"/>
      <c r="G75" s="229"/>
      <c r="H75" s="276"/>
      <c r="I75" s="229"/>
      <c r="J75" s="229"/>
      <c r="K75" s="229"/>
      <c r="L75" s="229"/>
      <c r="M75" s="264"/>
    </row>
    <row r="76" spans="2:13" s="261" customFormat="1">
      <c r="B76" s="157"/>
      <c r="G76" s="229"/>
      <c r="H76" s="276"/>
      <c r="I76" s="229"/>
      <c r="J76" s="229"/>
      <c r="K76" s="229"/>
      <c r="L76" s="229"/>
      <c r="M76" s="264"/>
    </row>
    <row r="77" spans="2:13" s="261" customFormat="1">
      <c r="B77" s="157"/>
      <c r="G77" s="229"/>
      <c r="H77" s="276"/>
      <c r="I77" s="229"/>
      <c r="J77" s="229"/>
      <c r="K77" s="229"/>
      <c r="L77" s="229"/>
      <c r="M77" s="264"/>
    </row>
    <row r="78" spans="2:13" s="261" customFormat="1">
      <c r="B78" s="157"/>
      <c r="G78" s="229"/>
      <c r="H78" s="276"/>
      <c r="I78" s="229"/>
      <c r="J78" s="229"/>
      <c r="K78" s="229"/>
      <c r="L78" s="229"/>
      <c r="M78" s="264"/>
    </row>
    <row r="79" spans="2:13" s="261" customFormat="1">
      <c r="B79" s="157"/>
      <c r="G79" s="229"/>
      <c r="H79" s="229"/>
      <c r="I79" s="229"/>
      <c r="J79" s="229"/>
      <c r="K79" s="229"/>
      <c r="L79" s="229"/>
      <c r="M79" s="264"/>
    </row>
    <row r="80" spans="2:13" s="261" customFormat="1">
      <c r="B80" s="157"/>
      <c r="G80" s="229"/>
      <c r="H80" s="229"/>
      <c r="I80" s="229"/>
      <c r="J80" s="229"/>
      <c r="K80" s="229"/>
      <c r="L80" s="229"/>
      <c r="M80" s="264"/>
    </row>
    <row r="81" spans="2:13" s="261" customFormat="1">
      <c r="B81" s="157"/>
      <c r="G81" s="229"/>
      <c r="H81" s="229"/>
      <c r="I81" s="229"/>
      <c r="J81" s="229"/>
      <c r="K81" s="229"/>
      <c r="L81" s="229"/>
      <c r="M81" s="264"/>
    </row>
    <row r="82" spans="2:13" s="261" customFormat="1">
      <c r="B82" s="157"/>
      <c r="G82" s="229"/>
      <c r="H82" s="229"/>
      <c r="I82" s="229"/>
      <c r="J82" s="229"/>
      <c r="K82" s="229"/>
      <c r="L82" s="229"/>
      <c r="M82" s="264"/>
    </row>
    <row r="83" spans="2:13" s="261" customFormat="1">
      <c r="B83" s="157"/>
      <c r="G83" s="229"/>
      <c r="H83" s="229"/>
      <c r="I83" s="229"/>
      <c r="J83" s="229"/>
      <c r="K83" s="229"/>
      <c r="L83" s="229"/>
      <c r="M83" s="264"/>
    </row>
    <row r="84" spans="2:13" s="261" customFormat="1">
      <c r="B84" s="157"/>
      <c r="G84" s="229"/>
      <c r="H84" s="229"/>
      <c r="I84" s="229"/>
      <c r="J84" s="229"/>
      <c r="K84" s="229"/>
      <c r="L84" s="229"/>
      <c r="M84" s="264"/>
    </row>
    <row r="85" spans="2:13" s="261" customFormat="1">
      <c r="B85" s="157"/>
      <c r="G85" s="229"/>
      <c r="H85" s="229"/>
      <c r="I85" s="229"/>
      <c r="J85" s="229"/>
      <c r="K85" s="229"/>
      <c r="L85" s="229"/>
      <c r="M85" s="264"/>
    </row>
    <row r="86" spans="2:13" s="261" customFormat="1">
      <c r="B86" s="157"/>
      <c r="G86" s="229"/>
      <c r="H86" s="229"/>
      <c r="I86" s="229"/>
      <c r="J86" s="229"/>
      <c r="K86" s="229"/>
      <c r="L86" s="229"/>
      <c r="M86" s="264"/>
    </row>
    <row r="87" spans="2:13" s="261" customFormat="1">
      <c r="B87" s="157"/>
      <c r="G87" s="229"/>
      <c r="H87" s="229"/>
      <c r="I87" s="229"/>
      <c r="J87" s="229"/>
      <c r="K87" s="229"/>
      <c r="L87" s="229"/>
      <c r="M87" s="264"/>
    </row>
    <row r="88" spans="2:13" s="261" customFormat="1">
      <c r="B88" s="157"/>
      <c r="G88" s="229"/>
      <c r="H88" s="229"/>
      <c r="I88" s="229"/>
      <c r="J88" s="229"/>
      <c r="K88" s="229"/>
      <c r="L88" s="229"/>
      <c r="M88" s="264"/>
    </row>
    <row r="89" spans="2:13" s="261" customFormat="1">
      <c r="B89" s="157"/>
      <c r="G89" s="229"/>
      <c r="H89" s="229"/>
      <c r="I89" s="229"/>
      <c r="J89" s="229"/>
      <c r="K89" s="229"/>
      <c r="L89" s="229"/>
      <c r="M89" s="264"/>
    </row>
    <row r="90" spans="2:13" s="261" customFormat="1">
      <c r="B90" s="157"/>
      <c r="G90" s="229"/>
      <c r="H90" s="229"/>
      <c r="I90" s="229"/>
      <c r="J90" s="229"/>
      <c r="K90" s="229"/>
      <c r="L90" s="229"/>
      <c r="M90" s="264"/>
    </row>
    <row r="91" spans="2:13" s="261" customFormat="1">
      <c r="B91" s="157"/>
      <c r="G91" s="229"/>
      <c r="H91" s="229"/>
      <c r="I91" s="229"/>
      <c r="J91" s="229"/>
      <c r="K91" s="229"/>
      <c r="L91" s="229"/>
      <c r="M91" s="264"/>
    </row>
    <row r="92" spans="2:13" s="261" customFormat="1">
      <c r="B92" s="157"/>
      <c r="G92" s="229"/>
      <c r="H92" s="229"/>
      <c r="I92" s="229"/>
      <c r="J92" s="229"/>
      <c r="K92" s="229"/>
      <c r="L92" s="229"/>
      <c r="M92" s="264"/>
    </row>
    <row r="93" spans="2:13" s="261" customFormat="1">
      <c r="B93" s="157"/>
      <c r="G93" s="229"/>
      <c r="H93" s="229"/>
      <c r="I93" s="229"/>
      <c r="J93" s="229"/>
      <c r="K93" s="229"/>
      <c r="L93" s="229"/>
      <c r="M93" s="264"/>
    </row>
    <row r="94" spans="2:13" s="261" customFormat="1">
      <c r="B94" s="157"/>
      <c r="G94" s="229"/>
      <c r="H94" s="229"/>
      <c r="I94" s="229"/>
      <c r="J94" s="229"/>
      <c r="K94" s="229"/>
      <c r="L94" s="229"/>
      <c r="M94" s="264"/>
    </row>
    <row r="95" spans="2:13" s="261" customFormat="1">
      <c r="B95" s="157"/>
      <c r="G95" s="229"/>
      <c r="H95" s="229"/>
      <c r="I95" s="229"/>
      <c r="J95" s="229"/>
      <c r="K95" s="229"/>
      <c r="L95" s="229"/>
      <c r="M95" s="264"/>
    </row>
    <row r="96" spans="2:13" s="261" customFormat="1">
      <c r="B96" s="157"/>
      <c r="G96" s="229"/>
      <c r="H96" s="229"/>
      <c r="I96" s="229"/>
      <c r="J96" s="229"/>
      <c r="K96" s="229"/>
      <c r="L96" s="229"/>
      <c r="M96" s="264"/>
    </row>
    <row r="97" spans="1:13" s="261" customFormat="1">
      <c r="B97" s="157"/>
      <c r="G97" s="229"/>
      <c r="H97" s="229"/>
      <c r="I97" s="229"/>
      <c r="J97" s="229"/>
      <c r="K97" s="229"/>
      <c r="L97" s="229"/>
      <c r="M97" s="264"/>
    </row>
    <row r="98" spans="1:13" s="261" customFormat="1">
      <c r="B98" s="157"/>
      <c r="G98" s="229"/>
      <c r="H98" s="229"/>
      <c r="I98" s="229"/>
      <c r="J98" s="229"/>
      <c r="K98" s="229"/>
      <c r="L98" s="229"/>
      <c r="M98" s="264"/>
    </row>
    <row r="99" spans="1:13" s="261" customFormat="1">
      <c r="B99" s="157"/>
      <c r="G99" s="229"/>
      <c r="H99" s="229"/>
      <c r="I99" s="229"/>
      <c r="J99" s="229"/>
      <c r="K99" s="229"/>
      <c r="L99" s="229"/>
      <c r="M99" s="264"/>
    </row>
    <row r="100" spans="1:13" s="261" customFormat="1">
      <c r="B100" s="157"/>
      <c r="G100" s="229"/>
      <c r="H100" s="229"/>
      <c r="I100" s="229"/>
      <c r="J100" s="229"/>
      <c r="K100" s="229"/>
      <c r="L100" s="229"/>
      <c r="M100" s="264"/>
    </row>
    <row r="101" spans="1:13" s="261" customFormat="1">
      <c r="B101" s="157"/>
      <c r="L101" s="264"/>
      <c r="M101" s="264"/>
    </row>
    <row r="102" spans="1:13" s="261" customFormat="1">
      <c r="B102" s="157"/>
      <c r="L102" s="264"/>
      <c r="M102" s="264"/>
    </row>
    <row r="103" spans="1:13" s="261" customFormat="1">
      <c r="B103" s="157"/>
      <c r="L103" s="264"/>
      <c r="M103" s="264"/>
    </row>
    <row r="104" spans="1:13" s="261" customFormat="1">
      <c r="B104" s="157"/>
      <c r="L104" s="264"/>
      <c r="M104" s="264"/>
    </row>
    <row r="105" spans="1:13" s="261" customFormat="1">
      <c r="B105" s="157"/>
      <c r="L105" s="264"/>
      <c r="M105" s="264"/>
    </row>
    <row r="106" spans="1:13" s="261" customFormat="1">
      <c r="B106" s="157"/>
      <c r="L106" s="264"/>
      <c r="M106" s="264"/>
    </row>
    <row r="107" spans="1:13" s="261" customFormat="1">
      <c r="B107" s="157"/>
      <c r="L107" s="264"/>
      <c r="M107" s="264"/>
    </row>
    <row r="108" spans="1:13" s="261" customFormat="1">
      <c r="B108" s="157"/>
      <c r="L108" s="264"/>
      <c r="M108" s="264"/>
    </row>
    <row r="112" spans="1:13">
      <c r="A112" s="261"/>
    </row>
  </sheetData>
  <mergeCells count="3">
    <mergeCell ref="C33:D34"/>
    <mergeCell ref="G33:H34"/>
    <mergeCell ref="K33:L34"/>
  </mergeCells>
  <conditionalFormatting sqref="C35:D59">
    <cfRule type="expression" dxfId="34" priority="25">
      <formula>$B35=0</formula>
    </cfRule>
  </conditionalFormatting>
  <conditionalFormatting sqref="C5:E8 C35:D59">
    <cfRule type="expression" dxfId="33" priority="20">
      <formula>$B5=2</formula>
    </cfRule>
    <cfRule type="expression" dxfId="32" priority="21">
      <formula>$B5=3</formula>
    </cfRule>
    <cfRule type="expression" dxfId="31" priority="22">
      <formula>$B5=0</formula>
    </cfRule>
  </conditionalFormatting>
  <conditionalFormatting sqref="C11:G14">
    <cfRule type="expression" dxfId="30" priority="17">
      <formula>$B11=2</formula>
    </cfRule>
    <cfRule type="expression" dxfId="29" priority="18">
      <formula>$B11=3</formula>
    </cfRule>
    <cfRule type="expression" dxfId="28" priority="19">
      <formula>$B11=0</formula>
    </cfRule>
  </conditionalFormatting>
  <conditionalFormatting sqref="G35:H59">
    <cfRule type="expression" dxfId="27" priority="6">
      <formula>$F35=0</formula>
    </cfRule>
  </conditionalFormatting>
  <conditionalFormatting sqref="G35:H59">
    <cfRule type="expression" dxfId="26" priority="4">
      <formula>$F35=2</formula>
    </cfRule>
    <cfRule type="expression" dxfId="25" priority="5">
      <formula>$F35=3</formula>
    </cfRule>
  </conditionalFormatting>
  <conditionalFormatting sqref="K35:L59">
    <cfRule type="expression" dxfId="24" priority="3">
      <formula>$J35=0</formula>
    </cfRule>
  </conditionalFormatting>
  <conditionalFormatting sqref="K35:L59">
    <cfRule type="expression" dxfId="23" priority="1">
      <formula>$J35=2</formula>
    </cfRule>
    <cfRule type="expression" dxfId="22" priority="2">
      <formula>$J35=3</formula>
    </cfRule>
  </conditionalFormatting>
  <pageMargins left="0.55118110236220474" right="0.55118110236220474" top="0.59055118110236227" bottom="0.78740157480314965" header="0.51181102362204722" footer="0.51181102362204722"/>
  <pageSetup paperSize="9" orientation="landscape" horizontalDpi="1200" verticalDpi="1200" r:id="rId1"/>
  <headerFooter alignWithMargins="0">
    <oddHeader>&amp;RResultados del Modelo de Reciclaje Inclusivo</oddHeader>
  </headerFooter>
  <drawing r:id="rId2"/>
  <legacyDrawing r:id="rId3"/>
</worksheet>
</file>

<file path=xl/worksheets/sheet30.xml><?xml version="1.0" encoding="utf-8"?>
<worksheet xmlns="http://schemas.openxmlformats.org/spreadsheetml/2006/main" xmlns:r="http://schemas.openxmlformats.org/officeDocument/2006/relationships">
  <sheetPr codeName="Sheet12">
    <tabColor rgb="FFFFFF00"/>
    <pageSetUpPr fitToPage="1"/>
  </sheetPr>
  <dimension ref="A1:AQ128"/>
  <sheetViews>
    <sheetView showRowColHeaders="0" zoomScale="80" zoomScaleNormal="80" workbookViewId="0">
      <selection activeCell="E76" sqref="E76"/>
    </sheetView>
  </sheetViews>
  <sheetFormatPr defaultRowHeight="15"/>
  <cols>
    <col min="1" max="1" width="17.5703125" style="28" bestFit="1" customWidth="1"/>
    <col min="2" max="2" width="4.140625" style="28" customWidth="1"/>
    <col min="3" max="3" width="5.85546875" style="28" bestFit="1" customWidth="1"/>
    <col min="4" max="4" width="4.140625" style="28" customWidth="1"/>
    <col min="5" max="5" width="37.28515625" style="28" bestFit="1" customWidth="1"/>
    <col min="6" max="6" width="9.7109375" style="28" customWidth="1"/>
    <col min="7" max="7" width="6.7109375" style="28" bestFit="1" customWidth="1"/>
    <col min="8" max="8" width="11.140625" style="28" bestFit="1" customWidth="1"/>
    <col min="9" max="9" width="11.42578125" style="28" bestFit="1" customWidth="1"/>
    <col min="10" max="10" width="12.42578125" style="28" bestFit="1" customWidth="1"/>
    <col min="11" max="13" width="5.28515625" style="28" customWidth="1"/>
    <col min="14" max="14" width="8" style="28" bestFit="1" customWidth="1"/>
    <col min="15" max="18" width="15.42578125" style="28" customWidth="1"/>
    <col min="19" max="25" width="11.7109375" style="28" customWidth="1"/>
    <col min="26" max="28" width="9.140625" style="28"/>
    <col min="29" max="30" width="9.28515625" style="28" bestFit="1" customWidth="1"/>
    <col min="31" max="31" width="9.42578125" style="28" bestFit="1" customWidth="1"/>
    <col min="32" max="38" width="9.140625" style="28"/>
    <col min="39" max="39" width="5.7109375" style="28" customWidth="1"/>
    <col min="40" max="16384" width="9.140625" style="28"/>
  </cols>
  <sheetData>
    <row r="1" spans="1:43">
      <c r="A1" s="30" t="s">
        <v>152</v>
      </c>
      <c r="B1" s="30">
        <f>uxb_works!B1</f>
        <v>12</v>
      </c>
      <c r="C1" s="30"/>
      <c r="D1" s="30"/>
    </row>
    <row r="2" spans="1:43">
      <c r="A2" s="28" t="str">
        <f>uxb_works!A24</f>
        <v>CITY1_ID</v>
      </c>
      <c r="B2" s="28">
        <f>uxb_works!B24</f>
        <v>1</v>
      </c>
      <c r="C2" s="28" t="str">
        <f ca="1">uxb_works!C24</f>
        <v>Asunción</v>
      </c>
      <c r="E2" s="30"/>
    </row>
    <row r="3" spans="1:43">
      <c r="E3" s="30"/>
    </row>
    <row r="4" spans="1:43">
      <c r="E4" s="30"/>
    </row>
    <row r="5" spans="1:43">
      <c r="E5" s="30"/>
    </row>
    <row r="6" spans="1:43">
      <c r="E6" s="30"/>
      <c r="H6" s="31" t="str">
        <f>CONCATENATE(lang!C66," / ","",B1)</f>
        <v>Ranking / 12</v>
      </c>
      <c r="I6" s="31" t="str">
        <f>lang!C68</f>
        <v>Puntaje / 100</v>
      </c>
      <c r="J6" s="31" t="s">
        <v>48</v>
      </c>
      <c r="K6" s="31" t="s">
        <v>66</v>
      </c>
      <c r="L6" s="31" t="s">
        <v>67</v>
      </c>
      <c r="AC6" s="28" t="str">
        <f ca="1">$C$2</f>
        <v>Asunción</v>
      </c>
      <c r="AD6" s="28" t="s">
        <v>67</v>
      </c>
      <c r="AE6" s="28" t="s">
        <v>70</v>
      </c>
      <c r="AF6" s="28" t="s">
        <v>71</v>
      </c>
      <c r="AH6" s="28" t="str">
        <f ca="1">$C$2</f>
        <v>Asunción</v>
      </c>
      <c r="AN6" s="28">
        <v>1</v>
      </c>
      <c r="AO6" s="28">
        <v>2</v>
      </c>
      <c r="AP6" s="28">
        <v>3</v>
      </c>
      <c r="AQ6" s="28">
        <v>4</v>
      </c>
    </row>
    <row r="8" spans="1:43">
      <c r="A8" s="28" t="str">
        <f>tblIndiSets!A5</f>
        <v>OVERALL</v>
      </c>
      <c r="B8" s="28">
        <f>tblIndiSets!B5</f>
        <v>1</v>
      </c>
      <c r="E8" s="28" t="str">
        <f>tblIndiSets!C5</f>
        <v>CATEGORÍA</v>
      </c>
      <c r="G8" s="32"/>
      <c r="H8" s="32">
        <f ca="1">IF(K8&gt;1,CONCATENATE("=",J8),J8)</f>
        <v>10</v>
      </c>
      <c r="I8" s="33">
        <f ca="1">INDEX(aRoundedScores,B8,$B$2)</f>
        <v>29.5</v>
      </c>
      <c r="J8" s="28">
        <f ca="1">RANK(I8,OFFSET(aRoundedScores,B8-1,0,1,$B$1))</f>
        <v>10</v>
      </c>
      <c r="K8" s="28">
        <f ca="1">COUNTIF(OFFSET(aRoundedScores,B8-1,0,1,$B$1),I8)</f>
        <v>1</v>
      </c>
      <c r="L8" s="33">
        <f ca="1">AVERAGE(OFFSET(aRoundedScores,B8-1,0,1,$B$1))</f>
        <v>45.841666666666661</v>
      </c>
      <c r="P8" s="28" t="str">
        <f>X15</f>
        <v>Lower Band (scores &lt;=33)</v>
      </c>
      <c r="Q8" s="28" t="str">
        <f>V15</f>
        <v>Modest Band (scores 34-65)</v>
      </c>
      <c r="R8" s="28" t="str">
        <f>T15</f>
        <v>Higher Band (scores &gt;=66)</v>
      </c>
      <c r="Y8" s="33"/>
      <c r="AA8" s="33"/>
      <c r="AC8" s="28">
        <f ca="1">INDEX(aScores,$B8,$B$2)</f>
        <v>29.531599128521769</v>
      </c>
      <c r="AD8" s="28">
        <f ca="1">(AVERAGE(OFFSET(aScores,$B8-1,0,1,$B$1)))</f>
        <v>45.846722058648851</v>
      </c>
      <c r="AE8" s="28">
        <f ca="1">(MAX(OFFSET(aScores,$B8-1,0,1,$B$1)))</f>
        <v>78.843427630084065</v>
      </c>
      <c r="AF8" s="28">
        <f ca="1">(MIN(OFFSET(aScores,$B8-1,0,1,$B$1)))</f>
        <v>17.361111111111107</v>
      </c>
      <c r="AH8" s="28">
        <f ca="1">INDEX(aScores,$B8,$B$2)</f>
        <v>29.531599128521769</v>
      </c>
      <c r="AO8" s="28" t="str">
        <f>INDEX($E$8:$E$13,AO6)</f>
        <v>1) NORMATIVA</v>
      </c>
      <c r="AP8" s="28" t="str">
        <f>INDEX($E$8:$E$13,AP6)</f>
        <v>2) ORGANIZATIVA</v>
      </c>
      <c r="AQ8" s="28" t="str">
        <f>INDEX($E$8:$E$13,AQ6)</f>
        <v>3) MERCADO</v>
      </c>
    </row>
    <row r="9" spans="1:43">
      <c r="A9" s="28" t="str">
        <f>tblIndiSets!A6</f>
        <v>NORM</v>
      </c>
      <c r="B9" s="28">
        <f>tblIndiSets!B6</f>
        <v>2</v>
      </c>
      <c r="E9" s="28" t="str">
        <f>tblIndiSets!C6</f>
        <v>1) NORMATIVA</v>
      </c>
      <c r="G9" s="32"/>
      <c r="H9" s="32">
        <f ca="1">IF(K9&gt;1,CONCATENATE("=",J9),J9)</f>
        <v>10</v>
      </c>
      <c r="I9" s="33">
        <f ca="1">INDEX(aRoundedScores,B9,$B$2)</f>
        <v>32.799999999999997</v>
      </c>
      <c r="J9" s="28">
        <f ca="1">RANK(I9,OFFSET(aRoundedScores,B9-1,0,1,$B$1))</f>
        <v>10</v>
      </c>
      <c r="K9" s="28">
        <f ca="1">COUNTIF(OFFSET(aRoundedScores,B9-1,0,1,$B$1),I9)</f>
        <v>1</v>
      </c>
      <c r="L9" s="33">
        <f ca="1">AVERAGE(OFFSET(aRoundedScores,B9-1,0,1,$B$1))</f>
        <v>45.441666666666663</v>
      </c>
      <c r="P9" s="28">
        <f ca="1">COUNT(P17:P128)</f>
        <v>1</v>
      </c>
      <c r="Q9" s="28">
        <f ca="1">COUNT(Q17:Q128)</f>
        <v>2</v>
      </c>
      <c r="R9" s="28">
        <f ca="1">COUNT(R17:R128)</f>
        <v>7</v>
      </c>
      <c r="Y9" s="33"/>
      <c r="AA9" s="33"/>
      <c r="AC9" s="28">
        <f ca="1">INDEX(aScores,$B9,$B$2)</f>
        <v>32.8125</v>
      </c>
      <c r="AD9" s="28">
        <f ca="1">(AVERAGE(OFFSET(aScores,$B9-1,0,1,$B$1)))</f>
        <v>45.442708333333336</v>
      </c>
      <c r="AE9" s="28">
        <f ca="1">(MAX(OFFSET(aScores,$B9-1,0,1,$B$1)))</f>
        <v>70.3125</v>
      </c>
      <c r="AF9" s="28">
        <f ca="1">(MIN(OFFSET(aScores,$B9-1,0,1,$B$1)))</f>
        <v>15.625</v>
      </c>
      <c r="AH9" s="28">
        <f ca="1">INDEX(aScores,$B9,$B$2)</f>
        <v>32.8125</v>
      </c>
      <c r="AM9" s="28">
        <v>1</v>
      </c>
      <c r="AN9" s="28" t="str">
        <f ca="1">INDEX($AH$6:$AK$6,1,AM9)</f>
        <v>Asunción</v>
      </c>
      <c r="AO9" s="28">
        <f ca="1">INDEX($AH$9:$AK$9,1,$AM9)</f>
        <v>32.8125</v>
      </c>
      <c r="AP9" s="28">
        <f ca="1">INDEX($AH$10:$AK$10,1,$AM9)</f>
        <v>28.333333333333332</v>
      </c>
      <c r="AQ9" s="28">
        <f ca="1">INDEX($AH$11:$AK$11,1,$AM9)</f>
        <v>27.448964052231986</v>
      </c>
    </row>
    <row r="10" spans="1:43">
      <c r="A10" s="28" t="str">
        <f>tblIndiSets!A7</f>
        <v>ORG</v>
      </c>
      <c r="B10" s="28">
        <f>tblIndiSets!B7</f>
        <v>22</v>
      </c>
      <c r="E10" s="28" t="str">
        <f>tblIndiSets!C7</f>
        <v>2) ORGANIZATIVA</v>
      </c>
      <c r="G10" s="32"/>
      <c r="H10" s="32">
        <f ca="1">IF(K10&gt;1,CONCATENATE("=",J10),J10)</f>
        <v>10</v>
      </c>
      <c r="I10" s="33">
        <f ca="1">INDEX(aRoundedScores,B10,$B$2)</f>
        <v>28.3</v>
      </c>
      <c r="J10" s="28">
        <f ca="1">RANK(I10,OFFSET(aRoundedScores,B10-1,0,1,$B$1))</f>
        <v>10</v>
      </c>
      <c r="K10" s="28">
        <f ca="1">COUNTIF(OFFSET(aRoundedScores,B10-1,0,1,$B$1),I10)</f>
        <v>1</v>
      </c>
      <c r="L10" s="33">
        <f ca="1">AVERAGE(OFFSET(aRoundedScores,B10-1,0,1,$B$1))</f>
        <v>42.174999999999997</v>
      </c>
      <c r="Y10" s="33"/>
      <c r="AA10" s="33"/>
      <c r="AC10" s="28">
        <f ca="1">INDEX(aScores,$B10,$B$2)</f>
        <v>28.333333333333332</v>
      </c>
      <c r="AD10" s="28">
        <f ca="1">(AVERAGE(OFFSET(aScores,$B10-1,0,1,$B$1)))</f>
        <v>42.175925925925931</v>
      </c>
      <c r="AE10" s="28">
        <f ca="1">(MAX(OFFSET(aScores,$B10-1,0,1,$B$1)))</f>
        <v>79.444444444444429</v>
      </c>
      <c r="AF10" s="28">
        <f ca="1">(MIN(OFFSET(aScores,$B10-1,0,1,$B$1)))</f>
        <v>0</v>
      </c>
      <c r="AH10" s="28">
        <f ca="1">INDEX(aScores,$B10,$B$2)</f>
        <v>28.333333333333332</v>
      </c>
      <c r="AM10" s="28">
        <v>2</v>
      </c>
      <c r="AN10" s="28">
        <f>INDEX($AH$6:$AK$6,1,AM10)</f>
        <v>0</v>
      </c>
      <c r="AO10" s="28">
        <f>INDEX($AH$9:$AK$9,1,$AM10)</f>
        <v>0</v>
      </c>
      <c r="AP10" s="28">
        <f>INDEX($AH$10:$AK$10,1,$AM10)</f>
        <v>0</v>
      </c>
      <c r="AQ10" s="28">
        <f>INDEX($AH$11:$AK$11,1,$AM10)</f>
        <v>0</v>
      </c>
    </row>
    <row r="11" spans="1:43">
      <c r="A11" s="28" t="str">
        <f>tblIndiSets!A8</f>
        <v>MERC</v>
      </c>
      <c r="B11" s="28">
        <f>tblIndiSets!B8</f>
        <v>33</v>
      </c>
      <c r="E11" s="28" t="str">
        <f>tblIndiSets!C8</f>
        <v>3) MERCADO</v>
      </c>
      <c r="G11" s="32"/>
      <c r="H11" s="32">
        <f ca="1">IF(K11&gt;1,CONCATENATE("=",J11),J11)</f>
        <v>11</v>
      </c>
      <c r="I11" s="33">
        <f ca="1">INDEX(aRoundedScores,B11,$B$2)</f>
        <v>27.4</v>
      </c>
      <c r="J11" s="28">
        <f ca="1">RANK(I11,OFFSET(aRoundedScores,B11-1,0,1,$B$1))</f>
        <v>11</v>
      </c>
      <c r="K11" s="28">
        <f ca="1">COUNTIF(OFFSET(aRoundedScores,B11-1,0,1,$B$1),I11)</f>
        <v>1</v>
      </c>
      <c r="L11" s="33">
        <f ca="1">AVERAGE(OFFSET(aRoundedScores,B11-1,0,1,$B$1))</f>
        <v>49.908333333333324</v>
      </c>
      <c r="Y11" s="33"/>
      <c r="AA11" s="33"/>
      <c r="AC11" s="28">
        <f ca="1">INDEX(aScores,$B11,$B$2)</f>
        <v>27.448964052231986</v>
      </c>
      <c r="AD11" s="28">
        <f ca="1">(AVERAGE(OFFSET(aScores,$B11-1,0,1,$B$1)))</f>
        <v>49.921531916687307</v>
      </c>
      <c r="AE11" s="28">
        <f ca="1">(MAX(OFFSET(aScores,$B11-1,0,1,$B$1)))</f>
        <v>91.981671779141109</v>
      </c>
      <c r="AF11" s="28">
        <f ca="1">(MIN(OFFSET(aScores,$B11-1,0,1,$B$1)))</f>
        <v>26.041666666666664</v>
      </c>
      <c r="AH11" s="28">
        <f ca="1">INDEX(aScores,$B11,$B$2)</f>
        <v>27.448964052231986</v>
      </c>
      <c r="AM11" s="28">
        <v>3</v>
      </c>
      <c r="AN11" s="28">
        <f>INDEX($AH$6:$AK$6,1,AM11)</f>
        <v>0</v>
      </c>
      <c r="AO11" s="28">
        <f>INDEX($AH$9:$AK$9,1,$AM11)</f>
        <v>0</v>
      </c>
      <c r="AP11" s="28">
        <f>INDEX($AH$10:$AK$10,1,$AM11)</f>
        <v>0</v>
      </c>
      <c r="AQ11" s="28">
        <f>INDEX($AH$11:$AK$11,1,$AM11)</f>
        <v>0</v>
      </c>
    </row>
    <row r="12" spans="1:43">
      <c r="G12" s="32"/>
      <c r="H12" s="32"/>
      <c r="I12" s="33"/>
      <c r="L12" s="33"/>
      <c r="Y12" s="33"/>
      <c r="AA12" s="33"/>
    </row>
    <row r="13" spans="1:43">
      <c r="G13" s="32"/>
      <c r="H13" s="32"/>
      <c r="I13" s="33"/>
      <c r="L13" s="33"/>
      <c r="Y13" s="33"/>
      <c r="AA13" s="33"/>
    </row>
    <row r="14" spans="1:43">
      <c r="N14" s="28" t="s">
        <v>215</v>
      </c>
      <c r="P14" s="31">
        <f>100/3</f>
        <v>33.333333333333336</v>
      </c>
      <c r="Q14" s="31">
        <f>2*P14</f>
        <v>66.666666666666671</v>
      </c>
      <c r="R14" s="31"/>
    </row>
    <row r="15" spans="1:43">
      <c r="M15" s="28" t="str">
        <f>uxb_works!A21</f>
        <v>Indi_ID</v>
      </c>
      <c r="N15" s="141" t="b">
        <f>uxb_works!B29</f>
        <v>0</v>
      </c>
      <c r="P15" s="31">
        <v>3</v>
      </c>
      <c r="Q15" s="31">
        <v>2</v>
      </c>
      <c r="R15" s="31">
        <v>1</v>
      </c>
      <c r="T15" s="28" t="s">
        <v>216</v>
      </c>
      <c r="V15" s="28" t="s">
        <v>137</v>
      </c>
      <c r="X15" s="28" t="s">
        <v>129</v>
      </c>
    </row>
    <row r="16" spans="1:43" s="31" customFormat="1">
      <c r="G16" s="31" t="s">
        <v>48</v>
      </c>
      <c r="H16" s="31" t="s">
        <v>68</v>
      </c>
      <c r="I16" s="31" t="str">
        <f>CONCATENATE("Rank / ",$B$1)</f>
        <v>Rank / 12</v>
      </c>
      <c r="J16" s="31" t="s">
        <v>49</v>
      </c>
      <c r="M16" s="31" t="s">
        <v>64</v>
      </c>
      <c r="N16" s="31" t="s">
        <v>69</v>
      </c>
      <c r="P16" s="31">
        <v>0</v>
      </c>
      <c r="Q16" s="31">
        <v>0</v>
      </c>
      <c r="R16" s="31">
        <v>0</v>
      </c>
      <c r="AE16" s="31" t="str">
        <f ca="1">AH6</f>
        <v>Asunción</v>
      </c>
      <c r="AF16" s="31">
        <f>AI6</f>
        <v>0</v>
      </c>
      <c r="AG16" s="31">
        <f>AJ6</f>
        <v>0</v>
      </c>
      <c r="AH16" s="31">
        <f>AK6</f>
        <v>0</v>
      </c>
    </row>
    <row r="17" spans="1:35">
      <c r="A17" s="28" t="str">
        <f>tblIndicators!D2</f>
        <v>OVERALL</v>
      </c>
      <c r="B17" s="28">
        <f>tblIndicators!A2</f>
        <v>1</v>
      </c>
      <c r="C17" s="28">
        <f>IF(B17="",0,INDEX(tblIndicators!$F$2:$F$52,$B17))</f>
        <v>0</v>
      </c>
      <c r="E17" s="28" t="str">
        <f>IF(B17="","",IF(C17&gt;=1,TRIM(INDEX(tblIndicators!$AE$2:$AE$52,iCountryP!$B17)),UPPER(INDEX(tblIndicators!$AE$2:$AE$52,iCountryP!$B17))))</f>
        <v>CATEGORÍA</v>
      </c>
      <c r="F17" s="28" t="str">
        <f>IF(B17="","",INDEX(tblIndicators!$N$2:$N$52,iCountryP!$B17))</f>
        <v>Scored 0-100 where 100 = most capable</v>
      </c>
      <c r="G17" s="28">
        <f t="shared" ref="G17:G48" ca="1" si="0">IF(B17="","",RANK(J17,OFFSET(aScores,B17-1,0,1,$B$1)))</f>
        <v>10</v>
      </c>
      <c r="H17" s="28">
        <f t="shared" ref="H17:H48" ca="1" si="1">IF(B17="","",COUNTIF(OFFSET(aScores,B17-1,0,1,$B$1),J17))</f>
        <v>1</v>
      </c>
      <c r="I17" s="32">
        <f ca="1">IF(B17="","",IF(H17&gt;1,CONCATENATE("=",G17),G17))</f>
        <v>10</v>
      </c>
      <c r="J17" s="28">
        <f t="shared" ref="J17:J48" ca="1" si="2">IF(B17="","",INDEX(aScores,B17,$B$2))</f>
        <v>29.531599128521769</v>
      </c>
      <c r="K17" s="34" t="str">
        <f ca="1">IF(B17="","",REPT("|",J17/3))</f>
        <v>|||||||||</v>
      </c>
      <c r="L17" s="35"/>
      <c r="M17" s="33" t="str">
        <f t="shared" ref="M17:M48" si="3">IF(B17="","",IF(C17&lt;2,"",IF(F17="%",100*INDEX(aData,B17,$B$2),INDEX(aData,B17,$B$2))))</f>
        <v/>
      </c>
      <c r="N17" s="28">
        <f>IF(B17="","",IF($N$15,IF(C17&lt;&gt;1,0,IF(J17&gt;=Q$14,3,IF(J17&gt;=P$14,2,1))),IF(C17&lt;&gt;2,0,IF(J17&gt;=Q$14,3,IF(J17&gt;=P$14,2,1)))))</f>
        <v>0</v>
      </c>
      <c r="O17" s="28" t="str">
        <f>tblIndicators!V2</f>
        <v>0.0</v>
      </c>
      <c r="P17" s="28">
        <f t="shared" ref="P17:P48" ca="1" si="4">P16+MATCH(P$15,OFFSET($N$17:$N$128,P16,0),0)</f>
        <v>39</v>
      </c>
      <c r="Q17" s="28">
        <f t="shared" ref="Q17:Q48" ca="1" si="5">Q16+MATCH(Q$15,OFFSET($N$17:$N$128,Q16,0),0)</f>
        <v>20</v>
      </c>
      <c r="R17" s="28">
        <f t="shared" ref="R17:R48" ca="1" si="6">R16+MATCH(R$15,OFFSET($N$17:$N$128,R16,0),0)</f>
        <v>3</v>
      </c>
      <c r="T17" s="28" t="str">
        <f t="shared" ref="T17:T48" ca="1" si="7">IF(ISNUMBER(P17),INDEX($E$17:$E$128,P17),"")</f>
        <v>3.2) Condiciones para la comercialización de material reciclable</v>
      </c>
      <c r="U17" s="28">
        <f t="shared" ref="U17:U48" ca="1" si="8">IF(ISNUMBER(P17),INDEX($J$17:$J$128,P17),"")</f>
        <v>97.584355828220851</v>
      </c>
      <c r="V17" s="28" t="str">
        <f t="shared" ref="V17:V48" ca="1" si="9">IF(ISNUMBER(Q17),INDEX($E$17:$E$128,Q17),"")</f>
        <v>1.4) Salud pública y el medioambiente</v>
      </c>
      <c r="W17" s="28">
        <f t="shared" ref="W17:W48" ca="1" si="10">IF(ISNUMBER(Q17),INDEX($J$17:$J$128,Q17),"")</f>
        <v>50</v>
      </c>
      <c r="X17" s="28" t="str">
        <f t="shared" ref="X17:X48" ca="1" si="11">IF(ISNUMBER(R17),INDEX($E$17:$E$128,R17),"")</f>
        <v>1.1) Normativa sobre gestión de residuos</v>
      </c>
      <c r="Y17" s="28">
        <f t="shared" ref="Y17:Y48" ca="1" si="12">IF(ISNUMBER(R17),INDEX($J$17:$J$128,R17),"")</f>
        <v>25</v>
      </c>
      <c r="AD17" s="28" t="str">
        <f>E17</f>
        <v>CATEGORÍA</v>
      </c>
      <c r="AE17" s="28">
        <f t="shared" ref="AE17:AE48" ca="1" si="13">INDEX(aScores,B17,$B$2)</f>
        <v>29.531599128521769</v>
      </c>
      <c r="AF17" s="28">
        <f t="shared" ref="AF17:AF48" si="14">INDEX(aScores,B17,$B$4)</f>
        <v>0</v>
      </c>
      <c r="AG17" s="28">
        <f t="shared" ref="AG17:AG48" si="15">INDEX(aScores,B17,$B$5)</f>
        <v>0</v>
      </c>
      <c r="AH17" s="28">
        <f t="shared" ref="AH17:AH48" si="16">INDEX(aScores,B17,$B$6)</f>
        <v>0</v>
      </c>
      <c r="AI17" s="28" t="str">
        <f>A17</f>
        <v>OVERALL</v>
      </c>
    </row>
    <row r="18" spans="1:35">
      <c r="A18" s="28" t="str">
        <f>tblIndicators!D3</f>
        <v>NORM</v>
      </c>
      <c r="B18" s="28">
        <f>tblIndicators!A3</f>
        <v>2</v>
      </c>
      <c r="C18" s="28">
        <f>IF(B18="",0,INDEX(tblIndicators!$F$2:$F$52,$B18))</f>
        <v>1</v>
      </c>
      <c r="E18" s="28" t="str">
        <f>IF(B18="","",IF(C18&gt;=1,TRIM(INDEX(tblIndicators!$AE$2:$AE$52,iCountryP!$B18)),UPPER(INDEX(tblIndicators!$AE$2:$AE$52,iCountryP!$B18))))</f>
        <v>1) NORMATIVA</v>
      </c>
      <c r="F18" s="28" t="str">
        <f>IF(B18="","",INDEX(tblIndicators!$N$2:$N$52,iCountryP!$B18))</f>
        <v>Scored 0-100 where 100 = most capable</v>
      </c>
      <c r="G18" s="28">
        <f t="shared" ca="1" si="0"/>
        <v>10</v>
      </c>
      <c r="H18" s="28">
        <f t="shared" ca="1" si="1"/>
        <v>1</v>
      </c>
      <c r="I18" s="32">
        <f t="shared" ref="I18:I67" ca="1" si="17">IF(B18="","",IF(H18&gt;1,CONCATENATE("=",G18),G18))</f>
        <v>10</v>
      </c>
      <c r="J18" s="28">
        <f t="shared" ca="1" si="2"/>
        <v>32.8125</v>
      </c>
      <c r="K18" s="34" t="str">
        <f t="shared" ref="K18:K67" ca="1" si="18">IF(B18="","",REPT("|",J18/3))</f>
        <v>||||||||||</v>
      </c>
      <c r="L18" s="35"/>
      <c r="M18" s="33" t="str">
        <f t="shared" si="3"/>
        <v/>
      </c>
      <c r="N18" s="28">
        <f t="shared" ref="N18:N67" si="19">IF(B18="","",IF($N$15,IF(C18&lt;&gt;1,0,IF(J18&gt;=Q$14,3,IF(J18&gt;=P$14,2,1))),IF(C18&lt;&gt;2,0,IF(J18&gt;=Q$14,3,IF(J18&gt;=P$14,2,1)))))</f>
        <v>0</v>
      </c>
      <c r="O18" s="28" t="str">
        <f>tblIndicators!V3</f>
        <v>0.0</v>
      </c>
      <c r="P18" s="28" t="e">
        <f t="shared" ca="1" si="4"/>
        <v>#N/A</v>
      </c>
      <c r="Q18" s="28">
        <f t="shared" ca="1" si="5"/>
        <v>23</v>
      </c>
      <c r="R18" s="28">
        <f t="shared" ca="1" si="6"/>
        <v>8</v>
      </c>
      <c r="T18" s="28" t="str">
        <f t="shared" ca="1" si="7"/>
        <v/>
      </c>
      <c r="U18" s="28" t="str">
        <f t="shared" ca="1" si="8"/>
        <v/>
      </c>
      <c r="V18" s="28" t="str">
        <f t="shared" ca="1" si="9"/>
        <v>2.1) Asociatividad</v>
      </c>
      <c r="W18" s="28">
        <f t="shared" ca="1" si="10"/>
        <v>40</v>
      </c>
      <c r="X18" s="28" t="str">
        <f t="shared" ca="1" si="11"/>
        <v>1.2) Integración del reciclador de base</v>
      </c>
      <c r="Y18" s="28">
        <f t="shared" ca="1" si="12"/>
        <v>31.25</v>
      </c>
      <c r="AD18" s="28" t="str">
        <f t="shared" ref="AD18:AD67" si="20">E18</f>
        <v>1) NORMATIVA</v>
      </c>
      <c r="AE18" s="28">
        <f t="shared" ca="1" si="13"/>
        <v>32.8125</v>
      </c>
      <c r="AF18" s="28">
        <f t="shared" si="14"/>
        <v>0</v>
      </c>
      <c r="AG18" s="28">
        <f t="shared" si="15"/>
        <v>0</v>
      </c>
      <c r="AH18" s="28">
        <f t="shared" si="16"/>
        <v>0</v>
      </c>
      <c r="AI18" s="28" t="str">
        <f t="shared" ref="AI18:AI67" si="21">A18</f>
        <v>NORM</v>
      </c>
    </row>
    <row r="19" spans="1:35">
      <c r="A19" s="28" t="str">
        <f>tblIndicators!D4</f>
        <v>NORM1.1</v>
      </c>
      <c r="B19" s="28">
        <f>tblIndicators!A4</f>
        <v>3</v>
      </c>
      <c r="C19" s="28">
        <f>IF(B19="",0,INDEX(tblIndicators!$F$2:$F$52,$B19))</f>
        <v>2</v>
      </c>
      <c r="E19" s="28" t="str">
        <f>IF(B19="","",IF(C19&gt;=1,TRIM(INDEX(tblIndicators!$AE$2:$AE$52,iCountryP!$B19)),UPPER(INDEX(tblIndicators!$AE$2:$AE$52,iCountryP!$B19))))</f>
        <v>1.1) Normativa sobre gestión de residuos</v>
      </c>
      <c r="F19" s="28" t="str">
        <f>IF(B19="","",INDEX(tblIndicators!$N$2:$N$52,iCountryP!$B19))</f>
        <v>Scored 0-100 where 100 = most capable</v>
      </c>
      <c r="G19" s="28">
        <f t="shared" ca="1" si="0"/>
        <v>7</v>
      </c>
      <c r="H19" s="28">
        <f t="shared" ca="1" si="1"/>
        <v>3</v>
      </c>
      <c r="I19" s="32" t="str">
        <f t="shared" ca="1" si="17"/>
        <v>=7</v>
      </c>
      <c r="J19" s="28">
        <f t="shared" ca="1" si="2"/>
        <v>25</v>
      </c>
      <c r="K19" s="34" t="str">
        <f t="shared" ca="1" si="18"/>
        <v>||||||||</v>
      </c>
      <c r="L19" s="35"/>
      <c r="M19" s="33">
        <f t="shared" si="3"/>
        <v>0</v>
      </c>
      <c r="N19" s="28">
        <f t="shared" ca="1" si="19"/>
        <v>1</v>
      </c>
      <c r="O19" s="28" t="str">
        <f>tblIndicators!V4</f>
        <v>0.0</v>
      </c>
      <c r="P19" s="28" t="e">
        <f t="shared" ca="1" si="4"/>
        <v>#N/A</v>
      </c>
      <c r="Q19" s="28" t="e">
        <f t="shared" ca="1" si="5"/>
        <v>#N/A</v>
      </c>
      <c r="R19" s="28">
        <f t="shared" ca="1" si="6"/>
        <v>17</v>
      </c>
      <c r="T19" s="28" t="str">
        <f t="shared" ca="1" si="7"/>
        <v/>
      </c>
      <c r="U19" s="28" t="str">
        <f t="shared" ca="1" si="8"/>
        <v/>
      </c>
      <c r="V19" s="28" t="str">
        <f t="shared" ca="1" si="9"/>
        <v/>
      </c>
      <c r="W19" s="28" t="str">
        <f t="shared" ca="1" si="10"/>
        <v/>
      </c>
      <c r="X19" s="28" t="str">
        <f t="shared" ca="1" si="11"/>
        <v>1.3) Generación de información</v>
      </c>
      <c r="Y19" s="28">
        <f t="shared" ca="1" si="12"/>
        <v>25</v>
      </c>
      <c r="AD19" s="28" t="str">
        <f t="shared" si="20"/>
        <v>1.1) Normativa sobre gestión de residuos</v>
      </c>
      <c r="AE19" s="28">
        <f t="shared" ca="1" si="13"/>
        <v>25</v>
      </c>
      <c r="AF19" s="28">
        <f t="shared" si="14"/>
        <v>0</v>
      </c>
      <c r="AG19" s="28">
        <f t="shared" si="15"/>
        <v>0</v>
      </c>
      <c r="AH19" s="28">
        <f t="shared" si="16"/>
        <v>0</v>
      </c>
      <c r="AI19" s="28" t="str">
        <f t="shared" si="21"/>
        <v>NORM1.1</v>
      </c>
    </row>
    <row r="20" spans="1:35">
      <c r="A20" s="28" t="str">
        <f>tblIndicators!D5</f>
        <v>NORM1.1.1</v>
      </c>
      <c r="B20" s="28">
        <f>tblIndicators!A5</f>
        <v>4</v>
      </c>
      <c r="C20" s="28">
        <f>IF(B20="",0,INDEX(tblIndicators!$F$2:$F$52,$B20))</f>
        <v>3</v>
      </c>
      <c r="E20" s="28" t="str">
        <f>IF(B20="","",IF(C20&gt;=1,TRIM(INDEX(tblIndicators!$AE$2:$AE$52,iCountryP!$B20)),UPPER(INDEX(tblIndicators!$AE$2:$AE$52,iCountryP!$B20))))</f>
        <v>1.1.1) 1.¿ Existe un marco legal nacional para la gestión de residuos orientado al reciclaje con la inclusión de actores informales?</v>
      </c>
      <c r="F20" s="28" t="str">
        <f>IF(B20="","",INDEX(tblIndicators!$N$2:$N$52,iCountryP!$B20))</f>
        <v>Scored 0-100 where 100 = most capable</v>
      </c>
      <c r="G20" s="28">
        <f t="shared" ca="1" si="0"/>
        <v>8</v>
      </c>
      <c r="H20" s="28">
        <f t="shared" ca="1" si="1"/>
        <v>5</v>
      </c>
      <c r="I20" s="32" t="str">
        <f t="shared" ca="1" si="17"/>
        <v>=8</v>
      </c>
      <c r="J20" s="28">
        <f t="shared" ca="1" si="2"/>
        <v>0</v>
      </c>
      <c r="K20" s="34" t="str">
        <f t="shared" ca="1" si="18"/>
        <v/>
      </c>
      <c r="L20" s="35"/>
      <c r="M20" s="33">
        <f t="shared" si="3"/>
        <v>0</v>
      </c>
      <c r="N20" s="28">
        <f t="shared" si="19"/>
        <v>0</v>
      </c>
      <c r="O20" s="28">
        <f>tblIndicators!V5</f>
        <v>0</v>
      </c>
      <c r="P20" s="28" t="e">
        <f t="shared" ca="1" si="4"/>
        <v>#N/A</v>
      </c>
      <c r="Q20" s="28" t="e">
        <f t="shared" ca="1" si="5"/>
        <v>#N/A</v>
      </c>
      <c r="R20" s="28">
        <f t="shared" ca="1" si="6"/>
        <v>29</v>
      </c>
      <c r="T20" s="28" t="str">
        <f t="shared" ca="1" si="7"/>
        <v/>
      </c>
      <c r="U20" s="28" t="str">
        <f t="shared" ca="1" si="8"/>
        <v/>
      </c>
      <c r="V20" s="28" t="str">
        <f t="shared" ca="1" si="9"/>
        <v/>
      </c>
      <c r="W20" s="28" t="str">
        <f t="shared" ca="1" si="10"/>
        <v/>
      </c>
      <c r="X20" s="28" t="str">
        <f t="shared" ca="1" si="11"/>
        <v>2.2) Organizaciones comerciales</v>
      </c>
      <c r="Y20" s="28">
        <f t="shared" ca="1" si="12"/>
        <v>16.666666666666664</v>
      </c>
      <c r="AD20" s="28" t="str">
        <f t="shared" si="20"/>
        <v>1.1.1) 1.¿ Existe un marco legal nacional para la gestión de residuos orientado al reciclaje con la inclusión de actores informales?</v>
      </c>
      <c r="AE20" s="28">
        <f t="shared" ca="1" si="13"/>
        <v>0</v>
      </c>
      <c r="AF20" s="28">
        <f t="shared" si="14"/>
        <v>0</v>
      </c>
      <c r="AG20" s="28">
        <f t="shared" si="15"/>
        <v>0</v>
      </c>
      <c r="AH20" s="28">
        <f t="shared" si="16"/>
        <v>0</v>
      </c>
      <c r="AI20" s="28" t="str">
        <f t="shared" si="21"/>
        <v>NORM1.1.1</v>
      </c>
    </row>
    <row r="21" spans="1:35">
      <c r="A21" s="28" t="str">
        <f>tblIndicators!D6</f>
        <v>NORM1.1.2</v>
      </c>
      <c r="B21" s="28">
        <f>tblIndicators!A6</f>
        <v>5</v>
      </c>
      <c r="C21" s="28">
        <f>IF(B21="",0,INDEX(tblIndicators!$F$2:$F$52,$B21))</f>
        <v>3</v>
      </c>
      <c r="E21" s="28" t="str">
        <f>IF(B21="","",IF(C21&gt;=1,TRIM(INDEX(tblIndicators!$AE$2:$AE$52,iCountryP!$B21)),UPPER(INDEX(tblIndicators!$AE$2:$AE$52,iCountryP!$B21))))</f>
        <v>1.1.2) 2.¿Existe un marco legal municipal para la gestión de residuos orientado al reciclaje y la inclusión de actores informales?</v>
      </c>
      <c r="F21" s="28" t="str">
        <f>IF(B21="","",INDEX(tblIndicators!$N$2:$N$52,iCountryP!$B21))</f>
        <v>Scored 0-100 where 100 = most capable</v>
      </c>
      <c r="G21" s="28">
        <f t="shared" ca="1" si="0"/>
        <v>6</v>
      </c>
      <c r="H21" s="28">
        <f t="shared" ca="1" si="1"/>
        <v>3</v>
      </c>
      <c r="I21" s="32" t="str">
        <f t="shared" ca="1" si="17"/>
        <v>=6</v>
      </c>
      <c r="J21" s="28">
        <f t="shared" ca="1" si="2"/>
        <v>50</v>
      </c>
      <c r="K21" s="34" t="str">
        <f t="shared" ca="1" si="18"/>
        <v>||||||||||||||||</v>
      </c>
      <c r="L21" s="35"/>
      <c r="M21" s="33">
        <f t="shared" si="3"/>
        <v>1</v>
      </c>
      <c r="N21" s="28">
        <f t="shared" si="19"/>
        <v>0</v>
      </c>
      <c r="O21" s="28">
        <f>tblIndicators!V6</f>
        <v>0</v>
      </c>
      <c r="P21" s="28" t="e">
        <f t="shared" ca="1" si="4"/>
        <v>#N/A</v>
      </c>
      <c r="Q21" s="28" t="e">
        <f t="shared" ca="1" si="5"/>
        <v>#N/A</v>
      </c>
      <c r="R21" s="28">
        <f t="shared" ca="1" si="6"/>
        <v>34</v>
      </c>
      <c r="T21" s="28" t="str">
        <f t="shared" ca="1" si="7"/>
        <v/>
      </c>
      <c r="U21" s="28" t="str">
        <f t="shared" ca="1" si="8"/>
        <v/>
      </c>
      <c r="V21" s="28" t="str">
        <f t="shared" ca="1" si="9"/>
        <v/>
      </c>
      <c r="W21" s="28" t="str">
        <f t="shared" ca="1" si="10"/>
        <v/>
      </c>
      <c r="X21" s="28" t="str">
        <f t="shared" ca="1" si="11"/>
        <v>3.1) Condiciones de acceso y almacenamiento de residuos</v>
      </c>
      <c r="Y21" s="28">
        <f t="shared" ca="1" si="12"/>
        <v>8.3333333333333321</v>
      </c>
      <c r="AD21" s="28" t="str">
        <f t="shared" si="20"/>
        <v>1.1.2) 2.¿Existe un marco legal municipal para la gestión de residuos orientado al reciclaje y la inclusión de actores informales?</v>
      </c>
      <c r="AE21" s="28">
        <f t="shared" ca="1" si="13"/>
        <v>50</v>
      </c>
      <c r="AF21" s="28">
        <f t="shared" si="14"/>
        <v>0</v>
      </c>
      <c r="AG21" s="28">
        <f t="shared" si="15"/>
        <v>0</v>
      </c>
      <c r="AH21" s="28">
        <f t="shared" si="16"/>
        <v>0</v>
      </c>
      <c r="AI21" s="28" t="str">
        <f t="shared" si="21"/>
        <v>NORM1.1.2</v>
      </c>
    </row>
    <row r="22" spans="1:35">
      <c r="A22" s="28" t="str">
        <f>tblIndicators!D7</f>
        <v>NORM1.1.3</v>
      </c>
      <c r="B22" s="28">
        <f>tblIndicators!A7</f>
        <v>6</v>
      </c>
      <c r="C22" s="28">
        <f>IF(B22="",0,INDEX(tblIndicators!$F$2:$F$52,$B22))</f>
        <v>3</v>
      </c>
      <c r="E22" s="28" t="str">
        <f>IF(B22="","",IF(C22&gt;=1,TRIM(INDEX(tblIndicators!$AE$2:$AE$52,iCountryP!$B22)),UPPER(INDEX(tblIndicators!$AE$2:$AE$52,iCountryP!$B22))))</f>
        <v>1.1.3) 3.¿Son las políticas municipales suficientemente estables para garantizar la continuidad en materia de políticas de reciclaje inclusivo?</v>
      </c>
      <c r="F22" s="28" t="str">
        <f>IF(B22="","",INDEX(tblIndicators!$N$2:$N$52,iCountryP!$B22))</f>
        <v>Scored 0-100 where 100 = most capable</v>
      </c>
      <c r="G22" s="28">
        <f t="shared" ca="1" si="0"/>
        <v>3</v>
      </c>
      <c r="H22" s="28">
        <f t="shared" ca="1" si="1"/>
        <v>4</v>
      </c>
      <c r="I22" s="32" t="str">
        <f t="shared" ca="1" si="17"/>
        <v>=3</v>
      </c>
      <c r="J22" s="28">
        <f t="shared" ca="1" si="2"/>
        <v>50</v>
      </c>
      <c r="K22" s="34" t="str">
        <f t="shared" ca="1" si="18"/>
        <v>||||||||||||||||</v>
      </c>
      <c r="L22" s="35"/>
      <c r="M22" s="33">
        <f t="shared" si="3"/>
        <v>1</v>
      </c>
      <c r="N22" s="28">
        <f t="shared" si="19"/>
        <v>0</v>
      </c>
      <c r="O22" s="28">
        <f>tblIndicators!V7</f>
        <v>0</v>
      </c>
      <c r="P22" s="28" t="e">
        <f t="shared" ca="1" si="4"/>
        <v>#N/A</v>
      </c>
      <c r="Q22" s="28" t="e">
        <f t="shared" ca="1" si="5"/>
        <v>#N/A</v>
      </c>
      <c r="R22" s="28">
        <f t="shared" ca="1" si="6"/>
        <v>42</v>
      </c>
      <c r="T22" s="28" t="str">
        <f t="shared" ca="1" si="7"/>
        <v/>
      </c>
      <c r="U22" s="28" t="str">
        <f t="shared" ca="1" si="8"/>
        <v/>
      </c>
      <c r="V22" s="28" t="str">
        <f t="shared" ca="1" si="9"/>
        <v/>
      </c>
      <c r="W22" s="28" t="str">
        <f t="shared" ca="1" si="10"/>
        <v/>
      </c>
      <c r="X22" s="28" t="str">
        <f t="shared" ca="1" si="11"/>
        <v>3.3) Ingreso de los recicladores de base</v>
      </c>
      <c r="Y22" s="28">
        <f t="shared" ca="1" si="12"/>
        <v>3.8781670473737684</v>
      </c>
      <c r="AD22" s="28" t="str">
        <f t="shared" si="20"/>
        <v>1.1.3) 3.¿Son las políticas municipales suficientemente estables para garantizar la continuidad en materia de políticas de reciclaje inclusivo?</v>
      </c>
      <c r="AE22" s="28">
        <f t="shared" ca="1" si="13"/>
        <v>50</v>
      </c>
      <c r="AF22" s="28">
        <f t="shared" si="14"/>
        <v>0</v>
      </c>
      <c r="AG22" s="28">
        <f t="shared" si="15"/>
        <v>0</v>
      </c>
      <c r="AH22" s="28">
        <f t="shared" si="16"/>
        <v>0</v>
      </c>
      <c r="AI22" s="28" t="str">
        <f t="shared" si="21"/>
        <v>NORM1.1.3</v>
      </c>
    </row>
    <row r="23" spans="1:35">
      <c r="A23" s="28" t="str">
        <f>tblIndicators!D8</f>
        <v>NORM1.1.4</v>
      </c>
      <c r="B23" s="28">
        <f>tblIndicators!A8</f>
        <v>7</v>
      </c>
      <c r="C23" s="28">
        <f>IF(B23="",0,INDEX(tblIndicators!$F$2:$F$52,$B23))</f>
        <v>3</v>
      </c>
      <c r="E23" s="28" t="str">
        <f>IF(B23="","",IF(C23&gt;=1,TRIM(INDEX(tblIndicators!$AE$2:$AE$52,iCountryP!$B23)),UPPER(INDEX(tblIndicators!$AE$2:$AE$52,iCountryP!$B23))))</f>
        <v>1.1.4) 4.¿Existe un presupuesto (o mecanismo de financiación) municipal asignado para el reciclaje inclusivo?</v>
      </c>
      <c r="F23" s="28" t="str">
        <f>IF(B23="","",INDEX(tblIndicators!$N$2:$N$52,iCountryP!$B23))</f>
        <v>Scored 0-100 where 100 = most capable</v>
      </c>
      <c r="G23" s="28">
        <f t="shared" ca="1" si="0"/>
        <v>7</v>
      </c>
      <c r="H23" s="28">
        <f t="shared" ca="1" si="1"/>
        <v>6</v>
      </c>
      <c r="I23" s="32" t="str">
        <f t="shared" ca="1" si="17"/>
        <v>=7</v>
      </c>
      <c r="J23" s="28">
        <f t="shared" ca="1" si="2"/>
        <v>0</v>
      </c>
      <c r="K23" s="34" t="str">
        <f t="shared" ca="1" si="18"/>
        <v/>
      </c>
      <c r="L23" s="35"/>
      <c r="M23" s="33">
        <f t="shared" si="3"/>
        <v>0</v>
      </c>
      <c r="N23" s="28">
        <f t="shared" si="19"/>
        <v>0</v>
      </c>
      <c r="O23" s="28">
        <f>tblIndicators!V8</f>
        <v>0</v>
      </c>
      <c r="P23" s="28" t="e">
        <f t="shared" ca="1" si="4"/>
        <v>#N/A</v>
      </c>
      <c r="Q23" s="28" t="e">
        <f t="shared" ca="1" si="5"/>
        <v>#N/A</v>
      </c>
      <c r="R23" s="28">
        <f t="shared" ca="1" si="6"/>
        <v>47</v>
      </c>
      <c r="T23" s="28" t="str">
        <f t="shared" ca="1" si="7"/>
        <v/>
      </c>
      <c r="U23" s="28" t="str">
        <f t="shared" ca="1" si="8"/>
        <v/>
      </c>
      <c r="V23" s="28" t="str">
        <f t="shared" ca="1" si="9"/>
        <v/>
      </c>
      <c r="W23" s="28" t="str">
        <f t="shared" ca="1" si="10"/>
        <v/>
      </c>
      <c r="X23" s="28" t="str">
        <f t="shared" ca="1" si="11"/>
        <v>3.4) Condiciones de trabajo de los recicladores de base</v>
      </c>
      <c r="Y23" s="28">
        <f t="shared" ca="1" si="12"/>
        <v>0</v>
      </c>
      <c r="AD23" s="28" t="str">
        <f t="shared" si="20"/>
        <v>1.1.4) 4.¿Existe un presupuesto (o mecanismo de financiación) municipal asignado para el reciclaje inclusivo?</v>
      </c>
      <c r="AE23" s="28">
        <f t="shared" ca="1" si="13"/>
        <v>0</v>
      </c>
      <c r="AF23" s="28">
        <f t="shared" si="14"/>
        <v>0</v>
      </c>
      <c r="AG23" s="28">
        <f t="shared" si="15"/>
        <v>0</v>
      </c>
      <c r="AH23" s="28">
        <f t="shared" si="16"/>
        <v>0</v>
      </c>
      <c r="AI23" s="28" t="str">
        <f t="shared" si="21"/>
        <v>NORM1.1.4</v>
      </c>
    </row>
    <row r="24" spans="1:35">
      <c r="A24" s="28" t="str">
        <f>tblIndicators!D9</f>
        <v>NORM1.2</v>
      </c>
      <c r="B24" s="28">
        <f>tblIndicators!A9</f>
        <v>8</v>
      </c>
      <c r="C24" s="28">
        <f>IF(B24="",0,INDEX(tblIndicators!$F$2:$F$52,$B24))</f>
        <v>2</v>
      </c>
      <c r="E24" s="28" t="str">
        <f>IF(B24="","",IF(C24&gt;=1,TRIM(INDEX(tblIndicators!$AE$2:$AE$52,iCountryP!$B24)),UPPER(INDEX(tblIndicators!$AE$2:$AE$52,iCountryP!$B24))))</f>
        <v>1.2) Integración del reciclador de base</v>
      </c>
      <c r="F24" s="28" t="str">
        <f>IF(B24="","",INDEX(tblIndicators!$N$2:$N$52,iCountryP!$B24))</f>
        <v>Scored 0-100 where 100 = most capable</v>
      </c>
      <c r="G24" s="28">
        <f t="shared" ca="1" si="0"/>
        <v>7</v>
      </c>
      <c r="H24" s="28">
        <f t="shared" ca="1" si="1"/>
        <v>3</v>
      </c>
      <c r="I24" s="32" t="str">
        <f t="shared" ca="1" si="17"/>
        <v>=7</v>
      </c>
      <c r="J24" s="28">
        <f t="shared" ca="1" si="2"/>
        <v>31.25</v>
      </c>
      <c r="K24" s="34" t="str">
        <f t="shared" ca="1" si="18"/>
        <v>||||||||||</v>
      </c>
      <c r="L24" s="35"/>
      <c r="M24" s="33" t="str">
        <f t="shared" si="3"/>
        <v/>
      </c>
      <c r="N24" s="28">
        <f t="shared" ca="1" si="19"/>
        <v>1</v>
      </c>
      <c r="O24" s="28" t="str">
        <f>tblIndicators!V9</f>
        <v>0.0</v>
      </c>
      <c r="P24" s="28" t="e">
        <f t="shared" ca="1" si="4"/>
        <v>#N/A</v>
      </c>
      <c r="Q24" s="28" t="e">
        <f t="shared" ca="1" si="5"/>
        <v>#N/A</v>
      </c>
      <c r="R24" s="28" t="e">
        <f t="shared" ca="1" si="6"/>
        <v>#N/A</v>
      </c>
      <c r="T24" s="28" t="str">
        <f t="shared" ca="1" si="7"/>
        <v/>
      </c>
      <c r="U24" s="28" t="str">
        <f t="shared" ca="1" si="8"/>
        <v/>
      </c>
      <c r="V24" s="28" t="str">
        <f t="shared" ca="1" si="9"/>
        <v/>
      </c>
      <c r="W24" s="28" t="str">
        <f t="shared" ca="1" si="10"/>
        <v/>
      </c>
      <c r="X24" s="28" t="str">
        <f t="shared" ca="1" si="11"/>
        <v/>
      </c>
      <c r="Y24" s="28" t="str">
        <f t="shared" ca="1" si="12"/>
        <v/>
      </c>
      <c r="AD24" s="28" t="str">
        <f t="shared" si="20"/>
        <v>1.2) Integración del reciclador de base</v>
      </c>
      <c r="AE24" s="28">
        <f t="shared" ca="1" si="13"/>
        <v>31.25</v>
      </c>
      <c r="AF24" s="28">
        <f t="shared" si="14"/>
        <v>0</v>
      </c>
      <c r="AG24" s="28">
        <f t="shared" si="15"/>
        <v>0</v>
      </c>
      <c r="AH24" s="28">
        <f t="shared" si="16"/>
        <v>0</v>
      </c>
      <c r="AI24" s="28" t="str">
        <f t="shared" si="21"/>
        <v>NORM1.2</v>
      </c>
    </row>
    <row r="25" spans="1:35">
      <c r="A25" s="28" t="str">
        <f>tblIndicators!D10</f>
        <v>NORM1.2.1</v>
      </c>
      <c r="B25" s="28">
        <f>tblIndicators!A10</f>
        <v>9</v>
      </c>
      <c r="C25" s="28">
        <f>IF(B25="",0,INDEX(tblIndicators!$F$2:$F$52,$B25))</f>
        <v>3</v>
      </c>
      <c r="E25" s="28" t="str">
        <f>IF(B25="","",IF(C25&gt;=1,TRIM(INDEX(tblIndicators!$AE$2:$AE$52,iCountryP!$B25)),UPPER(INDEX(tblIndicators!$AE$2:$AE$52,iCountryP!$B25))))</f>
        <v>1.2.1) 5.¿Existe reconocimiento legal de la ocupación de reciclador de base?</v>
      </c>
      <c r="F25" s="28" t="str">
        <f>IF(B25="","",INDEX(tblIndicators!$N$2:$N$52,iCountryP!$B25))</f>
        <v>Scored 0-100 where 100 = most capable</v>
      </c>
      <c r="G25" s="28">
        <f t="shared" ca="1" si="0"/>
        <v>5</v>
      </c>
      <c r="H25" s="28">
        <f t="shared" ca="1" si="1"/>
        <v>8</v>
      </c>
      <c r="I25" s="32" t="str">
        <f t="shared" ca="1" si="17"/>
        <v>=5</v>
      </c>
      <c r="J25" s="28">
        <f t="shared" ca="1" si="2"/>
        <v>0</v>
      </c>
      <c r="K25" s="34" t="str">
        <f t="shared" ca="1" si="18"/>
        <v/>
      </c>
      <c r="L25" s="35"/>
      <c r="M25" s="33">
        <f t="shared" si="3"/>
        <v>0</v>
      </c>
      <c r="N25" s="28">
        <f t="shared" si="19"/>
        <v>0</v>
      </c>
      <c r="O25" s="28">
        <f>tblIndicators!V10</f>
        <v>0</v>
      </c>
      <c r="P25" s="28" t="e">
        <f t="shared" ca="1" si="4"/>
        <v>#N/A</v>
      </c>
      <c r="Q25" s="28" t="e">
        <f t="shared" ca="1" si="5"/>
        <v>#N/A</v>
      </c>
      <c r="R25" s="28" t="e">
        <f t="shared" ca="1" si="6"/>
        <v>#N/A</v>
      </c>
      <c r="T25" s="28" t="str">
        <f t="shared" ca="1" si="7"/>
        <v/>
      </c>
      <c r="U25" s="28" t="str">
        <f t="shared" ca="1" si="8"/>
        <v/>
      </c>
      <c r="V25" s="28" t="str">
        <f t="shared" ca="1" si="9"/>
        <v/>
      </c>
      <c r="W25" s="28" t="str">
        <f t="shared" ca="1" si="10"/>
        <v/>
      </c>
      <c r="X25" s="28" t="str">
        <f t="shared" ca="1" si="11"/>
        <v/>
      </c>
      <c r="Y25" s="28" t="str">
        <f t="shared" ca="1" si="12"/>
        <v/>
      </c>
      <c r="AD25" s="28" t="str">
        <f t="shared" si="20"/>
        <v>1.2.1) 5.¿Existe reconocimiento legal de la ocupación de reciclador de base?</v>
      </c>
      <c r="AE25" s="28">
        <f t="shared" ca="1" si="13"/>
        <v>0</v>
      </c>
      <c r="AF25" s="28">
        <f t="shared" si="14"/>
        <v>0</v>
      </c>
      <c r="AG25" s="28">
        <f t="shared" si="15"/>
        <v>0</v>
      </c>
      <c r="AH25" s="28">
        <f t="shared" si="16"/>
        <v>0</v>
      </c>
      <c r="AI25" s="28" t="str">
        <f t="shared" si="21"/>
        <v>NORM1.2.1</v>
      </c>
    </row>
    <row r="26" spans="1:35">
      <c r="A26" s="28" t="str">
        <f>tblIndicators!D11</f>
        <v>NORM1.2.2</v>
      </c>
      <c r="B26" s="28">
        <f>tblIndicators!A11</f>
        <v>10</v>
      </c>
      <c r="C26" s="28">
        <f>IF(B26="",0,INDEX(tblIndicators!$F$2:$F$52,$B26))</f>
        <v>3</v>
      </c>
      <c r="E26" s="28" t="str">
        <f>IF(B26="","",IF(C26&gt;=1,TRIM(INDEX(tblIndicators!$AE$2:$AE$52,iCountryP!$B26)),UPPER(INDEX(tblIndicators!$AE$2:$AE$52,iCountryP!$B26))))</f>
        <v>1.2.2) 6.¿Se reconoce a los recicladores de base como prestadores de servicio en la gestión de residuos?</v>
      </c>
      <c r="F26" s="28" t="str">
        <f>IF(B26="","",INDEX(tblIndicators!$N$2:$N$52,iCountryP!$B26))</f>
        <v>Scored 0-100 where 100 = most capable</v>
      </c>
      <c r="G26" s="28">
        <f t="shared" ca="1" si="0"/>
        <v>4</v>
      </c>
      <c r="H26" s="28">
        <f t="shared" ca="1" si="1"/>
        <v>5</v>
      </c>
      <c r="I26" s="32" t="str">
        <f t="shared" ca="1" si="17"/>
        <v>=4</v>
      </c>
      <c r="J26" s="28">
        <f t="shared" ca="1" si="2"/>
        <v>50</v>
      </c>
      <c r="K26" s="34" t="str">
        <f t="shared" ca="1" si="18"/>
        <v>||||||||||||||||</v>
      </c>
      <c r="L26" s="35"/>
      <c r="M26" s="33">
        <f t="shared" si="3"/>
        <v>1</v>
      </c>
      <c r="N26" s="28">
        <f t="shared" si="19"/>
        <v>0</v>
      </c>
      <c r="O26" s="28">
        <f>tblIndicators!V11</f>
        <v>0</v>
      </c>
      <c r="P26" s="28" t="e">
        <f t="shared" ca="1" si="4"/>
        <v>#N/A</v>
      </c>
      <c r="Q26" s="28" t="e">
        <f t="shared" ca="1" si="5"/>
        <v>#N/A</v>
      </c>
      <c r="R26" s="28" t="e">
        <f t="shared" ca="1" si="6"/>
        <v>#N/A</v>
      </c>
      <c r="T26" s="28" t="str">
        <f t="shared" ca="1" si="7"/>
        <v/>
      </c>
      <c r="U26" s="28" t="str">
        <f t="shared" ca="1" si="8"/>
        <v/>
      </c>
      <c r="V26" s="28" t="str">
        <f t="shared" ca="1" si="9"/>
        <v/>
      </c>
      <c r="W26" s="28" t="str">
        <f t="shared" ca="1" si="10"/>
        <v/>
      </c>
      <c r="X26" s="28" t="str">
        <f t="shared" ca="1" si="11"/>
        <v/>
      </c>
      <c r="Y26" s="28" t="str">
        <f t="shared" ca="1" si="12"/>
        <v/>
      </c>
      <c r="AD26" s="28" t="str">
        <f t="shared" si="20"/>
        <v>1.2.2) 6.¿Se reconoce a los recicladores de base como prestadores de servicio en la gestión de residuos?</v>
      </c>
      <c r="AE26" s="28">
        <f t="shared" ca="1" si="13"/>
        <v>50</v>
      </c>
      <c r="AF26" s="28">
        <f t="shared" si="14"/>
        <v>0</v>
      </c>
      <c r="AG26" s="28">
        <f t="shared" si="15"/>
        <v>0</v>
      </c>
      <c r="AH26" s="28">
        <f t="shared" si="16"/>
        <v>0</v>
      </c>
      <c r="AI26" s="28" t="str">
        <f t="shared" si="21"/>
        <v>NORM1.2.2</v>
      </c>
    </row>
    <row r="27" spans="1:35">
      <c r="A27" s="28" t="str">
        <f>tblIndicators!D12</f>
        <v>NORM1.2.3</v>
      </c>
      <c r="B27" s="28">
        <f>tblIndicators!A12</f>
        <v>11</v>
      </c>
      <c r="C27" s="28">
        <f>IF(B27="",0,INDEX(tblIndicators!$F$2:$F$52,$B27))</f>
        <v>3</v>
      </c>
      <c r="E27" s="28" t="str">
        <f>IF(B27="","",IF(C27&gt;=1,TRIM(INDEX(tblIndicators!$AE$2:$AE$52,iCountryP!$B27)),UPPER(INDEX(tblIndicators!$AE$2:$AE$52,iCountryP!$B27))))</f>
        <v>1.2.3) 7.¿Se ha identificado la población de recicladores de base a través de un censo?</v>
      </c>
      <c r="F27" s="28" t="str">
        <f>IF(B27="","",INDEX(tblIndicators!$N$2:$N$52,iCountryP!$B27))</f>
        <v>Scored 0-100 where 100 = most capable</v>
      </c>
      <c r="G27" s="28">
        <f t="shared" ca="1" si="0"/>
        <v>6</v>
      </c>
      <c r="H27" s="28">
        <f t="shared" ca="1" si="1"/>
        <v>7</v>
      </c>
      <c r="I27" s="32" t="str">
        <f t="shared" ca="1" si="17"/>
        <v>=6</v>
      </c>
      <c r="J27" s="28">
        <f t="shared" ca="1" si="2"/>
        <v>0</v>
      </c>
      <c r="K27" s="34" t="str">
        <f t="shared" ca="1" si="18"/>
        <v/>
      </c>
      <c r="L27" s="35"/>
      <c r="M27" s="33">
        <f t="shared" si="3"/>
        <v>0</v>
      </c>
      <c r="N27" s="28">
        <f t="shared" si="19"/>
        <v>0</v>
      </c>
      <c r="O27" s="28">
        <f>tblIndicators!V12</f>
        <v>0</v>
      </c>
      <c r="P27" s="28" t="e">
        <f t="shared" ca="1" si="4"/>
        <v>#N/A</v>
      </c>
      <c r="Q27" s="28" t="e">
        <f t="shared" ca="1" si="5"/>
        <v>#N/A</v>
      </c>
      <c r="R27" s="28" t="e">
        <f t="shared" ca="1" si="6"/>
        <v>#N/A</v>
      </c>
      <c r="T27" s="28" t="str">
        <f t="shared" ca="1" si="7"/>
        <v/>
      </c>
      <c r="U27" s="28" t="str">
        <f t="shared" ca="1" si="8"/>
        <v/>
      </c>
      <c r="V27" s="28" t="str">
        <f t="shared" ca="1" si="9"/>
        <v/>
      </c>
      <c r="W27" s="28" t="str">
        <f t="shared" ca="1" si="10"/>
        <v/>
      </c>
      <c r="X27" s="28" t="str">
        <f t="shared" ca="1" si="11"/>
        <v/>
      </c>
      <c r="Y27" s="28" t="str">
        <f t="shared" ca="1" si="12"/>
        <v/>
      </c>
      <c r="AD27" s="28" t="str">
        <f t="shared" si="20"/>
        <v>1.2.3) 7.¿Se ha identificado la población de recicladores de base a través de un censo?</v>
      </c>
      <c r="AE27" s="28">
        <f t="shared" ca="1" si="13"/>
        <v>0</v>
      </c>
      <c r="AF27" s="28">
        <f t="shared" si="14"/>
        <v>0</v>
      </c>
      <c r="AG27" s="28">
        <f t="shared" si="15"/>
        <v>0</v>
      </c>
      <c r="AH27" s="28">
        <f t="shared" si="16"/>
        <v>0</v>
      </c>
      <c r="AI27" s="28" t="str">
        <f t="shared" si="21"/>
        <v>NORM1.2.3</v>
      </c>
    </row>
    <row r="28" spans="1:35">
      <c r="A28" s="28" t="str">
        <f>tblIndicators!D13</f>
        <v>NORM1.2.4</v>
      </c>
      <c r="B28" s="28">
        <f>tblIndicators!A13</f>
        <v>12</v>
      </c>
      <c r="C28" s="28">
        <f>IF(B28="",0,INDEX(tblIndicators!$F$2:$F$52,$B28))</f>
        <v>3</v>
      </c>
      <c r="E28" s="28" t="str">
        <f>IF(B28="","",IF(C28&gt;=1,TRIM(INDEX(tblIndicators!$AE$2:$AE$52,iCountryP!$B28)),UPPER(INDEX(tblIndicators!$AE$2:$AE$52,iCountryP!$B28))))</f>
        <v>1.2.4) 8.¿Cuál es el grado de transparencia e inclusión en los procesos de licitación para el reciclaje?</v>
      </c>
      <c r="F28" s="28" t="str">
        <f>IF(B28="","",INDEX(tblIndicators!$N$2:$N$52,iCountryP!$B28))</f>
        <v>Scored 0-100 where 100 = most capable</v>
      </c>
      <c r="G28" s="28">
        <f t="shared" ca="1" si="0"/>
        <v>1</v>
      </c>
      <c r="H28" s="28">
        <f t="shared" ca="1" si="1"/>
        <v>6</v>
      </c>
      <c r="I28" s="32" t="str">
        <f t="shared" ca="1" si="17"/>
        <v>=1</v>
      </c>
      <c r="J28" s="28">
        <f t="shared" ca="1" si="2"/>
        <v>50</v>
      </c>
      <c r="K28" s="34" t="str">
        <f t="shared" ca="1" si="18"/>
        <v>||||||||||||||||</v>
      </c>
      <c r="L28" s="35"/>
      <c r="M28" s="33">
        <f t="shared" si="3"/>
        <v>1</v>
      </c>
      <c r="N28" s="28">
        <f t="shared" si="19"/>
        <v>0</v>
      </c>
      <c r="O28" s="28">
        <f>tblIndicators!V13</f>
        <v>0</v>
      </c>
      <c r="P28" s="28" t="e">
        <f t="shared" ca="1" si="4"/>
        <v>#N/A</v>
      </c>
      <c r="Q28" s="28" t="e">
        <f t="shared" ca="1" si="5"/>
        <v>#N/A</v>
      </c>
      <c r="R28" s="28" t="e">
        <f t="shared" ca="1" si="6"/>
        <v>#N/A</v>
      </c>
      <c r="T28" s="28" t="str">
        <f t="shared" ca="1" si="7"/>
        <v/>
      </c>
      <c r="U28" s="28" t="str">
        <f t="shared" ca="1" si="8"/>
        <v/>
      </c>
      <c r="V28" s="28" t="str">
        <f t="shared" ca="1" si="9"/>
        <v/>
      </c>
      <c r="W28" s="28" t="str">
        <f t="shared" ca="1" si="10"/>
        <v/>
      </c>
      <c r="X28" s="28" t="str">
        <f t="shared" ca="1" si="11"/>
        <v/>
      </c>
      <c r="Y28" s="28" t="str">
        <f t="shared" ca="1" si="12"/>
        <v/>
      </c>
      <c r="AD28" s="28" t="str">
        <f t="shared" si="20"/>
        <v>1.2.4) 8.¿Cuál es el grado de transparencia e inclusión en los procesos de licitación para el reciclaje?</v>
      </c>
      <c r="AE28" s="28">
        <f t="shared" ca="1" si="13"/>
        <v>50</v>
      </c>
      <c r="AF28" s="28">
        <f t="shared" si="14"/>
        <v>0</v>
      </c>
      <c r="AG28" s="28">
        <f t="shared" si="15"/>
        <v>0</v>
      </c>
      <c r="AH28" s="28">
        <f t="shared" si="16"/>
        <v>0</v>
      </c>
      <c r="AI28" s="28" t="str">
        <f t="shared" si="21"/>
        <v>NORM1.2.4</v>
      </c>
    </row>
    <row r="29" spans="1:35">
      <c r="A29" s="28" t="str">
        <f>tblIndicators!D14</f>
        <v>NORM1.2.5</v>
      </c>
      <c r="B29" s="28">
        <f>tblIndicators!A14</f>
        <v>13</v>
      </c>
      <c r="C29" s="28">
        <f>IF(B29="",0,INDEX(tblIndicators!$F$2:$F$52,$B29))</f>
        <v>3</v>
      </c>
      <c r="E29" s="28" t="str">
        <f>IF(B29="","",IF(C29&gt;=1,TRIM(INDEX(tblIndicators!$AE$2:$AE$52,iCountryP!$B29)),UPPER(INDEX(tblIndicators!$AE$2:$AE$52,iCountryP!$B29))))</f>
        <v>1.2.5) 9.¿La normativa/ estrategia municipal de residuos sólidos: fue desarrollada de manera participativa?</v>
      </c>
      <c r="F29" s="28" t="str">
        <f>IF(B29="","",INDEX(tblIndicators!$N$2:$N$52,iCountryP!$B29))</f>
        <v>Scored 0-100 where 100 = most capable</v>
      </c>
      <c r="G29" s="28">
        <f t="shared" ca="1" si="0"/>
        <v>1</v>
      </c>
      <c r="H29" s="28">
        <f t="shared" ca="1" si="1"/>
        <v>3</v>
      </c>
      <c r="I29" s="32" t="str">
        <f t="shared" ca="1" si="17"/>
        <v>=1</v>
      </c>
      <c r="J29" s="28">
        <f t="shared" ca="1" si="2"/>
        <v>100</v>
      </c>
      <c r="K29" s="34" t="str">
        <f t="shared" ca="1" si="18"/>
        <v>|||||||||||||||||||||||||||||||||</v>
      </c>
      <c r="L29" s="35"/>
      <c r="M29" s="33">
        <f t="shared" si="3"/>
        <v>2</v>
      </c>
      <c r="N29" s="28">
        <f t="shared" si="19"/>
        <v>0</v>
      </c>
      <c r="O29" s="28">
        <f>tblIndicators!V14</f>
        <v>0</v>
      </c>
      <c r="P29" s="28" t="e">
        <f t="shared" ca="1" si="4"/>
        <v>#N/A</v>
      </c>
      <c r="Q29" s="28" t="e">
        <f t="shared" ca="1" si="5"/>
        <v>#N/A</v>
      </c>
      <c r="R29" s="28" t="e">
        <f t="shared" ca="1" si="6"/>
        <v>#N/A</v>
      </c>
      <c r="T29" s="28" t="str">
        <f t="shared" ca="1" si="7"/>
        <v/>
      </c>
      <c r="U29" s="28" t="str">
        <f t="shared" ca="1" si="8"/>
        <v/>
      </c>
      <c r="V29" s="28" t="str">
        <f t="shared" ca="1" si="9"/>
        <v/>
      </c>
      <c r="W29" s="28" t="str">
        <f t="shared" ca="1" si="10"/>
        <v/>
      </c>
      <c r="X29" s="28" t="str">
        <f t="shared" ca="1" si="11"/>
        <v/>
      </c>
      <c r="Y29" s="28" t="str">
        <f t="shared" ca="1" si="12"/>
        <v/>
      </c>
      <c r="AD29" s="28" t="str">
        <f t="shared" si="20"/>
        <v>1.2.5) 9.¿La normativa/ estrategia municipal de residuos sólidos: fue desarrollada de manera participativa?</v>
      </c>
      <c r="AE29" s="28">
        <f t="shared" ca="1" si="13"/>
        <v>100</v>
      </c>
      <c r="AF29" s="28">
        <f t="shared" si="14"/>
        <v>0</v>
      </c>
      <c r="AG29" s="28">
        <f t="shared" si="15"/>
        <v>0</v>
      </c>
      <c r="AH29" s="28">
        <f t="shared" si="16"/>
        <v>0</v>
      </c>
      <c r="AI29" s="28" t="str">
        <f t="shared" si="21"/>
        <v>NORM1.2.5</v>
      </c>
    </row>
    <row r="30" spans="1:35">
      <c r="A30" s="28" t="str">
        <f>tblIndicators!D15</f>
        <v>NORM1.2.6</v>
      </c>
      <c r="B30" s="28">
        <f>tblIndicators!A15</f>
        <v>14</v>
      </c>
      <c r="C30" s="28">
        <f>IF(B30="",0,INDEX(tblIndicators!$F$2:$F$52,$B30))</f>
        <v>3</v>
      </c>
      <c r="E30" s="28" t="str">
        <f>IF(B30="","",IF(C30&gt;=1,TRIM(INDEX(tblIndicators!$AE$2:$AE$52,iCountryP!$B30)),UPPER(INDEX(tblIndicators!$AE$2:$AE$52,iCountryP!$B30))))</f>
        <v>1.2.6) 10.¿Hay programas de formación/capacitación a nivel municipal?</v>
      </c>
      <c r="F30" s="28" t="str">
        <f>IF(B30="","",INDEX(tblIndicators!$N$2:$N$52,iCountryP!$B30))</f>
        <v>Scored 0-100 where 100 = most capable</v>
      </c>
      <c r="G30" s="28">
        <f t="shared" ca="1" si="0"/>
        <v>10</v>
      </c>
      <c r="H30" s="28">
        <f t="shared" ca="1" si="1"/>
        <v>3</v>
      </c>
      <c r="I30" s="32" t="str">
        <f t="shared" ca="1" si="17"/>
        <v>=10</v>
      </c>
      <c r="J30" s="28">
        <f t="shared" ca="1" si="2"/>
        <v>0</v>
      </c>
      <c r="K30" s="34" t="str">
        <f t="shared" ca="1" si="18"/>
        <v/>
      </c>
      <c r="L30" s="35"/>
      <c r="M30" s="33">
        <f t="shared" si="3"/>
        <v>0</v>
      </c>
      <c r="N30" s="28">
        <f t="shared" si="19"/>
        <v>0</v>
      </c>
      <c r="O30" s="28">
        <f>tblIndicators!V15</f>
        <v>0</v>
      </c>
      <c r="P30" s="28" t="e">
        <f t="shared" ca="1" si="4"/>
        <v>#N/A</v>
      </c>
      <c r="Q30" s="28" t="e">
        <f t="shared" ca="1" si="5"/>
        <v>#N/A</v>
      </c>
      <c r="R30" s="28" t="e">
        <f t="shared" ca="1" si="6"/>
        <v>#N/A</v>
      </c>
      <c r="T30" s="28" t="str">
        <f t="shared" ca="1" si="7"/>
        <v/>
      </c>
      <c r="U30" s="28" t="str">
        <f t="shared" ca="1" si="8"/>
        <v/>
      </c>
      <c r="V30" s="28" t="str">
        <f t="shared" ca="1" si="9"/>
        <v/>
      </c>
      <c r="W30" s="28" t="str">
        <f t="shared" ca="1" si="10"/>
        <v/>
      </c>
      <c r="X30" s="28" t="str">
        <f t="shared" ca="1" si="11"/>
        <v/>
      </c>
      <c r="Y30" s="28" t="str">
        <f t="shared" ca="1" si="12"/>
        <v/>
      </c>
      <c r="AD30" s="28" t="str">
        <f t="shared" si="20"/>
        <v>1.2.6) 10.¿Hay programas de formación/capacitación a nivel municipal?</v>
      </c>
      <c r="AE30" s="28">
        <f t="shared" ca="1" si="13"/>
        <v>0</v>
      </c>
      <c r="AF30" s="28">
        <f t="shared" si="14"/>
        <v>0</v>
      </c>
      <c r="AG30" s="28">
        <f t="shared" si="15"/>
        <v>0</v>
      </c>
      <c r="AH30" s="28">
        <f t="shared" si="16"/>
        <v>0</v>
      </c>
      <c r="AI30" s="28" t="str">
        <f t="shared" si="21"/>
        <v>NORM1.2.6</v>
      </c>
    </row>
    <row r="31" spans="1:35">
      <c r="A31" s="28" t="str">
        <f>tblIndicators!D16</f>
        <v>NORM1.2.7</v>
      </c>
      <c r="B31" s="28">
        <f>tblIndicators!A16</f>
        <v>15</v>
      </c>
      <c r="C31" s="28">
        <f>IF(B31="",0,INDEX(tblIndicators!$F$2:$F$52,$B31))</f>
        <v>3</v>
      </c>
      <c r="E31" s="28" t="str">
        <f>IF(B31="","",IF(C31&gt;=1,TRIM(INDEX(tblIndicators!$AE$2:$AE$52,iCountryP!$B31)),UPPER(INDEX(tblIndicators!$AE$2:$AE$52,iCountryP!$B31))))</f>
        <v>1.2.7) 11.¿Existen incentivos, programas y/o acciones concretas para el fortalecimiento de la ocupación del reciclador de base?</v>
      </c>
      <c r="F31" s="28" t="str">
        <f>IF(B31="","",INDEX(tblIndicators!$N$2:$N$52,iCountryP!$B31))</f>
        <v>Scored 0-100 where 100 = most capable</v>
      </c>
      <c r="G31" s="28">
        <f t="shared" ca="1" si="0"/>
        <v>5</v>
      </c>
      <c r="H31" s="28">
        <f t="shared" ca="1" si="1"/>
        <v>6</v>
      </c>
      <c r="I31" s="32" t="str">
        <f t="shared" ca="1" si="17"/>
        <v>=5</v>
      </c>
      <c r="J31" s="28">
        <f t="shared" ca="1" si="2"/>
        <v>50</v>
      </c>
      <c r="K31" s="34" t="str">
        <f t="shared" ca="1" si="18"/>
        <v>||||||||||||||||</v>
      </c>
      <c r="L31" s="35"/>
      <c r="M31" s="33">
        <f t="shared" si="3"/>
        <v>1</v>
      </c>
      <c r="N31" s="28">
        <f t="shared" si="19"/>
        <v>0</v>
      </c>
      <c r="O31" s="28">
        <f>tblIndicators!V16</f>
        <v>0</v>
      </c>
      <c r="P31" s="28" t="e">
        <f t="shared" ca="1" si="4"/>
        <v>#N/A</v>
      </c>
      <c r="Q31" s="28" t="e">
        <f t="shared" ca="1" si="5"/>
        <v>#N/A</v>
      </c>
      <c r="R31" s="28" t="e">
        <f t="shared" ca="1" si="6"/>
        <v>#N/A</v>
      </c>
      <c r="T31" s="28" t="str">
        <f t="shared" ca="1" si="7"/>
        <v/>
      </c>
      <c r="U31" s="28" t="str">
        <f t="shared" ca="1" si="8"/>
        <v/>
      </c>
      <c r="V31" s="28" t="str">
        <f t="shared" ca="1" si="9"/>
        <v/>
      </c>
      <c r="W31" s="28" t="str">
        <f t="shared" ca="1" si="10"/>
        <v/>
      </c>
      <c r="X31" s="28" t="str">
        <f t="shared" ca="1" si="11"/>
        <v/>
      </c>
      <c r="Y31" s="28" t="str">
        <f t="shared" ca="1" si="12"/>
        <v/>
      </c>
      <c r="AD31" s="28" t="str">
        <f t="shared" si="20"/>
        <v>1.2.7) 11.¿Existen incentivos, programas y/o acciones concretas para el fortalecimiento de la ocupación del reciclador de base?</v>
      </c>
      <c r="AE31" s="28">
        <f t="shared" ca="1" si="13"/>
        <v>50</v>
      </c>
      <c r="AF31" s="28">
        <f t="shared" si="14"/>
        <v>0</v>
      </c>
      <c r="AG31" s="28">
        <f t="shared" si="15"/>
        <v>0</v>
      </c>
      <c r="AH31" s="28">
        <f t="shared" si="16"/>
        <v>0</v>
      </c>
      <c r="AI31" s="28" t="str">
        <f t="shared" si="21"/>
        <v>NORM1.2.7</v>
      </c>
    </row>
    <row r="32" spans="1:35">
      <c r="A32" s="28" t="str">
        <f>tblIndicators!D17</f>
        <v>NORM1.2.8</v>
      </c>
      <c r="B32" s="28">
        <f>tblIndicators!A17</f>
        <v>16</v>
      </c>
      <c r="C32" s="28">
        <f>IF(B32="",0,INDEX(tblIndicators!$F$2:$F$52,$B32))</f>
        <v>3</v>
      </c>
      <c r="E32" s="28" t="str">
        <f>IF(B32="","",IF(C32&gt;=1,TRIM(INDEX(tblIndicators!$AE$2:$AE$52,iCountryP!$B32)),UPPER(INDEX(tblIndicators!$AE$2:$AE$52,iCountryP!$B32))))</f>
        <v>1.2.8) 12.¿Existen incentivos de reciclaje para los usuarios?</v>
      </c>
      <c r="F32" s="28" t="str">
        <f>IF(B32="","",INDEX(tblIndicators!$N$2:$N$52,iCountryP!$B32))</f>
        <v>Scored 0-100 where 100 = most capable</v>
      </c>
      <c r="G32" s="28">
        <f t="shared" ca="1" si="0"/>
        <v>6</v>
      </c>
      <c r="H32" s="28">
        <f t="shared" ca="1" si="1"/>
        <v>7</v>
      </c>
      <c r="I32" s="32" t="str">
        <f t="shared" ca="1" si="17"/>
        <v>=6</v>
      </c>
      <c r="J32" s="28">
        <f t="shared" ca="1" si="2"/>
        <v>0</v>
      </c>
      <c r="K32" s="34" t="str">
        <f t="shared" ca="1" si="18"/>
        <v/>
      </c>
      <c r="L32" s="35"/>
      <c r="M32" s="33">
        <f t="shared" si="3"/>
        <v>0</v>
      </c>
      <c r="N32" s="28">
        <f t="shared" si="19"/>
        <v>0</v>
      </c>
      <c r="O32" s="28">
        <f>tblIndicators!V17</f>
        <v>0</v>
      </c>
      <c r="P32" s="28" t="e">
        <f t="shared" ca="1" si="4"/>
        <v>#N/A</v>
      </c>
      <c r="Q32" s="28" t="e">
        <f t="shared" ca="1" si="5"/>
        <v>#N/A</v>
      </c>
      <c r="R32" s="28" t="e">
        <f t="shared" ca="1" si="6"/>
        <v>#N/A</v>
      </c>
      <c r="T32" s="28" t="str">
        <f t="shared" ca="1" si="7"/>
        <v/>
      </c>
      <c r="U32" s="28" t="str">
        <f t="shared" ca="1" si="8"/>
        <v/>
      </c>
      <c r="V32" s="28" t="str">
        <f t="shared" ca="1" si="9"/>
        <v/>
      </c>
      <c r="W32" s="28" t="str">
        <f t="shared" ca="1" si="10"/>
        <v/>
      </c>
      <c r="X32" s="28" t="str">
        <f t="shared" ca="1" si="11"/>
        <v/>
      </c>
      <c r="Y32" s="28" t="str">
        <f t="shared" ca="1" si="12"/>
        <v/>
      </c>
      <c r="AD32" s="28" t="str">
        <f t="shared" si="20"/>
        <v>1.2.8) 12.¿Existen incentivos de reciclaje para los usuarios?</v>
      </c>
      <c r="AE32" s="28">
        <f t="shared" ca="1" si="13"/>
        <v>0</v>
      </c>
      <c r="AF32" s="28">
        <f t="shared" si="14"/>
        <v>0</v>
      </c>
      <c r="AG32" s="28">
        <f t="shared" si="15"/>
        <v>0</v>
      </c>
      <c r="AH32" s="28">
        <f t="shared" si="16"/>
        <v>0</v>
      </c>
      <c r="AI32" s="28" t="str">
        <f t="shared" si="21"/>
        <v>NORM1.2.8</v>
      </c>
    </row>
    <row r="33" spans="1:35">
      <c r="A33" s="28" t="str">
        <f>tblIndicators!D18</f>
        <v>NORM1.3</v>
      </c>
      <c r="B33" s="28">
        <f>tblIndicators!A18</f>
        <v>17</v>
      </c>
      <c r="C33" s="28">
        <f>IF(B33="",0,INDEX(tblIndicators!$F$2:$F$52,$B33))</f>
        <v>2</v>
      </c>
      <c r="E33" s="28" t="str">
        <f>IF(B33="","",IF(C33&gt;=1,TRIM(INDEX(tblIndicators!$AE$2:$AE$52,iCountryP!$B33)),UPPER(INDEX(tblIndicators!$AE$2:$AE$52,iCountryP!$B33))))</f>
        <v>1.3) Generación de información</v>
      </c>
      <c r="F33" s="28" t="str">
        <f>IF(B33="","",INDEX(tblIndicators!$N$2:$N$52,iCountryP!$B33))</f>
        <v>Scored 0-100 where 100 = most capable</v>
      </c>
      <c r="G33" s="28">
        <f t="shared" ca="1" si="0"/>
        <v>5</v>
      </c>
      <c r="H33" s="28">
        <f t="shared" ca="1" si="1"/>
        <v>7</v>
      </c>
      <c r="I33" s="32" t="str">
        <f t="shared" ca="1" si="17"/>
        <v>=5</v>
      </c>
      <c r="J33" s="28">
        <f t="shared" ca="1" si="2"/>
        <v>25</v>
      </c>
      <c r="K33" s="34" t="str">
        <f t="shared" ca="1" si="18"/>
        <v>||||||||</v>
      </c>
      <c r="L33" s="35"/>
      <c r="M33" s="33" t="str">
        <f t="shared" si="3"/>
        <v/>
      </c>
      <c r="N33" s="28">
        <f t="shared" ca="1" si="19"/>
        <v>1</v>
      </c>
      <c r="O33" s="28" t="str">
        <f>tblIndicators!V18</f>
        <v>0.0</v>
      </c>
      <c r="P33" s="28" t="e">
        <f t="shared" ca="1" si="4"/>
        <v>#N/A</v>
      </c>
      <c r="Q33" s="28" t="e">
        <f t="shared" ca="1" si="5"/>
        <v>#N/A</v>
      </c>
      <c r="R33" s="28" t="e">
        <f t="shared" ca="1" si="6"/>
        <v>#N/A</v>
      </c>
      <c r="T33" s="28" t="str">
        <f t="shared" ca="1" si="7"/>
        <v/>
      </c>
      <c r="U33" s="28" t="str">
        <f t="shared" ca="1" si="8"/>
        <v/>
      </c>
      <c r="V33" s="28" t="str">
        <f t="shared" ca="1" si="9"/>
        <v/>
      </c>
      <c r="W33" s="28" t="str">
        <f t="shared" ca="1" si="10"/>
        <v/>
      </c>
      <c r="X33" s="28" t="str">
        <f t="shared" ca="1" si="11"/>
        <v/>
      </c>
      <c r="Y33" s="28" t="str">
        <f t="shared" ca="1" si="12"/>
        <v/>
      </c>
      <c r="AD33" s="28" t="str">
        <f t="shared" si="20"/>
        <v>1.3) Generación de información</v>
      </c>
      <c r="AE33" s="28">
        <f t="shared" ca="1" si="13"/>
        <v>25</v>
      </c>
      <c r="AF33" s="28">
        <f t="shared" si="14"/>
        <v>0</v>
      </c>
      <c r="AG33" s="28">
        <f t="shared" si="15"/>
        <v>0</v>
      </c>
      <c r="AH33" s="28">
        <f t="shared" si="16"/>
        <v>0</v>
      </c>
      <c r="AI33" s="28" t="str">
        <f t="shared" si="21"/>
        <v>NORM1.3</v>
      </c>
    </row>
    <row r="34" spans="1:35">
      <c r="A34" s="28" t="str">
        <f>tblIndicators!D19</f>
        <v>NORM1.3.1</v>
      </c>
      <c r="B34" s="28">
        <f>tblIndicators!A19</f>
        <v>18</v>
      </c>
      <c r="C34" s="28">
        <f>IF(B34="",0,INDEX(tblIndicators!$F$2:$F$52,$B34))</f>
        <v>3</v>
      </c>
      <c r="E34" s="28" t="str">
        <f>IF(B34="","",IF(C34&gt;=1,TRIM(INDEX(tblIndicators!$AE$2:$AE$52,iCountryP!$B34)),UPPER(INDEX(tblIndicators!$AE$2:$AE$52,iCountryP!$B34))))</f>
        <v>1.3.1) 13.¿Hay un sistema municipal de recolección de información de reciclaje inclusivo?</v>
      </c>
      <c r="F34" s="28" t="str">
        <f>IF(B34="","",INDEX(tblIndicators!$N$2:$N$52,iCountryP!$B34))</f>
        <v>Scored 0-100 where 100 = most capable</v>
      </c>
      <c r="G34" s="28">
        <f t="shared" ca="1" si="0"/>
        <v>4</v>
      </c>
      <c r="H34" s="28">
        <f t="shared" ca="1" si="1"/>
        <v>9</v>
      </c>
      <c r="I34" s="32" t="str">
        <f t="shared" ca="1" si="17"/>
        <v>=4</v>
      </c>
      <c r="J34" s="28">
        <f t="shared" ca="1" si="2"/>
        <v>0</v>
      </c>
      <c r="K34" s="34" t="str">
        <f t="shared" ca="1" si="18"/>
        <v/>
      </c>
      <c r="L34" s="35"/>
      <c r="M34" s="33">
        <f t="shared" si="3"/>
        <v>0</v>
      </c>
      <c r="N34" s="28">
        <f t="shared" si="19"/>
        <v>0</v>
      </c>
      <c r="O34" s="28">
        <f>tblIndicators!V19</f>
        <v>0</v>
      </c>
      <c r="P34" s="28" t="e">
        <f t="shared" ca="1" si="4"/>
        <v>#N/A</v>
      </c>
      <c r="Q34" s="28" t="e">
        <f t="shared" ca="1" si="5"/>
        <v>#N/A</v>
      </c>
      <c r="R34" s="28" t="e">
        <f t="shared" ca="1" si="6"/>
        <v>#N/A</v>
      </c>
      <c r="T34" s="28" t="str">
        <f t="shared" ca="1" si="7"/>
        <v/>
      </c>
      <c r="U34" s="28" t="str">
        <f t="shared" ca="1" si="8"/>
        <v/>
      </c>
      <c r="V34" s="28" t="str">
        <f t="shared" ca="1" si="9"/>
        <v/>
      </c>
      <c r="W34" s="28" t="str">
        <f t="shared" ca="1" si="10"/>
        <v/>
      </c>
      <c r="X34" s="28" t="str">
        <f t="shared" ca="1" si="11"/>
        <v/>
      </c>
      <c r="Y34" s="28" t="str">
        <f t="shared" ca="1" si="12"/>
        <v/>
      </c>
      <c r="AD34" s="28" t="str">
        <f t="shared" si="20"/>
        <v>1.3.1) 13.¿Hay un sistema municipal de recolección de información de reciclaje inclusivo?</v>
      </c>
      <c r="AE34" s="28">
        <f t="shared" ca="1" si="13"/>
        <v>0</v>
      </c>
      <c r="AF34" s="28">
        <f t="shared" si="14"/>
        <v>0</v>
      </c>
      <c r="AG34" s="28">
        <f t="shared" si="15"/>
        <v>0</v>
      </c>
      <c r="AH34" s="28">
        <f t="shared" si="16"/>
        <v>0</v>
      </c>
      <c r="AI34" s="28" t="str">
        <f t="shared" si="21"/>
        <v>NORM1.3.1</v>
      </c>
    </row>
    <row r="35" spans="1:35">
      <c r="A35" s="28" t="str">
        <f>tblIndicators!D20</f>
        <v>NORM1.3.2</v>
      </c>
      <c r="B35" s="28">
        <f>tblIndicators!A20</f>
        <v>19</v>
      </c>
      <c r="C35" s="28">
        <f>IF(B35="",0,INDEX(tblIndicators!$F$2:$F$52,$B35))</f>
        <v>3</v>
      </c>
      <c r="E35" s="28" t="str">
        <f>IF(B35="","",IF(C35&gt;=1,TRIM(INDEX(tblIndicators!$AE$2:$AE$52,iCountryP!$B35)),UPPER(INDEX(tblIndicators!$AE$2:$AE$52,iCountryP!$B35))))</f>
        <v>1.3.2) 14.¿Hay campañas de comunicación para fomentar el reciclaje inclusivo con difusión en el municipio?</v>
      </c>
      <c r="F35" s="28" t="str">
        <f>IF(B35="","",INDEX(tblIndicators!$N$2:$N$52,iCountryP!$B35))</f>
        <v>Scored 0-100 where 100 = most capable</v>
      </c>
      <c r="G35" s="28">
        <f t="shared" ca="1" si="0"/>
        <v>2</v>
      </c>
      <c r="H35" s="28">
        <f t="shared" ca="1" si="1"/>
        <v>10</v>
      </c>
      <c r="I35" s="32" t="str">
        <f t="shared" ca="1" si="17"/>
        <v>=2</v>
      </c>
      <c r="J35" s="28">
        <f t="shared" ca="1" si="2"/>
        <v>50</v>
      </c>
      <c r="K35" s="34" t="str">
        <f t="shared" ca="1" si="18"/>
        <v>||||||||||||||||</v>
      </c>
      <c r="L35" s="35"/>
      <c r="M35" s="33">
        <f t="shared" si="3"/>
        <v>1</v>
      </c>
      <c r="N35" s="28">
        <f t="shared" si="19"/>
        <v>0</v>
      </c>
      <c r="O35" s="28">
        <f>tblIndicators!V20</f>
        <v>0</v>
      </c>
      <c r="P35" s="28" t="e">
        <f t="shared" ca="1" si="4"/>
        <v>#N/A</v>
      </c>
      <c r="Q35" s="28" t="e">
        <f t="shared" ca="1" si="5"/>
        <v>#N/A</v>
      </c>
      <c r="R35" s="28" t="e">
        <f t="shared" ca="1" si="6"/>
        <v>#N/A</v>
      </c>
      <c r="T35" s="28" t="str">
        <f t="shared" ca="1" si="7"/>
        <v/>
      </c>
      <c r="U35" s="28" t="str">
        <f t="shared" ca="1" si="8"/>
        <v/>
      </c>
      <c r="V35" s="28" t="str">
        <f t="shared" ca="1" si="9"/>
        <v/>
      </c>
      <c r="W35" s="28" t="str">
        <f t="shared" ca="1" si="10"/>
        <v/>
      </c>
      <c r="X35" s="28" t="str">
        <f t="shared" ca="1" si="11"/>
        <v/>
      </c>
      <c r="Y35" s="28" t="str">
        <f t="shared" ca="1" si="12"/>
        <v/>
      </c>
      <c r="AD35" s="28" t="str">
        <f t="shared" si="20"/>
        <v>1.3.2) 14.¿Hay campañas de comunicación para fomentar el reciclaje inclusivo con difusión en el municipio?</v>
      </c>
      <c r="AE35" s="28">
        <f t="shared" ca="1" si="13"/>
        <v>50</v>
      </c>
      <c r="AF35" s="28">
        <f t="shared" si="14"/>
        <v>0</v>
      </c>
      <c r="AG35" s="28">
        <f t="shared" si="15"/>
        <v>0</v>
      </c>
      <c r="AH35" s="28">
        <f t="shared" si="16"/>
        <v>0</v>
      </c>
      <c r="AI35" s="28" t="str">
        <f t="shared" si="21"/>
        <v>NORM1.3.2</v>
      </c>
    </row>
    <row r="36" spans="1:35">
      <c r="A36" s="28" t="str">
        <f>tblIndicators!D21</f>
        <v>NORM1.4</v>
      </c>
      <c r="B36" s="28">
        <f>tblIndicators!A21</f>
        <v>20</v>
      </c>
      <c r="C36" s="28">
        <f>IF(B36="",0,INDEX(tblIndicators!$F$2:$F$52,$B36))</f>
        <v>2</v>
      </c>
      <c r="E36" s="28" t="str">
        <f>IF(B36="","",IF(C36&gt;=1,TRIM(INDEX(tblIndicators!$AE$2:$AE$52,iCountryP!$B36)),UPPER(INDEX(tblIndicators!$AE$2:$AE$52,iCountryP!$B36))))</f>
        <v>1.4) Salud pública y el medioambiente</v>
      </c>
      <c r="F36" s="28" t="str">
        <f>IF(B36="","",INDEX(tblIndicators!$N$2:$N$52,iCountryP!$B36))</f>
        <v>Scored 0-100 where 100 = most capable</v>
      </c>
      <c r="G36" s="28">
        <f t="shared" ca="1" si="0"/>
        <v>5</v>
      </c>
      <c r="H36" s="28">
        <f t="shared" ca="1" si="1"/>
        <v>8</v>
      </c>
      <c r="I36" s="32" t="str">
        <f t="shared" ca="1" si="17"/>
        <v>=5</v>
      </c>
      <c r="J36" s="28">
        <f t="shared" ca="1" si="2"/>
        <v>50</v>
      </c>
      <c r="K36" s="34" t="str">
        <f t="shared" ca="1" si="18"/>
        <v>||||||||||||||||</v>
      </c>
      <c r="L36" s="35"/>
      <c r="M36" s="33" t="str">
        <f t="shared" si="3"/>
        <v/>
      </c>
      <c r="N36" s="28">
        <f t="shared" ca="1" si="19"/>
        <v>2</v>
      </c>
      <c r="O36" s="28" t="str">
        <f>tblIndicators!V21</f>
        <v>0.0</v>
      </c>
      <c r="P36" s="28" t="e">
        <f t="shared" ca="1" si="4"/>
        <v>#N/A</v>
      </c>
      <c r="Q36" s="28" t="e">
        <f t="shared" ca="1" si="5"/>
        <v>#N/A</v>
      </c>
      <c r="R36" s="28" t="e">
        <f t="shared" ca="1" si="6"/>
        <v>#N/A</v>
      </c>
      <c r="T36" s="28" t="str">
        <f t="shared" ca="1" si="7"/>
        <v/>
      </c>
      <c r="U36" s="28" t="str">
        <f t="shared" ca="1" si="8"/>
        <v/>
      </c>
      <c r="V36" s="28" t="str">
        <f t="shared" ca="1" si="9"/>
        <v/>
      </c>
      <c r="W36" s="28" t="str">
        <f t="shared" ca="1" si="10"/>
        <v/>
      </c>
      <c r="X36" s="28" t="str">
        <f t="shared" ca="1" si="11"/>
        <v/>
      </c>
      <c r="Y36" s="28" t="str">
        <f t="shared" ca="1" si="12"/>
        <v/>
      </c>
      <c r="AD36" s="28" t="str">
        <f t="shared" si="20"/>
        <v>1.4) Salud pública y el medioambiente</v>
      </c>
      <c r="AE36" s="28">
        <f t="shared" ca="1" si="13"/>
        <v>50</v>
      </c>
      <c r="AF36" s="28">
        <f t="shared" si="14"/>
        <v>0</v>
      </c>
      <c r="AG36" s="28">
        <f t="shared" si="15"/>
        <v>0</v>
      </c>
      <c r="AH36" s="28">
        <f t="shared" si="16"/>
        <v>0</v>
      </c>
      <c r="AI36" s="28" t="str">
        <f t="shared" si="21"/>
        <v>NORM1.4</v>
      </c>
    </row>
    <row r="37" spans="1:35">
      <c r="A37" s="28" t="str">
        <f>tblIndicators!D22</f>
        <v>NORM1.4.1</v>
      </c>
      <c r="B37" s="28">
        <f>tblIndicators!A22</f>
        <v>21</v>
      </c>
      <c r="C37" s="28">
        <f>IF(B37="",0,INDEX(tblIndicators!$F$2:$F$52,$B37))</f>
        <v>3</v>
      </c>
      <c r="E37" s="28" t="str">
        <f>IF(B37="","",IF(C37&gt;=1,TRIM(INDEX(tblIndicators!$AE$2:$AE$52,iCountryP!$B37)),UPPER(INDEX(tblIndicators!$AE$2:$AE$52,iCountryP!$B37))))</f>
        <v>1.4.1) 15.¿Existe adecuada regulación y control sobre clasificación y manejo de desechos especiales y/o peligrosos y sobre clasificación en la calle?</v>
      </c>
      <c r="F37" s="28" t="str">
        <f>IF(B37="","",INDEX(tblIndicators!$N$2:$N$52,iCountryP!$B37))</f>
        <v>Scored 0-100 where 100 = most capable</v>
      </c>
      <c r="G37" s="28">
        <f t="shared" ca="1" si="0"/>
        <v>5</v>
      </c>
      <c r="H37" s="28">
        <f t="shared" ca="1" si="1"/>
        <v>8</v>
      </c>
      <c r="I37" s="32" t="str">
        <f t="shared" ca="1" si="17"/>
        <v>=5</v>
      </c>
      <c r="J37" s="28">
        <f t="shared" ca="1" si="2"/>
        <v>50</v>
      </c>
      <c r="K37" s="34" t="str">
        <f t="shared" ca="1" si="18"/>
        <v>||||||||||||||||</v>
      </c>
      <c r="L37" s="35"/>
      <c r="M37" s="33">
        <f t="shared" si="3"/>
        <v>1</v>
      </c>
      <c r="N37" s="28">
        <f t="shared" si="19"/>
        <v>0</v>
      </c>
      <c r="O37" s="28">
        <f>tblIndicators!V22</f>
        <v>0</v>
      </c>
      <c r="P37" s="28" t="e">
        <f t="shared" ca="1" si="4"/>
        <v>#N/A</v>
      </c>
      <c r="Q37" s="28" t="e">
        <f t="shared" ca="1" si="5"/>
        <v>#N/A</v>
      </c>
      <c r="R37" s="28" t="e">
        <f t="shared" ca="1" si="6"/>
        <v>#N/A</v>
      </c>
      <c r="T37" s="28" t="str">
        <f t="shared" ca="1" si="7"/>
        <v/>
      </c>
      <c r="U37" s="28" t="str">
        <f t="shared" ca="1" si="8"/>
        <v/>
      </c>
      <c r="V37" s="28" t="str">
        <f t="shared" ca="1" si="9"/>
        <v/>
      </c>
      <c r="W37" s="28" t="str">
        <f t="shared" ca="1" si="10"/>
        <v/>
      </c>
      <c r="X37" s="28" t="str">
        <f t="shared" ca="1" si="11"/>
        <v/>
      </c>
      <c r="Y37" s="28" t="str">
        <f t="shared" ca="1" si="12"/>
        <v/>
      </c>
      <c r="AD37" s="28" t="str">
        <f t="shared" si="20"/>
        <v>1.4.1) 15.¿Existe adecuada regulación y control sobre clasificación y manejo de desechos especiales y/o peligrosos y sobre clasificación en la calle?</v>
      </c>
      <c r="AE37" s="28">
        <f t="shared" ca="1" si="13"/>
        <v>50</v>
      </c>
      <c r="AF37" s="28">
        <f t="shared" si="14"/>
        <v>0</v>
      </c>
      <c r="AG37" s="28">
        <f t="shared" si="15"/>
        <v>0</v>
      </c>
      <c r="AH37" s="28">
        <f t="shared" si="16"/>
        <v>0</v>
      </c>
      <c r="AI37" s="28" t="str">
        <f t="shared" si="21"/>
        <v>NORM1.4.1</v>
      </c>
    </row>
    <row r="38" spans="1:35">
      <c r="A38" s="28" t="str">
        <f>tblIndicators!D23</f>
        <v>ORG</v>
      </c>
      <c r="B38" s="28">
        <f>tblIndicators!A23</f>
        <v>22</v>
      </c>
      <c r="C38" s="28">
        <f>IF(B38="",0,INDEX(tblIndicators!$F$2:$F$52,$B38))</f>
        <v>1</v>
      </c>
      <c r="E38" s="28" t="str">
        <f>IF(B38="","",IF(C38&gt;=1,TRIM(INDEX(tblIndicators!$AE$2:$AE$52,iCountryP!$B38)),UPPER(INDEX(tblIndicators!$AE$2:$AE$52,iCountryP!$B38))))</f>
        <v>2) ORGANIZATIVA</v>
      </c>
      <c r="F38" s="28" t="str">
        <f>IF(B38="","",INDEX(tblIndicators!$N$2:$N$52,iCountryP!$B38))</f>
        <v>Scored 0-100 where 100 = most capable</v>
      </c>
      <c r="G38" s="28">
        <f t="shared" ca="1" si="0"/>
        <v>10</v>
      </c>
      <c r="H38" s="28">
        <f t="shared" ca="1" si="1"/>
        <v>1</v>
      </c>
      <c r="I38" s="32">
        <f t="shared" ca="1" si="17"/>
        <v>10</v>
      </c>
      <c r="J38" s="28">
        <f t="shared" ca="1" si="2"/>
        <v>28.333333333333332</v>
      </c>
      <c r="K38" s="34" t="str">
        <f t="shared" ca="1" si="18"/>
        <v>|||||||||</v>
      </c>
      <c r="L38" s="35"/>
      <c r="M38" s="33" t="str">
        <f t="shared" si="3"/>
        <v/>
      </c>
      <c r="N38" s="28">
        <f t="shared" si="19"/>
        <v>0</v>
      </c>
      <c r="O38" s="28" t="str">
        <f>tblIndicators!V23</f>
        <v>0.0</v>
      </c>
      <c r="P38" s="28" t="e">
        <f t="shared" ca="1" si="4"/>
        <v>#N/A</v>
      </c>
      <c r="Q38" s="28" t="e">
        <f t="shared" ca="1" si="5"/>
        <v>#N/A</v>
      </c>
      <c r="R38" s="28" t="e">
        <f t="shared" ca="1" si="6"/>
        <v>#N/A</v>
      </c>
      <c r="T38" s="28" t="str">
        <f t="shared" ca="1" si="7"/>
        <v/>
      </c>
      <c r="U38" s="28" t="str">
        <f t="shared" ca="1" si="8"/>
        <v/>
      </c>
      <c r="V38" s="28" t="str">
        <f t="shared" ca="1" si="9"/>
        <v/>
      </c>
      <c r="W38" s="28" t="str">
        <f t="shared" ca="1" si="10"/>
        <v/>
      </c>
      <c r="X38" s="28" t="str">
        <f t="shared" ca="1" si="11"/>
        <v/>
      </c>
      <c r="Y38" s="28" t="str">
        <f t="shared" ca="1" si="12"/>
        <v/>
      </c>
      <c r="AD38" s="28" t="str">
        <f t="shared" si="20"/>
        <v>2) ORGANIZATIVA</v>
      </c>
      <c r="AE38" s="28">
        <f t="shared" ca="1" si="13"/>
        <v>28.333333333333332</v>
      </c>
      <c r="AF38" s="28">
        <f t="shared" si="14"/>
        <v>0</v>
      </c>
      <c r="AG38" s="28">
        <f t="shared" si="15"/>
        <v>0</v>
      </c>
      <c r="AH38" s="28">
        <f t="shared" si="16"/>
        <v>0</v>
      </c>
      <c r="AI38" s="28" t="str">
        <f t="shared" si="21"/>
        <v>ORG</v>
      </c>
    </row>
    <row r="39" spans="1:35">
      <c r="A39" s="28" t="str">
        <f>tblIndicators!D24</f>
        <v>ORG2.1</v>
      </c>
      <c r="B39" s="28">
        <f>tblIndicators!A24</f>
        <v>23</v>
      </c>
      <c r="C39" s="28">
        <f>IF(B39="",0,INDEX(tblIndicators!$F$2:$F$52,$B39))</f>
        <v>2</v>
      </c>
      <c r="E39" s="28" t="str">
        <f>IF(B39="","",IF(C39&gt;=1,TRIM(INDEX(tblIndicators!$AE$2:$AE$52,iCountryP!$B39)),UPPER(INDEX(tblIndicators!$AE$2:$AE$52,iCountryP!$B39))))</f>
        <v>2.1) Asociatividad</v>
      </c>
      <c r="F39" s="28" t="str">
        <f>IF(B39="","",INDEX(tblIndicators!$N$2:$N$52,iCountryP!$B39))</f>
        <v>Scored 0-100 where 100 = most capable</v>
      </c>
      <c r="G39" s="28">
        <f t="shared" ca="1" si="0"/>
        <v>9</v>
      </c>
      <c r="H39" s="28">
        <f t="shared" ca="1" si="1"/>
        <v>1</v>
      </c>
      <c r="I39" s="32">
        <f t="shared" ca="1" si="17"/>
        <v>9</v>
      </c>
      <c r="J39" s="28">
        <f t="shared" ca="1" si="2"/>
        <v>40</v>
      </c>
      <c r="K39" s="34" t="str">
        <f t="shared" ca="1" si="18"/>
        <v>|||||||||||||</v>
      </c>
      <c r="L39" s="35"/>
      <c r="M39" s="33" t="str">
        <f t="shared" si="3"/>
        <v/>
      </c>
      <c r="N39" s="28">
        <f t="shared" ca="1" si="19"/>
        <v>2</v>
      </c>
      <c r="O39" s="28" t="str">
        <f>tblIndicators!V24</f>
        <v>0.0</v>
      </c>
      <c r="P39" s="28" t="e">
        <f t="shared" ca="1" si="4"/>
        <v>#N/A</v>
      </c>
      <c r="Q39" s="28" t="e">
        <f t="shared" ca="1" si="5"/>
        <v>#N/A</v>
      </c>
      <c r="R39" s="28" t="e">
        <f t="shared" ca="1" si="6"/>
        <v>#N/A</v>
      </c>
      <c r="T39" s="28" t="str">
        <f t="shared" ca="1" si="7"/>
        <v/>
      </c>
      <c r="U39" s="28" t="str">
        <f t="shared" ca="1" si="8"/>
        <v/>
      </c>
      <c r="V39" s="28" t="str">
        <f t="shared" ca="1" si="9"/>
        <v/>
      </c>
      <c r="W39" s="28" t="str">
        <f t="shared" ca="1" si="10"/>
        <v/>
      </c>
      <c r="X39" s="28" t="str">
        <f t="shared" ca="1" si="11"/>
        <v/>
      </c>
      <c r="Y39" s="28" t="str">
        <f t="shared" ca="1" si="12"/>
        <v/>
      </c>
      <c r="AD39" s="28" t="str">
        <f t="shared" si="20"/>
        <v>2.1) Asociatividad</v>
      </c>
      <c r="AE39" s="28">
        <f t="shared" ca="1" si="13"/>
        <v>40</v>
      </c>
      <c r="AF39" s="28">
        <f t="shared" si="14"/>
        <v>0</v>
      </c>
      <c r="AG39" s="28">
        <f t="shared" si="15"/>
        <v>0</v>
      </c>
      <c r="AH39" s="28">
        <f t="shared" si="16"/>
        <v>0</v>
      </c>
      <c r="AI39" s="28" t="str">
        <f t="shared" si="21"/>
        <v>ORG2.1</v>
      </c>
    </row>
    <row r="40" spans="1:35">
      <c r="A40" s="28" t="str">
        <f>tblIndicators!D25</f>
        <v>ORG2.1.1</v>
      </c>
      <c r="B40" s="28">
        <f>tblIndicators!A25</f>
        <v>24</v>
      </c>
      <c r="C40" s="28">
        <f>IF(B40="",0,INDEX(tblIndicators!$F$2:$F$52,$B40))</f>
        <v>3</v>
      </c>
      <c r="E40" s="28" t="str">
        <f>IF(B40="","",IF(C40&gt;=1,TRIM(INDEX(tblIndicators!$AE$2:$AE$52,iCountryP!$B40)),UPPER(INDEX(tblIndicators!$AE$2:$AE$52,iCountryP!$B40))))</f>
        <v>2.1.1) 16.¿Cuán dinámicas son las asociaciones?</v>
      </c>
      <c r="F40" s="28" t="str">
        <f>IF(B40="","",INDEX(tblIndicators!$N$2:$N$52,iCountryP!$B40))</f>
        <v>Scored 0-100 where 100 = most capable</v>
      </c>
      <c r="G40" s="28">
        <f t="shared" ca="1" si="0"/>
        <v>1</v>
      </c>
      <c r="H40" s="28">
        <f t="shared" ca="1" si="1"/>
        <v>3</v>
      </c>
      <c r="I40" s="32" t="str">
        <f t="shared" ca="1" si="17"/>
        <v>=1</v>
      </c>
      <c r="J40" s="28">
        <f t="shared" ca="1" si="2"/>
        <v>100</v>
      </c>
      <c r="K40" s="34" t="str">
        <f t="shared" ca="1" si="18"/>
        <v>|||||||||||||||||||||||||||||||||</v>
      </c>
      <c r="L40" s="35"/>
      <c r="M40" s="33">
        <f t="shared" si="3"/>
        <v>2</v>
      </c>
      <c r="N40" s="28">
        <f t="shared" si="19"/>
        <v>0</v>
      </c>
      <c r="O40" s="28">
        <f>tblIndicators!V25</f>
        <v>0</v>
      </c>
      <c r="P40" s="28" t="e">
        <f t="shared" ca="1" si="4"/>
        <v>#N/A</v>
      </c>
      <c r="Q40" s="28" t="e">
        <f t="shared" ca="1" si="5"/>
        <v>#N/A</v>
      </c>
      <c r="R40" s="28" t="e">
        <f t="shared" ca="1" si="6"/>
        <v>#N/A</v>
      </c>
      <c r="T40" s="28" t="str">
        <f t="shared" ca="1" si="7"/>
        <v/>
      </c>
      <c r="U40" s="28" t="str">
        <f t="shared" ca="1" si="8"/>
        <v/>
      </c>
      <c r="V40" s="28" t="str">
        <f t="shared" ca="1" si="9"/>
        <v/>
      </c>
      <c r="W40" s="28" t="str">
        <f t="shared" ca="1" si="10"/>
        <v/>
      </c>
      <c r="X40" s="28" t="str">
        <f t="shared" ca="1" si="11"/>
        <v/>
      </c>
      <c r="Y40" s="28" t="str">
        <f t="shared" ca="1" si="12"/>
        <v/>
      </c>
      <c r="AD40" s="28" t="str">
        <f t="shared" si="20"/>
        <v>2.1.1) 16.¿Cuán dinámicas son las asociaciones?</v>
      </c>
      <c r="AE40" s="28">
        <f t="shared" ca="1" si="13"/>
        <v>100</v>
      </c>
      <c r="AF40" s="28">
        <f t="shared" si="14"/>
        <v>0</v>
      </c>
      <c r="AG40" s="28">
        <f t="shared" si="15"/>
        <v>0</v>
      </c>
      <c r="AH40" s="28">
        <f t="shared" si="16"/>
        <v>0</v>
      </c>
      <c r="AI40" s="28" t="str">
        <f t="shared" si="21"/>
        <v>ORG2.1.1</v>
      </c>
    </row>
    <row r="41" spans="1:35">
      <c r="A41" s="28" t="str">
        <f>tblIndicators!D26</f>
        <v>ORG2.1.2</v>
      </c>
      <c r="B41" s="28">
        <f>tblIndicators!A26</f>
        <v>25</v>
      </c>
      <c r="C41" s="28">
        <f>IF(B41="",0,INDEX(tblIndicators!$F$2:$F$52,$B41))</f>
        <v>3</v>
      </c>
      <c r="E41" s="28" t="str">
        <f>IF(B41="","",IF(C41&gt;=1,TRIM(INDEX(tblIndicators!$AE$2:$AE$52,iCountryP!$B41)),UPPER(INDEX(tblIndicators!$AE$2:$AE$52,iCountryP!$B41))))</f>
        <v>2.1.2) 17.¿Qué nivel de inclusión presentan estas asociaciones?</v>
      </c>
      <c r="F41" s="28" t="str">
        <f>IF(B41="","",INDEX(tblIndicators!$N$2:$N$52,iCountryP!$B41))</f>
        <v>Scored 0-100 where 100 = most capable</v>
      </c>
      <c r="G41" s="28">
        <f t="shared" ca="1" si="0"/>
        <v>8</v>
      </c>
      <c r="H41" s="28">
        <f t="shared" ca="1" si="1"/>
        <v>5</v>
      </c>
      <c r="I41" s="32" t="str">
        <f t="shared" ca="1" si="17"/>
        <v>=8</v>
      </c>
      <c r="J41" s="28">
        <f t="shared" ca="1" si="2"/>
        <v>0</v>
      </c>
      <c r="K41" s="34" t="str">
        <f t="shared" ca="1" si="18"/>
        <v/>
      </c>
      <c r="L41" s="35"/>
      <c r="M41" s="33">
        <f t="shared" si="3"/>
        <v>0</v>
      </c>
      <c r="N41" s="28">
        <f t="shared" si="19"/>
        <v>0</v>
      </c>
      <c r="O41" s="28">
        <f>tblIndicators!V26</f>
        <v>0</v>
      </c>
      <c r="P41" s="28" t="e">
        <f t="shared" ca="1" si="4"/>
        <v>#N/A</v>
      </c>
      <c r="Q41" s="28" t="e">
        <f t="shared" ca="1" si="5"/>
        <v>#N/A</v>
      </c>
      <c r="R41" s="28" t="e">
        <f t="shared" ca="1" si="6"/>
        <v>#N/A</v>
      </c>
      <c r="T41" s="28" t="str">
        <f t="shared" ca="1" si="7"/>
        <v/>
      </c>
      <c r="U41" s="28" t="str">
        <f t="shared" ca="1" si="8"/>
        <v/>
      </c>
      <c r="V41" s="28" t="str">
        <f t="shared" ca="1" si="9"/>
        <v/>
      </c>
      <c r="W41" s="28" t="str">
        <f t="shared" ca="1" si="10"/>
        <v/>
      </c>
      <c r="X41" s="28" t="str">
        <f t="shared" ca="1" si="11"/>
        <v/>
      </c>
      <c r="Y41" s="28" t="str">
        <f t="shared" ca="1" si="12"/>
        <v/>
      </c>
      <c r="AD41" s="28" t="str">
        <f t="shared" si="20"/>
        <v>2.1.2) 17.¿Qué nivel de inclusión presentan estas asociaciones?</v>
      </c>
      <c r="AE41" s="28">
        <f t="shared" ca="1" si="13"/>
        <v>0</v>
      </c>
      <c r="AF41" s="28">
        <f t="shared" si="14"/>
        <v>0</v>
      </c>
      <c r="AG41" s="28">
        <f t="shared" si="15"/>
        <v>0</v>
      </c>
      <c r="AH41" s="28">
        <f t="shared" si="16"/>
        <v>0</v>
      </c>
      <c r="AI41" s="28" t="str">
        <f t="shared" si="21"/>
        <v>ORG2.1.2</v>
      </c>
    </row>
    <row r="42" spans="1:35">
      <c r="A42" s="28" t="str">
        <f>tblIndicators!D27</f>
        <v>ORG2.1.3</v>
      </c>
      <c r="B42" s="28">
        <f>tblIndicators!A27</f>
        <v>26</v>
      </c>
      <c r="C42" s="28">
        <f>IF(B42="",0,INDEX(tblIndicators!$F$2:$F$52,$B42))</f>
        <v>3</v>
      </c>
      <c r="E42" s="28" t="str">
        <f>IF(B42="","",IF(C42&gt;=1,TRIM(INDEX(tblIndicators!$AE$2:$AE$52,iCountryP!$B42)),UPPER(INDEX(tblIndicators!$AE$2:$AE$52,iCountryP!$B42))))</f>
        <v>2.1.3) 18.¿Las asociaciones: participan en espacios de interlocución o diálogo con pares?</v>
      </c>
      <c r="F42" s="28" t="str">
        <f>IF(B42="","",INDEX(tblIndicators!$N$2:$N$52,iCountryP!$B42))</f>
        <v>Scored 0-100 where 100 = most capable</v>
      </c>
      <c r="G42" s="28">
        <f t="shared" ca="1" si="0"/>
        <v>8</v>
      </c>
      <c r="H42" s="28">
        <f t="shared" ca="1" si="1"/>
        <v>3</v>
      </c>
      <c r="I42" s="32" t="str">
        <f t="shared" ca="1" si="17"/>
        <v>=8</v>
      </c>
      <c r="J42" s="28">
        <f t="shared" ca="1" si="2"/>
        <v>50</v>
      </c>
      <c r="K42" s="34" t="str">
        <f t="shared" ca="1" si="18"/>
        <v>||||||||||||||||</v>
      </c>
      <c r="L42" s="35"/>
      <c r="M42" s="33">
        <f t="shared" si="3"/>
        <v>1</v>
      </c>
      <c r="N42" s="28">
        <f t="shared" si="19"/>
        <v>0</v>
      </c>
      <c r="O42" s="28">
        <f>tblIndicators!V27</f>
        <v>0</v>
      </c>
      <c r="P42" s="28" t="e">
        <f t="shared" ca="1" si="4"/>
        <v>#N/A</v>
      </c>
      <c r="Q42" s="28" t="e">
        <f t="shared" ca="1" si="5"/>
        <v>#N/A</v>
      </c>
      <c r="R42" s="28" t="e">
        <f t="shared" ca="1" si="6"/>
        <v>#N/A</v>
      </c>
      <c r="T42" s="28" t="str">
        <f t="shared" ca="1" si="7"/>
        <v/>
      </c>
      <c r="U42" s="28" t="str">
        <f t="shared" ca="1" si="8"/>
        <v/>
      </c>
      <c r="V42" s="28" t="str">
        <f t="shared" ca="1" si="9"/>
        <v/>
      </c>
      <c r="W42" s="28" t="str">
        <f t="shared" ca="1" si="10"/>
        <v/>
      </c>
      <c r="X42" s="28" t="str">
        <f t="shared" ca="1" si="11"/>
        <v/>
      </c>
      <c r="Y42" s="28" t="str">
        <f t="shared" ca="1" si="12"/>
        <v/>
      </c>
      <c r="AD42" s="28" t="str">
        <f t="shared" si="20"/>
        <v>2.1.3) 18.¿Las asociaciones: participan en espacios de interlocución o diálogo con pares?</v>
      </c>
      <c r="AE42" s="28">
        <f t="shared" ca="1" si="13"/>
        <v>50</v>
      </c>
      <c r="AF42" s="28">
        <f t="shared" si="14"/>
        <v>0</v>
      </c>
      <c r="AG42" s="28">
        <f t="shared" si="15"/>
        <v>0</v>
      </c>
      <c r="AH42" s="28">
        <f t="shared" si="16"/>
        <v>0</v>
      </c>
      <c r="AI42" s="28" t="str">
        <f t="shared" si="21"/>
        <v>ORG2.1.3</v>
      </c>
    </row>
    <row r="43" spans="1:35">
      <c r="A43" s="28" t="str">
        <f>tblIndicators!D28</f>
        <v>ORG2.1.4</v>
      </c>
      <c r="B43" s="28">
        <f>tblIndicators!A28</f>
        <v>27</v>
      </c>
      <c r="C43" s="28">
        <f>IF(B43="",0,INDEX(tblIndicators!$F$2:$F$52,$B43))</f>
        <v>3</v>
      </c>
      <c r="E43" s="28" t="str">
        <f>IF(B43="","",IF(C43&gt;=1,TRIM(INDEX(tblIndicators!$AE$2:$AE$52,iCountryP!$B43)),UPPER(INDEX(tblIndicators!$AE$2:$AE$52,iCountryP!$B43))))</f>
        <v>2.1.4) 19.¿Existen espacios de diálogo y coordinación entre diferentes actores de la cadena de valor del reciclaje?</v>
      </c>
      <c r="F43" s="28" t="str">
        <f>IF(B43="","",INDEX(tblIndicators!$N$2:$N$52,iCountryP!$B43))</f>
        <v>Scored 0-100 where 100 = most capable</v>
      </c>
      <c r="G43" s="28">
        <f t="shared" ca="1" si="0"/>
        <v>7</v>
      </c>
      <c r="H43" s="28">
        <f t="shared" ca="1" si="1"/>
        <v>6</v>
      </c>
      <c r="I43" s="32" t="str">
        <f t="shared" ca="1" si="17"/>
        <v>=7</v>
      </c>
      <c r="J43" s="28">
        <f t="shared" ca="1" si="2"/>
        <v>0</v>
      </c>
      <c r="K43" s="34" t="str">
        <f t="shared" ca="1" si="18"/>
        <v/>
      </c>
      <c r="L43" s="35"/>
      <c r="M43" s="33">
        <f t="shared" si="3"/>
        <v>0</v>
      </c>
      <c r="N43" s="28">
        <f t="shared" si="19"/>
        <v>0</v>
      </c>
      <c r="O43" s="28">
        <f>tblIndicators!V28</f>
        <v>0</v>
      </c>
      <c r="P43" s="28" t="e">
        <f t="shared" ca="1" si="4"/>
        <v>#N/A</v>
      </c>
      <c r="Q43" s="28" t="e">
        <f t="shared" ca="1" si="5"/>
        <v>#N/A</v>
      </c>
      <c r="R43" s="28" t="e">
        <f t="shared" ca="1" si="6"/>
        <v>#N/A</v>
      </c>
      <c r="T43" s="28" t="str">
        <f t="shared" ca="1" si="7"/>
        <v/>
      </c>
      <c r="U43" s="28" t="str">
        <f t="shared" ca="1" si="8"/>
        <v/>
      </c>
      <c r="V43" s="28" t="str">
        <f t="shared" ca="1" si="9"/>
        <v/>
      </c>
      <c r="W43" s="28" t="str">
        <f t="shared" ca="1" si="10"/>
        <v/>
      </c>
      <c r="X43" s="28" t="str">
        <f t="shared" ca="1" si="11"/>
        <v/>
      </c>
      <c r="Y43" s="28" t="str">
        <f t="shared" ca="1" si="12"/>
        <v/>
      </c>
      <c r="AD43" s="28" t="str">
        <f t="shared" si="20"/>
        <v>2.1.4) 19.¿Existen espacios de diálogo y coordinación entre diferentes actores de la cadena de valor del reciclaje?</v>
      </c>
      <c r="AE43" s="28">
        <f t="shared" ca="1" si="13"/>
        <v>0</v>
      </c>
      <c r="AF43" s="28">
        <f t="shared" si="14"/>
        <v>0</v>
      </c>
      <c r="AG43" s="28">
        <f t="shared" si="15"/>
        <v>0</v>
      </c>
      <c r="AH43" s="28">
        <f t="shared" si="16"/>
        <v>0</v>
      </c>
      <c r="AI43" s="28" t="str">
        <f t="shared" si="21"/>
        <v>ORG2.1.4</v>
      </c>
    </row>
    <row r="44" spans="1:35">
      <c r="A44" s="28" t="str">
        <f>tblIndicators!D29</f>
        <v>ORG2.1.5</v>
      </c>
      <c r="B44" s="28">
        <f>tblIndicators!A29</f>
        <v>28</v>
      </c>
      <c r="C44" s="28">
        <f>IF(B44="",0,INDEX(tblIndicators!$F$2:$F$52,$B44))</f>
        <v>3</v>
      </c>
      <c r="E44" s="28" t="str">
        <f>IF(B44="","",IF(C44&gt;=1,TRIM(INDEX(tblIndicators!$AE$2:$AE$52,iCountryP!$B44)),UPPER(INDEX(tblIndicators!$AE$2:$AE$52,iCountryP!$B44))))</f>
        <v>2.1.5) 20.¿Cuál es el nivel de representación de las mujeres en las asociaciones?</v>
      </c>
      <c r="F44" s="28" t="str">
        <f>IF(B44="","",INDEX(tblIndicators!$N$2:$N$52,iCountryP!$B44))</f>
        <v>Scored 0-100 where 100 = most capable</v>
      </c>
      <c r="G44" s="28">
        <f t="shared" ca="1" si="0"/>
        <v>5</v>
      </c>
      <c r="H44" s="28">
        <f t="shared" ca="1" si="1"/>
        <v>4</v>
      </c>
      <c r="I44" s="32" t="str">
        <f t="shared" ca="1" si="17"/>
        <v>=5</v>
      </c>
      <c r="J44" s="28">
        <f t="shared" ca="1" si="2"/>
        <v>50</v>
      </c>
      <c r="K44" s="34" t="str">
        <f t="shared" ca="1" si="18"/>
        <v>||||||||||||||||</v>
      </c>
      <c r="L44" s="35"/>
      <c r="M44" s="33">
        <f t="shared" si="3"/>
        <v>1</v>
      </c>
      <c r="N44" s="28">
        <f t="shared" si="19"/>
        <v>0</v>
      </c>
      <c r="O44" s="28">
        <f>tblIndicators!V29</f>
        <v>0</v>
      </c>
      <c r="P44" s="28" t="e">
        <f t="shared" ca="1" si="4"/>
        <v>#N/A</v>
      </c>
      <c r="Q44" s="28" t="e">
        <f t="shared" ca="1" si="5"/>
        <v>#N/A</v>
      </c>
      <c r="R44" s="28" t="e">
        <f t="shared" ca="1" si="6"/>
        <v>#N/A</v>
      </c>
      <c r="T44" s="28" t="str">
        <f t="shared" ca="1" si="7"/>
        <v/>
      </c>
      <c r="U44" s="28" t="str">
        <f t="shared" ca="1" si="8"/>
        <v/>
      </c>
      <c r="V44" s="28" t="str">
        <f t="shared" ca="1" si="9"/>
        <v/>
      </c>
      <c r="W44" s="28" t="str">
        <f t="shared" ca="1" si="10"/>
        <v/>
      </c>
      <c r="X44" s="28" t="str">
        <f t="shared" ca="1" si="11"/>
        <v/>
      </c>
      <c r="Y44" s="28" t="str">
        <f t="shared" ca="1" si="12"/>
        <v/>
      </c>
      <c r="AD44" s="28" t="str">
        <f t="shared" si="20"/>
        <v>2.1.5) 20.¿Cuál es el nivel de representación de las mujeres en las asociaciones?</v>
      </c>
      <c r="AE44" s="28">
        <f t="shared" ca="1" si="13"/>
        <v>50</v>
      </c>
      <c r="AF44" s="28">
        <f t="shared" si="14"/>
        <v>0</v>
      </c>
      <c r="AG44" s="28">
        <f t="shared" si="15"/>
        <v>0</v>
      </c>
      <c r="AH44" s="28">
        <f t="shared" si="16"/>
        <v>0</v>
      </c>
      <c r="AI44" s="28" t="str">
        <f t="shared" si="21"/>
        <v>ORG2.1.5</v>
      </c>
    </row>
    <row r="45" spans="1:35">
      <c r="A45" s="28" t="str">
        <f>tblIndicators!D30</f>
        <v>ORG2.2</v>
      </c>
      <c r="B45" s="28">
        <f>tblIndicators!A30</f>
        <v>29</v>
      </c>
      <c r="C45" s="28">
        <f>IF(B45="",0,INDEX(tblIndicators!$F$2:$F$52,$B45))</f>
        <v>2</v>
      </c>
      <c r="E45" s="28" t="str">
        <f>IF(B45="","",IF(C45&gt;=1,TRIM(INDEX(tblIndicators!$AE$2:$AE$52,iCountryP!$B45)),UPPER(INDEX(tblIndicators!$AE$2:$AE$52,iCountryP!$B45))))</f>
        <v>2.2) Organizaciones comerciales</v>
      </c>
      <c r="F45" s="28" t="str">
        <f>IF(B45="","",INDEX(tblIndicators!$N$2:$N$52,iCountryP!$B45))</f>
        <v>Scored 0-100 where 100 = most capable</v>
      </c>
      <c r="G45" s="28">
        <f t="shared" ca="1" si="0"/>
        <v>9</v>
      </c>
      <c r="H45" s="28">
        <f t="shared" ca="1" si="1"/>
        <v>2</v>
      </c>
      <c r="I45" s="32" t="str">
        <f t="shared" ca="1" si="17"/>
        <v>=9</v>
      </c>
      <c r="J45" s="28">
        <f t="shared" ca="1" si="2"/>
        <v>16.666666666666664</v>
      </c>
      <c r="K45" s="34" t="str">
        <f t="shared" ca="1" si="18"/>
        <v>|||||</v>
      </c>
      <c r="L45" s="35"/>
      <c r="M45" s="33" t="str">
        <f t="shared" si="3"/>
        <v/>
      </c>
      <c r="N45" s="28">
        <f t="shared" ca="1" si="19"/>
        <v>1</v>
      </c>
      <c r="O45" s="28" t="str">
        <f>tblIndicators!V30</f>
        <v>0.0</v>
      </c>
      <c r="P45" s="28" t="e">
        <f t="shared" ca="1" si="4"/>
        <v>#N/A</v>
      </c>
      <c r="Q45" s="28" t="e">
        <f t="shared" ca="1" si="5"/>
        <v>#N/A</v>
      </c>
      <c r="R45" s="28" t="e">
        <f t="shared" ca="1" si="6"/>
        <v>#N/A</v>
      </c>
      <c r="T45" s="28" t="str">
        <f t="shared" ca="1" si="7"/>
        <v/>
      </c>
      <c r="U45" s="28" t="str">
        <f t="shared" ca="1" si="8"/>
        <v/>
      </c>
      <c r="V45" s="28" t="str">
        <f t="shared" ca="1" si="9"/>
        <v/>
      </c>
      <c r="W45" s="28" t="str">
        <f t="shared" ca="1" si="10"/>
        <v/>
      </c>
      <c r="X45" s="28" t="str">
        <f t="shared" ca="1" si="11"/>
        <v/>
      </c>
      <c r="Y45" s="28" t="str">
        <f t="shared" ca="1" si="12"/>
        <v/>
      </c>
      <c r="AD45" s="28" t="str">
        <f t="shared" si="20"/>
        <v>2.2) Organizaciones comerciales</v>
      </c>
      <c r="AE45" s="28">
        <f t="shared" ca="1" si="13"/>
        <v>16.666666666666664</v>
      </c>
      <c r="AF45" s="28">
        <f t="shared" si="14"/>
        <v>0</v>
      </c>
      <c r="AG45" s="28">
        <f t="shared" si="15"/>
        <v>0</v>
      </c>
      <c r="AH45" s="28">
        <f t="shared" si="16"/>
        <v>0</v>
      </c>
      <c r="AI45" s="28" t="str">
        <f t="shared" si="21"/>
        <v>ORG2.2</v>
      </c>
    </row>
    <row r="46" spans="1:35">
      <c r="A46" s="28" t="str">
        <f>tblIndicators!D31</f>
        <v>ORG2.2.1</v>
      </c>
      <c r="B46" s="28">
        <f>tblIndicators!A31</f>
        <v>30</v>
      </c>
      <c r="C46" s="28">
        <f>IF(B46="",0,INDEX(tblIndicators!$F$2:$F$52,$B46))</f>
        <v>3</v>
      </c>
      <c r="E46" s="28" t="str">
        <f>IF(B46="","",IF(C46&gt;=1,TRIM(INDEX(tblIndicators!$AE$2:$AE$52,iCountryP!$B46)),UPPER(INDEX(tblIndicators!$AE$2:$AE$52,iCountryP!$B46))))</f>
        <v>2.2.1) 21.¿Existen organizaciones de recicladores con actividad comercial en el municipio (cooperativas y/o microempresas)?</v>
      </c>
      <c r="F46" s="28" t="str">
        <f>IF(B46="","",INDEX(tblIndicators!$N$2:$N$52,iCountryP!$B46))</f>
        <v>Scored 0-100 where 100 = most capable</v>
      </c>
      <c r="G46" s="28">
        <f t="shared" ca="1" si="0"/>
        <v>4</v>
      </c>
      <c r="H46" s="28">
        <f t="shared" ca="1" si="1"/>
        <v>6</v>
      </c>
      <c r="I46" s="32" t="str">
        <f t="shared" ca="1" si="17"/>
        <v>=4</v>
      </c>
      <c r="J46" s="28">
        <f t="shared" ca="1" si="2"/>
        <v>50</v>
      </c>
      <c r="K46" s="34" t="str">
        <f t="shared" ca="1" si="18"/>
        <v>||||||||||||||||</v>
      </c>
      <c r="L46" s="35"/>
      <c r="M46" s="33">
        <f t="shared" si="3"/>
        <v>1</v>
      </c>
      <c r="N46" s="28">
        <f t="shared" si="19"/>
        <v>0</v>
      </c>
      <c r="O46" s="28">
        <f>tblIndicators!V31</f>
        <v>0</v>
      </c>
      <c r="P46" s="28" t="e">
        <f t="shared" ca="1" si="4"/>
        <v>#N/A</v>
      </c>
      <c r="Q46" s="28" t="e">
        <f t="shared" ca="1" si="5"/>
        <v>#N/A</v>
      </c>
      <c r="R46" s="28" t="e">
        <f t="shared" ca="1" si="6"/>
        <v>#N/A</v>
      </c>
      <c r="T46" s="28" t="str">
        <f t="shared" ca="1" si="7"/>
        <v/>
      </c>
      <c r="U46" s="28" t="str">
        <f t="shared" ca="1" si="8"/>
        <v/>
      </c>
      <c r="V46" s="28" t="str">
        <f t="shared" ca="1" si="9"/>
        <v/>
      </c>
      <c r="W46" s="28" t="str">
        <f t="shared" ca="1" si="10"/>
        <v/>
      </c>
      <c r="X46" s="28" t="str">
        <f t="shared" ca="1" si="11"/>
        <v/>
      </c>
      <c r="Y46" s="28" t="str">
        <f t="shared" ca="1" si="12"/>
        <v/>
      </c>
      <c r="AD46" s="28" t="str">
        <f t="shared" si="20"/>
        <v>2.2.1) 21.¿Existen organizaciones de recicladores con actividad comercial en el municipio (cooperativas y/o microempresas)?</v>
      </c>
      <c r="AE46" s="28">
        <f t="shared" ca="1" si="13"/>
        <v>50</v>
      </c>
      <c r="AF46" s="28">
        <f t="shared" si="14"/>
        <v>0</v>
      </c>
      <c r="AG46" s="28">
        <f t="shared" si="15"/>
        <v>0</v>
      </c>
      <c r="AH46" s="28">
        <f t="shared" si="16"/>
        <v>0</v>
      </c>
      <c r="AI46" s="28" t="str">
        <f t="shared" si="21"/>
        <v>ORG2.2.1</v>
      </c>
    </row>
    <row r="47" spans="1:35">
      <c r="A47" s="28" t="str">
        <f>tblIndicators!D32</f>
        <v>ORG2.2.2</v>
      </c>
      <c r="B47" s="28">
        <f>tblIndicators!A32</f>
        <v>31</v>
      </c>
      <c r="C47" s="28">
        <f>IF(B47="",0,INDEX(tblIndicators!$F$2:$F$52,$B47))</f>
        <v>3</v>
      </c>
      <c r="E47" s="28" t="str">
        <f>IF(B47="","",IF(C47&gt;=1,TRIM(INDEX(tblIndicators!$AE$2:$AE$52,iCountryP!$B47)),UPPER(INDEX(tblIndicators!$AE$2:$AE$52,iCountryP!$B47))))</f>
        <v>2.2.2) 22.¿Cuál es el nivel de participación de las organizaciones de recicladores en la cadena de valor del reciclaje?</v>
      </c>
      <c r="F47" s="28" t="str">
        <f>IF(B47="","",INDEX(tblIndicators!$N$2:$N$52,iCountryP!$B47))</f>
        <v>Scored 0-100 where 100 = most capable</v>
      </c>
      <c r="G47" s="28">
        <f t="shared" ca="1" si="0"/>
        <v>9</v>
      </c>
      <c r="H47" s="28">
        <f t="shared" ca="1" si="1"/>
        <v>4</v>
      </c>
      <c r="I47" s="32" t="str">
        <f t="shared" ca="1" si="17"/>
        <v>=9</v>
      </c>
      <c r="J47" s="28">
        <f t="shared" ca="1" si="2"/>
        <v>0</v>
      </c>
      <c r="K47" s="34" t="str">
        <f t="shared" ca="1" si="18"/>
        <v/>
      </c>
      <c r="L47" s="35"/>
      <c r="M47" s="33">
        <f t="shared" si="3"/>
        <v>0</v>
      </c>
      <c r="N47" s="28">
        <f t="shared" si="19"/>
        <v>0</v>
      </c>
      <c r="O47" s="28">
        <f>tblIndicators!V32</f>
        <v>0</v>
      </c>
      <c r="P47" s="28" t="e">
        <f t="shared" ca="1" si="4"/>
        <v>#N/A</v>
      </c>
      <c r="Q47" s="28" t="e">
        <f t="shared" ca="1" si="5"/>
        <v>#N/A</v>
      </c>
      <c r="R47" s="28" t="e">
        <f t="shared" ca="1" si="6"/>
        <v>#N/A</v>
      </c>
      <c r="T47" s="28" t="str">
        <f t="shared" ca="1" si="7"/>
        <v/>
      </c>
      <c r="U47" s="28" t="str">
        <f t="shared" ca="1" si="8"/>
        <v/>
      </c>
      <c r="V47" s="28" t="str">
        <f t="shared" ca="1" si="9"/>
        <v/>
      </c>
      <c r="W47" s="28" t="str">
        <f t="shared" ca="1" si="10"/>
        <v/>
      </c>
      <c r="X47" s="28" t="str">
        <f t="shared" ca="1" si="11"/>
        <v/>
      </c>
      <c r="Y47" s="28" t="str">
        <f t="shared" ca="1" si="12"/>
        <v/>
      </c>
      <c r="AD47" s="28" t="str">
        <f t="shared" si="20"/>
        <v>2.2.2) 22.¿Cuál es el nivel de participación de las organizaciones de recicladores en la cadena de valor del reciclaje?</v>
      </c>
      <c r="AE47" s="28">
        <f t="shared" ca="1" si="13"/>
        <v>0</v>
      </c>
      <c r="AF47" s="28">
        <f t="shared" si="14"/>
        <v>0</v>
      </c>
      <c r="AG47" s="28">
        <f t="shared" si="15"/>
        <v>0</v>
      </c>
      <c r="AH47" s="28">
        <f t="shared" si="16"/>
        <v>0</v>
      </c>
      <c r="AI47" s="28" t="str">
        <f t="shared" si="21"/>
        <v>ORG2.2.2</v>
      </c>
    </row>
    <row r="48" spans="1:35">
      <c r="A48" s="28" t="str">
        <f>tblIndicators!D33</f>
        <v>ORG2.2.3</v>
      </c>
      <c r="B48" s="28">
        <f>tblIndicators!A33</f>
        <v>32</v>
      </c>
      <c r="C48" s="28">
        <f>IF(B48="",0,INDEX(tblIndicators!$F$2:$F$52,$B48))</f>
        <v>3</v>
      </c>
      <c r="E48" s="28" t="str">
        <f>IF(B48="","",IF(C48&gt;=1,TRIM(INDEX(tblIndicators!$AE$2:$AE$52,iCountryP!$B48)),UPPER(INDEX(tblIndicators!$AE$2:$AE$52,iCountryP!$B48))))</f>
        <v>2.2.3) 23. Las organizaciones comerciales de recicladores: ¿Tienen acceso a mecanismos de financiamiento?</v>
      </c>
      <c r="F48" s="28" t="str">
        <f>IF(B48="","",INDEX(tblIndicators!$N$2:$N$52,iCountryP!$B48))</f>
        <v>Scored 0-100 where 100 = most capable</v>
      </c>
      <c r="G48" s="28">
        <f t="shared" ca="1" si="0"/>
        <v>4</v>
      </c>
      <c r="H48" s="28">
        <f t="shared" ca="1" si="1"/>
        <v>9</v>
      </c>
      <c r="I48" s="32" t="str">
        <f t="shared" ca="1" si="17"/>
        <v>=4</v>
      </c>
      <c r="J48" s="28">
        <f t="shared" ca="1" si="2"/>
        <v>0</v>
      </c>
      <c r="K48" s="34" t="str">
        <f t="shared" ca="1" si="18"/>
        <v/>
      </c>
      <c r="L48" s="35"/>
      <c r="M48" s="33">
        <f t="shared" si="3"/>
        <v>0</v>
      </c>
      <c r="N48" s="28">
        <f t="shared" si="19"/>
        <v>0</v>
      </c>
      <c r="O48" s="28">
        <f>tblIndicators!V33</f>
        <v>0</v>
      </c>
      <c r="P48" s="28" t="e">
        <f t="shared" ca="1" si="4"/>
        <v>#N/A</v>
      </c>
      <c r="Q48" s="28" t="e">
        <f t="shared" ca="1" si="5"/>
        <v>#N/A</v>
      </c>
      <c r="R48" s="28" t="e">
        <f t="shared" ca="1" si="6"/>
        <v>#N/A</v>
      </c>
      <c r="T48" s="28" t="str">
        <f t="shared" ca="1" si="7"/>
        <v/>
      </c>
      <c r="U48" s="28" t="str">
        <f t="shared" ca="1" si="8"/>
        <v/>
      </c>
      <c r="V48" s="28" t="str">
        <f t="shared" ca="1" si="9"/>
        <v/>
      </c>
      <c r="W48" s="28" t="str">
        <f t="shared" ca="1" si="10"/>
        <v/>
      </c>
      <c r="X48" s="28" t="str">
        <f t="shared" ca="1" si="11"/>
        <v/>
      </c>
      <c r="Y48" s="28" t="str">
        <f t="shared" ca="1" si="12"/>
        <v/>
      </c>
      <c r="AD48" s="28" t="str">
        <f t="shared" si="20"/>
        <v>2.2.3) 23. Las organizaciones comerciales de recicladores: ¿Tienen acceso a mecanismos de financiamiento?</v>
      </c>
      <c r="AE48" s="28">
        <f t="shared" ca="1" si="13"/>
        <v>0</v>
      </c>
      <c r="AF48" s="28">
        <f t="shared" si="14"/>
        <v>0</v>
      </c>
      <c r="AG48" s="28">
        <f t="shared" si="15"/>
        <v>0</v>
      </c>
      <c r="AH48" s="28">
        <f t="shared" si="16"/>
        <v>0</v>
      </c>
      <c r="AI48" s="28" t="str">
        <f t="shared" si="21"/>
        <v>ORG2.2.3</v>
      </c>
    </row>
    <row r="49" spans="1:35">
      <c r="A49" s="28" t="str">
        <f>tblIndicators!D34</f>
        <v>MERC</v>
      </c>
      <c r="B49" s="28">
        <f>tblIndicators!A34</f>
        <v>33</v>
      </c>
      <c r="C49" s="28">
        <f>IF(B49="",0,INDEX(tblIndicators!$F$2:$F$52,$B49))</f>
        <v>1</v>
      </c>
      <c r="E49" s="28" t="str">
        <f>IF(B49="","",IF(C49&gt;=1,TRIM(INDEX(tblIndicators!$AE$2:$AE$52,iCountryP!$B49)),UPPER(INDEX(tblIndicators!$AE$2:$AE$52,iCountryP!$B49))))</f>
        <v>3) MERCADO</v>
      </c>
      <c r="F49" s="28" t="str">
        <f>IF(B49="","",INDEX(tblIndicators!$N$2:$N$52,iCountryP!$B49))</f>
        <v>Scored 0-100 where 100 = most capable</v>
      </c>
      <c r="G49" s="28">
        <f t="shared" ref="G49:G67" ca="1" si="22">IF(B49="","",RANK(J49,OFFSET(aScores,B49-1,0,1,$B$1)))</f>
        <v>11</v>
      </c>
      <c r="H49" s="28">
        <f t="shared" ref="H49:H67" ca="1" si="23">IF(B49="","",COUNTIF(OFFSET(aScores,B49-1,0,1,$B$1),J49))</f>
        <v>1</v>
      </c>
      <c r="I49" s="32">
        <f t="shared" ca="1" si="17"/>
        <v>11</v>
      </c>
      <c r="J49" s="28">
        <f t="shared" ref="J49:J67" ca="1" si="24">IF(B49="","",INDEX(aScores,B49,$B$2))</f>
        <v>27.448964052231986</v>
      </c>
      <c r="K49" s="34" t="str">
        <f t="shared" ca="1" si="18"/>
        <v>|||||||||</v>
      </c>
      <c r="L49" s="35"/>
      <c r="M49" s="33" t="str">
        <f t="shared" ref="M49:M67" si="25">IF(B49="","",IF(C49&lt;2,"",IF(F49="%",100*INDEX(aData,B49,$B$2),INDEX(aData,B49,$B$2))))</f>
        <v/>
      </c>
      <c r="N49" s="28">
        <f t="shared" si="19"/>
        <v>0</v>
      </c>
      <c r="O49" s="28" t="str">
        <f>tblIndicators!V34</f>
        <v>0.0</v>
      </c>
      <c r="P49" s="28" t="e">
        <f t="shared" ref="P49:P67" ca="1" si="26">P48+MATCH(P$15,OFFSET($N$17:$N$128,P48,0),0)</f>
        <v>#N/A</v>
      </c>
      <c r="Q49" s="28" t="e">
        <f t="shared" ref="Q49:Q67" ca="1" si="27">Q48+MATCH(Q$15,OFFSET($N$17:$N$128,Q48,0),0)</f>
        <v>#N/A</v>
      </c>
      <c r="R49" s="28" t="e">
        <f t="shared" ref="R49:R67" ca="1" si="28">R48+MATCH(R$15,OFFSET($N$17:$N$128,R48,0),0)</f>
        <v>#N/A</v>
      </c>
      <c r="T49" s="28" t="str">
        <f t="shared" ref="T49:T67" ca="1" si="29">IF(ISNUMBER(P49),INDEX($E$17:$E$128,P49),"")</f>
        <v/>
      </c>
      <c r="U49" s="28" t="str">
        <f t="shared" ref="U49:U67" ca="1" si="30">IF(ISNUMBER(P49),INDEX($J$17:$J$128,P49),"")</f>
        <v/>
      </c>
      <c r="V49" s="28" t="str">
        <f t="shared" ref="V49:V67" ca="1" si="31">IF(ISNUMBER(Q49),INDEX($E$17:$E$128,Q49),"")</f>
        <v/>
      </c>
      <c r="W49" s="28" t="str">
        <f t="shared" ref="W49:W67" ca="1" si="32">IF(ISNUMBER(Q49),INDEX($J$17:$J$128,Q49),"")</f>
        <v/>
      </c>
      <c r="X49" s="28" t="str">
        <f t="shared" ref="X49:X67" ca="1" si="33">IF(ISNUMBER(R49),INDEX($E$17:$E$128,R49),"")</f>
        <v/>
      </c>
      <c r="Y49" s="28" t="str">
        <f t="shared" ref="Y49:Y67" ca="1" si="34">IF(ISNUMBER(R49),INDEX($J$17:$J$128,R49),"")</f>
        <v/>
      </c>
      <c r="AD49" s="28" t="str">
        <f t="shared" si="20"/>
        <v>3) MERCADO</v>
      </c>
      <c r="AE49" s="28">
        <f t="shared" ref="AE49:AE67" ca="1" si="35">INDEX(aScores,B49,$B$2)</f>
        <v>27.448964052231986</v>
      </c>
      <c r="AF49" s="28">
        <f t="shared" ref="AF49:AF67" si="36">INDEX(aScores,B49,$B$4)</f>
        <v>0</v>
      </c>
      <c r="AG49" s="28">
        <f t="shared" ref="AG49:AG67" si="37">INDEX(aScores,B49,$B$5)</f>
        <v>0</v>
      </c>
      <c r="AH49" s="28">
        <f t="shared" ref="AH49:AH67" si="38">INDEX(aScores,B49,$B$6)</f>
        <v>0</v>
      </c>
      <c r="AI49" s="28" t="str">
        <f t="shared" si="21"/>
        <v>MERC</v>
      </c>
    </row>
    <row r="50" spans="1:35">
      <c r="A50" s="28" t="str">
        <f>tblIndicators!D35</f>
        <v>MERC3.1</v>
      </c>
      <c r="B50" s="28">
        <f>tblIndicators!A35</f>
        <v>34</v>
      </c>
      <c r="C50" s="28">
        <f>IF(B50="",0,INDEX(tblIndicators!$F$2:$F$52,$B50))</f>
        <v>2</v>
      </c>
      <c r="E50" s="28" t="str">
        <f>IF(B50="","",IF(C50&gt;=1,TRIM(INDEX(tblIndicators!$AE$2:$AE$52,iCountryP!$B50)),UPPER(INDEX(tblIndicators!$AE$2:$AE$52,iCountryP!$B50))))</f>
        <v>3.1) Condiciones de acceso y almacenamiento de residuos</v>
      </c>
      <c r="F50" s="28" t="str">
        <f>IF(B50="","",INDEX(tblIndicators!$N$2:$N$52,iCountryP!$B50))</f>
        <v>Scored 0-100 where 100 = most capable</v>
      </c>
      <c r="G50" s="28">
        <f t="shared" ca="1" si="22"/>
        <v>11</v>
      </c>
      <c r="H50" s="28">
        <f t="shared" ca="1" si="23"/>
        <v>2</v>
      </c>
      <c r="I50" s="32" t="str">
        <f t="shared" ca="1" si="17"/>
        <v>=11</v>
      </c>
      <c r="J50" s="28">
        <f t="shared" ca="1" si="24"/>
        <v>8.3333333333333321</v>
      </c>
      <c r="K50" s="34" t="str">
        <f t="shared" ca="1" si="18"/>
        <v>||</v>
      </c>
      <c r="L50" s="35"/>
      <c r="M50" s="33" t="str">
        <f t="shared" si="25"/>
        <v/>
      </c>
      <c r="N50" s="28">
        <f t="shared" ca="1" si="19"/>
        <v>1</v>
      </c>
      <c r="O50" s="28" t="str">
        <f>tblIndicators!V35</f>
        <v>0.0</v>
      </c>
      <c r="P50" s="28" t="e">
        <f t="shared" ca="1" si="26"/>
        <v>#N/A</v>
      </c>
      <c r="Q50" s="28" t="e">
        <f t="shared" ca="1" si="27"/>
        <v>#N/A</v>
      </c>
      <c r="R50" s="28" t="e">
        <f t="shared" ca="1" si="28"/>
        <v>#N/A</v>
      </c>
      <c r="T50" s="28" t="str">
        <f t="shared" ca="1" si="29"/>
        <v/>
      </c>
      <c r="U50" s="28" t="str">
        <f t="shared" ca="1" si="30"/>
        <v/>
      </c>
      <c r="V50" s="28" t="str">
        <f t="shared" ca="1" si="31"/>
        <v/>
      </c>
      <c r="W50" s="28" t="str">
        <f t="shared" ca="1" si="32"/>
        <v/>
      </c>
      <c r="X50" s="28" t="str">
        <f t="shared" ca="1" si="33"/>
        <v/>
      </c>
      <c r="Y50" s="28" t="str">
        <f t="shared" ca="1" si="34"/>
        <v/>
      </c>
      <c r="AD50" s="28" t="str">
        <f t="shared" si="20"/>
        <v>3.1) Condiciones de acceso y almacenamiento de residuos</v>
      </c>
      <c r="AE50" s="28">
        <f t="shared" ca="1" si="35"/>
        <v>8.3333333333333321</v>
      </c>
      <c r="AF50" s="28">
        <f t="shared" si="36"/>
        <v>0</v>
      </c>
      <c r="AG50" s="28">
        <f t="shared" si="37"/>
        <v>0</v>
      </c>
      <c r="AH50" s="28">
        <f t="shared" si="38"/>
        <v>0</v>
      </c>
      <c r="AI50" s="28" t="str">
        <f t="shared" si="21"/>
        <v>MERC3.1</v>
      </c>
    </row>
    <row r="51" spans="1:35">
      <c r="A51" s="28" t="str">
        <f>tblIndicators!D36</f>
        <v>MERC3.1.1</v>
      </c>
      <c r="B51" s="28">
        <f>tblIndicators!A36</f>
        <v>35</v>
      </c>
      <c r="C51" s="28">
        <f>IF(B51="",0,INDEX(tblIndicators!$F$2:$F$52,$B51))</f>
        <v>3</v>
      </c>
      <c r="E51" s="28" t="str">
        <f>IF(B51="","",IF(C51&gt;=1,TRIM(INDEX(tblIndicators!$AE$2:$AE$52,iCountryP!$B51)),UPPER(INDEX(tblIndicators!$AE$2:$AE$52,iCountryP!$B51))))</f>
        <v>3.1.1) 24.¿Cómo es el acceso del material reciclable?</v>
      </c>
      <c r="F51" s="28" t="str">
        <f>IF(B51="","",INDEX(tblIndicators!$N$2:$N$52,iCountryP!$B51))</f>
        <v>Scored 0-100 where 100 = most capable</v>
      </c>
      <c r="G51" s="28">
        <f t="shared" ca="1" si="22"/>
        <v>5</v>
      </c>
      <c r="H51" s="28">
        <f t="shared" ca="1" si="23"/>
        <v>8</v>
      </c>
      <c r="I51" s="32" t="str">
        <f t="shared" ca="1" si="17"/>
        <v>=5</v>
      </c>
      <c r="J51" s="28">
        <f t="shared" ca="1" si="24"/>
        <v>33.333333333333329</v>
      </c>
      <c r="K51" s="34" t="str">
        <f t="shared" ca="1" si="18"/>
        <v>|||||||||||</v>
      </c>
      <c r="L51" s="35"/>
      <c r="M51" s="33">
        <f t="shared" si="25"/>
        <v>1</v>
      </c>
      <c r="N51" s="28">
        <f t="shared" si="19"/>
        <v>0</v>
      </c>
      <c r="O51" s="28">
        <f>tblIndicators!V36</f>
        <v>0</v>
      </c>
      <c r="P51" s="28" t="e">
        <f t="shared" ca="1" si="26"/>
        <v>#N/A</v>
      </c>
      <c r="Q51" s="28" t="e">
        <f t="shared" ca="1" si="27"/>
        <v>#N/A</v>
      </c>
      <c r="R51" s="28" t="e">
        <f t="shared" ca="1" si="28"/>
        <v>#N/A</v>
      </c>
      <c r="T51" s="28" t="str">
        <f t="shared" ca="1" si="29"/>
        <v/>
      </c>
      <c r="U51" s="28" t="str">
        <f t="shared" ca="1" si="30"/>
        <v/>
      </c>
      <c r="V51" s="28" t="str">
        <f t="shared" ca="1" si="31"/>
        <v/>
      </c>
      <c r="W51" s="28" t="str">
        <f t="shared" ca="1" si="32"/>
        <v/>
      </c>
      <c r="X51" s="28" t="str">
        <f t="shared" ca="1" si="33"/>
        <v/>
      </c>
      <c r="Y51" s="28" t="str">
        <f t="shared" ca="1" si="34"/>
        <v/>
      </c>
      <c r="AD51" s="28" t="str">
        <f t="shared" si="20"/>
        <v>3.1.1) 24.¿Cómo es el acceso del material reciclable?</v>
      </c>
      <c r="AE51" s="28">
        <f t="shared" ca="1" si="35"/>
        <v>33.333333333333329</v>
      </c>
      <c r="AF51" s="28">
        <f t="shared" si="36"/>
        <v>0</v>
      </c>
      <c r="AG51" s="28">
        <f t="shared" si="37"/>
        <v>0</v>
      </c>
      <c r="AH51" s="28">
        <f t="shared" si="38"/>
        <v>0</v>
      </c>
      <c r="AI51" s="28" t="str">
        <f t="shared" si="21"/>
        <v>MERC3.1.1</v>
      </c>
    </row>
    <row r="52" spans="1:35">
      <c r="A52" s="28" t="str">
        <f>tblIndicators!D37</f>
        <v>MERC3.1.2</v>
      </c>
      <c r="B52" s="28">
        <f>tblIndicators!A37</f>
        <v>36</v>
      </c>
      <c r="C52" s="28">
        <f>IF(B52="",0,INDEX(tblIndicators!$F$2:$F$52,$B52))</f>
        <v>3</v>
      </c>
      <c r="E52" s="28" t="str">
        <f>IF(B52="","",IF(C52&gt;=1,TRIM(INDEX(tblIndicators!$AE$2:$AE$52,iCountryP!$B52)),UPPER(INDEX(tblIndicators!$AE$2:$AE$52,iCountryP!$B52))))</f>
        <v>3.1.2) 25.¿Existen esquemas formales de recolección diferenciada de residuos reciclables en el municipio que involucran a recicladores de base?</v>
      </c>
      <c r="F52" s="28" t="str">
        <f>IF(B52="","",INDEX(tblIndicators!$N$2:$N$52,iCountryP!$B52))</f>
        <v>Scored 0-100 where 100 = most capable</v>
      </c>
      <c r="G52" s="28">
        <f t="shared" ca="1" si="22"/>
        <v>8</v>
      </c>
      <c r="H52" s="28">
        <f t="shared" ca="1" si="23"/>
        <v>5</v>
      </c>
      <c r="I52" s="32" t="str">
        <f t="shared" ca="1" si="17"/>
        <v>=8</v>
      </c>
      <c r="J52" s="28">
        <f t="shared" ca="1" si="24"/>
        <v>0</v>
      </c>
      <c r="K52" s="34" t="str">
        <f t="shared" ca="1" si="18"/>
        <v/>
      </c>
      <c r="L52" s="35"/>
      <c r="M52" s="33">
        <f t="shared" si="25"/>
        <v>0</v>
      </c>
      <c r="N52" s="28">
        <f t="shared" si="19"/>
        <v>0</v>
      </c>
      <c r="O52" s="28">
        <f>tblIndicators!V37</f>
        <v>0</v>
      </c>
      <c r="P52" s="28" t="e">
        <f t="shared" ca="1" si="26"/>
        <v>#N/A</v>
      </c>
      <c r="Q52" s="28" t="e">
        <f t="shared" ca="1" si="27"/>
        <v>#N/A</v>
      </c>
      <c r="R52" s="28" t="e">
        <f t="shared" ca="1" si="28"/>
        <v>#N/A</v>
      </c>
      <c r="T52" s="28" t="str">
        <f t="shared" ca="1" si="29"/>
        <v/>
      </c>
      <c r="U52" s="28" t="str">
        <f t="shared" ca="1" si="30"/>
        <v/>
      </c>
      <c r="V52" s="28" t="str">
        <f t="shared" ca="1" si="31"/>
        <v/>
      </c>
      <c r="W52" s="28" t="str">
        <f t="shared" ca="1" si="32"/>
        <v/>
      </c>
      <c r="X52" s="28" t="str">
        <f t="shared" ca="1" si="33"/>
        <v/>
      </c>
      <c r="Y52" s="28" t="str">
        <f t="shared" ca="1" si="34"/>
        <v/>
      </c>
      <c r="AD52" s="28" t="str">
        <f t="shared" si="20"/>
        <v>3.1.2) 25.¿Existen esquemas formales de recolección diferenciada de residuos reciclables en el municipio que involucran a recicladores de base?</v>
      </c>
      <c r="AE52" s="28">
        <f t="shared" ca="1" si="35"/>
        <v>0</v>
      </c>
      <c r="AF52" s="28">
        <f t="shared" si="36"/>
        <v>0</v>
      </c>
      <c r="AG52" s="28">
        <f t="shared" si="37"/>
        <v>0</v>
      </c>
      <c r="AH52" s="28">
        <f t="shared" si="38"/>
        <v>0</v>
      </c>
      <c r="AI52" s="28" t="str">
        <f t="shared" si="21"/>
        <v>MERC3.1.2</v>
      </c>
    </row>
    <row r="53" spans="1:35">
      <c r="A53" s="28" t="str">
        <f>tblIndicators!D38</f>
        <v>MERC3.1.3</v>
      </c>
      <c r="B53" s="28">
        <f>tblIndicators!A38</f>
        <v>37</v>
      </c>
      <c r="C53" s="28">
        <f>IF(B53="",0,INDEX(tblIndicators!$F$2:$F$52,$B53))</f>
        <v>3</v>
      </c>
      <c r="E53" s="28" t="str">
        <f>IF(B53="","",IF(C53&gt;=1,TRIM(INDEX(tblIndicators!$AE$2:$AE$52,iCountryP!$B53)),UPPER(INDEX(tblIndicators!$AE$2:$AE$52,iCountryP!$B53))))</f>
        <v>3.1.3) 26.¿Los recicladores tienen acceso a instalaciones para el almacenamiento y la clasificación de materiales?</v>
      </c>
      <c r="F53" s="28" t="str">
        <f>IF(B53="","",INDEX(tblIndicators!$N$2:$N$52,iCountryP!$B53))</f>
        <v>Scored 0-100 where 100 = most capable</v>
      </c>
      <c r="G53" s="28">
        <f t="shared" ca="1" si="22"/>
        <v>8</v>
      </c>
      <c r="H53" s="28">
        <f t="shared" ca="1" si="23"/>
        <v>5</v>
      </c>
      <c r="I53" s="32" t="str">
        <f t="shared" ca="1" si="17"/>
        <v>=8</v>
      </c>
      <c r="J53" s="28">
        <f t="shared" ca="1" si="24"/>
        <v>0</v>
      </c>
      <c r="K53" s="34" t="str">
        <f t="shared" ca="1" si="18"/>
        <v/>
      </c>
      <c r="L53" s="35"/>
      <c r="M53" s="33">
        <f t="shared" si="25"/>
        <v>0</v>
      </c>
      <c r="N53" s="28">
        <f t="shared" si="19"/>
        <v>0</v>
      </c>
      <c r="O53" s="28">
        <f>tblIndicators!V38</f>
        <v>0</v>
      </c>
      <c r="P53" s="28" t="e">
        <f t="shared" ca="1" si="26"/>
        <v>#N/A</v>
      </c>
      <c r="Q53" s="28" t="e">
        <f t="shared" ca="1" si="27"/>
        <v>#N/A</v>
      </c>
      <c r="R53" s="28" t="e">
        <f t="shared" ca="1" si="28"/>
        <v>#N/A</v>
      </c>
      <c r="T53" s="28" t="str">
        <f t="shared" ca="1" si="29"/>
        <v/>
      </c>
      <c r="U53" s="28" t="str">
        <f t="shared" ca="1" si="30"/>
        <v/>
      </c>
      <c r="V53" s="28" t="str">
        <f t="shared" ca="1" si="31"/>
        <v/>
      </c>
      <c r="W53" s="28" t="str">
        <f t="shared" ca="1" si="32"/>
        <v/>
      </c>
      <c r="X53" s="28" t="str">
        <f t="shared" ca="1" si="33"/>
        <v/>
      </c>
      <c r="Y53" s="28" t="str">
        <f t="shared" ca="1" si="34"/>
        <v/>
      </c>
      <c r="AD53" s="28" t="str">
        <f t="shared" si="20"/>
        <v>3.1.3) 26.¿Los recicladores tienen acceso a instalaciones para el almacenamiento y la clasificación de materiales?</v>
      </c>
      <c r="AE53" s="28">
        <f t="shared" ca="1" si="35"/>
        <v>0</v>
      </c>
      <c r="AF53" s="28">
        <f t="shared" si="36"/>
        <v>0</v>
      </c>
      <c r="AG53" s="28">
        <f t="shared" si="37"/>
        <v>0</v>
      </c>
      <c r="AH53" s="28">
        <f t="shared" si="38"/>
        <v>0</v>
      </c>
      <c r="AI53" s="28" t="str">
        <f t="shared" si="21"/>
        <v>MERC3.1.3</v>
      </c>
    </row>
    <row r="54" spans="1:35">
      <c r="A54" s="28" t="str">
        <f>tblIndicators!D39</f>
        <v>MERC3.1.4</v>
      </c>
      <c r="B54" s="28">
        <f>tblIndicators!A39</f>
        <v>38</v>
      </c>
      <c r="C54" s="28">
        <f>IF(B54="",0,INDEX(tblIndicators!$F$2:$F$52,$B54))</f>
        <v>3</v>
      </c>
      <c r="E54" s="28" t="str">
        <f>IF(B54="","",IF(C54&gt;=1,TRIM(INDEX(tblIndicators!$AE$2:$AE$52,iCountryP!$B54)),UPPER(INDEX(tblIndicators!$AE$2:$AE$52,iCountryP!$B54))))</f>
        <v>3.1.4) 27.¿Cuál es el nivel de desarrollo técnico alcanzado en la clasificación (o pre-procesamiento) de materiales reciclables por parte de agrupaciones de recicladores?</v>
      </c>
      <c r="F54" s="28" t="str">
        <f>IF(B54="","",INDEX(tblIndicators!$N$2:$N$52,iCountryP!$B54))</f>
        <v>Scored 0-100 where 100 = most capable</v>
      </c>
      <c r="G54" s="28">
        <f t="shared" ca="1" si="22"/>
        <v>5</v>
      </c>
      <c r="H54" s="28">
        <f t="shared" ca="1" si="23"/>
        <v>8</v>
      </c>
      <c r="I54" s="32" t="str">
        <f t="shared" ca="1" si="17"/>
        <v>=5</v>
      </c>
      <c r="J54" s="28">
        <f t="shared" ca="1" si="24"/>
        <v>0</v>
      </c>
      <c r="K54" s="34" t="str">
        <f t="shared" ca="1" si="18"/>
        <v/>
      </c>
      <c r="L54" s="35"/>
      <c r="M54" s="33">
        <f t="shared" si="25"/>
        <v>0</v>
      </c>
      <c r="N54" s="28">
        <f t="shared" si="19"/>
        <v>0</v>
      </c>
      <c r="O54" s="28">
        <f>tblIndicators!V39</f>
        <v>0</v>
      </c>
      <c r="P54" s="28" t="e">
        <f t="shared" ca="1" si="26"/>
        <v>#N/A</v>
      </c>
      <c r="Q54" s="28" t="e">
        <f t="shared" ca="1" si="27"/>
        <v>#N/A</v>
      </c>
      <c r="R54" s="28" t="e">
        <f t="shared" ca="1" si="28"/>
        <v>#N/A</v>
      </c>
      <c r="T54" s="28" t="str">
        <f t="shared" ca="1" si="29"/>
        <v/>
      </c>
      <c r="U54" s="28" t="str">
        <f t="shared" ca="1" si="30"/>
        <v/>
      </c>
      <c r="V54" s="28" t="str">
        <f t="shared" ca="1" si="31"/>
        <v/>
      </c>
      <c r="W54" s="28" t="str">
        <f t="shared" ca="1" si="32"/>
        <v/>
      </c>
      <c r="X54" s="28" t="str">
        <f t="shared" ca="1" si="33"/>
        <v/>
      </c>
      <c r="Y54" s="28" t="str">
        <f t="shared" ca="1" si="34"/>
        <v/>
      </c>
      <c r="AD54" s="28" t="str">
        <f t="shared" si="20"/>
        <v>3.1.4) 27.¿Cuál es el nivel de desarrollo técnico alcanzado en la clasificación (o pre-procesamiento) de materiales reciclables por parte de agrupaciones de recicladores?</v>
      </c>
      <c r="AE54" s="28">
        <f t="shared" ca="1" si="35"/>
        <v>0</v>
      </c>
      <c r="AF54" s="28">
        <f t="shared" si="36"/>
        <v>0</v>
      </c>
      <c r="AG54" s="28">
        <f t="shared" si="37"/>
        <v>0</v>
      </c>
      <c r="AH54" s="28">
        <f t="shared" si="38"/>
        <v>0</v>
      </c>
      <c r="AI54" s="28" t="str">
        <f t="shared" si="21"/>
        <v>MERC3.1.4</v>
      </c>
    </row>
    <row r="55" spans="1:35">
      <c r="A55" s="28" t="str">
        <f>tblIndicators!D40</f>
        <v>MERC3.2</v>
      </c>
      <c r="B55" s="28">
        <f>tblIndicators!A40</f>
        <v>39</v>
      </c>
      <c r="C55" s="28">
        <f>IF(B55="",0,INDEX(tblIndicators!$F$2:$F$52,$B55))</f>
        <v>2</v>
      </c>
      <c r="E55" s="28" t="str">
        <f>IF(B55="","",IF(C55&gt;=1,TRIM(INDEX(tblIndicators!$AE$2:$AE$52,iCountryP!$B55)),UPPER(INDEX(tblIndicators!$AE$2:$AE$52,iCountryP!$B55))))</f>
        <v>3.2) Condiciones para la comercialización de material reciclable</v>
      </c>
      <c r="F55" s="28" t="str">
        <f>IF(B55="","",INDEX(tblIndicators!$N$2:$N$52,iCountryP!$B55))</f>
        <v>Scored 0-100 where 100 = most capable</v>
      </c>
      <c r="G55" s="28">
        <f t="shared" ca="1" si="22"/>
        <v>3</v>
      </c>
      <c r="H55" s="28">
        <f t="shared" ca="1" si="23"/>
        <v>1</v>
      </c>
      <c r="I55" s="32">
        <f t="shared" ca="1" si="17"/>
        <v>3</v>
      </c>
      <c r="J55" s="28">
        <f t="shared" ca="1" si="24"/>
        <v>97.584355828220851</v>
      </c>
      <c r="K55" s="34" t="str">
        <f t="shared" ca="1" si="18"/>
        <v>||||||||||||||||||||||||||||||||</v>
      </c>
      <c r="L55" s="35"/>
      <c r="M55" s="33" t="str">
        <f t="shared" si="25"/>
        <v/>
      </c>
      <c r="N55" s="28">
        <f t="shared" ca="1" si="19"/>
        <v>3</v>
      </c>
      <c r="O55" s="28" t="str">
        <f>tblIndicators!V40</f>
        <v>0.0</v>
      </c>
      <c r="P55" s="28" t="e">
        <f t="shared" ca="1" si="26"/>
        <v>#N/A</v>
      </c>
      <c r="Q55" s="28" t="e">
        <f t="shared" ca="1" si="27"/>
        <v>#N/A</v>
      </c>
      <c r="R55" s="28" t="e">
        <f t="shared" ca="1" si="28"/>
        <v>#N/A</v>
      </c>
      <c r="T55" s="28" t="str">
        <f t="shared" ca="1" si="29"/>
        <v/>
      </c>
      <c r="U55" s="28" t="str">
        <f t="shared" ca="1" si="30"/>
        <v/>
      </c>
      <c r="V55" s="28" t="str">
        <f t="shared" ca="1" si="31"/>
        <v/>
      </c>
      <c r="W55" s="28" t="str">
        <f t="shared" ca="1" si="32"/>
        <v/>
      </c>
      <c r="X55" s="28" t="str">
        <f t="shared" ca="1" si="33"/>
        <v/>
      </c>
      <c r="Y55" s="28" t="str">
        <f t="shared" ca="1" si="34"/>
        <v/>
      </c>
      <c r="AD55" s="28" t="str">
        <f t="shared" si="20"/>
        <v>3.2) Condiciones para la comercialización de material reciclable</v>
      </c>
      <c r="AE55" s="28">
        <f t="shared" ca="1" si="35"/>
        <v>97.584355828220851</v>
      </c>
      <c r="AF55" s="28">
        <f t="shared" si="36"/>
        <v>0</v>
      </c>
      <c r="AG55" s="28">
        <f t="shared" si="37"/>
        <v>0</v>
      </c>
      <c r="AH55" s="28">
        <f t="shared" si="38"/>
        <v>0</v>
      </c>
      <c r="AI55" s="28" t="str">
        <f t="shared" si="21"/>
        <v>MERC3.2</v>
      </c>
    </row>
    <row r="56" spans="1:35">
      <c r="A56" s="28" t="str">
        <f>tblIndicators!D41</f>
        <v>MERC3.2.1</v>
      </c>
      <c r="B56" s="28">
        <f>tblIndicators!A41</f>
        <v>40</v>
      </c>
      <c r="C56" s="28">
        <f>IF(B56="",0,INDEX(tblIndicators!$F$2:$F$52,$B56))</f>
        <v>3</v>
      </c>
      <c r="E56" s="28" t="str">
        <f>IF(B56="","",IF(C56&gt;=1,TRIM(INDEX(tblIndicators!$AE$2:$AE$52,iCountryP!$B56)),UPPER(INDEX(tblIndicators!$AE$2:$AE$52,iCountryP!$B56))))</f>
        <v>3.2.1) 28.¿Cuál es la diferencia de valor del material en los diferentes eslabones de la cadena del reciclaje?</v>
      </c>
      <c r="F56" s="28" t="str">
        <f>IF(B56="","",INDEX(tblIndicators!$N$2:$N$52,iCountryP!$B56))</f>
        <v>Scored 0-100 where 100 = most capable</v>
      </c>
      <c r="G56" s="28">
        <f t="shared" ca="1" si="22"/>
        <v>4</v>
      </c>
      <c r="H56" s="28">
        <f t="shared" ca="1" si="23"/>
        <v>2</v>
      </c>
      <c r="I56" s="32" t="str">
        <f t="shared" ca="1" si="17"/>
        <v>=4</v>
      </c>
      <c r="J56" s="28">
        <f t="shared" ca="1" si="24"/>
        <v>95.168711656441715</v>
      </c>
      <c r="K56" s="34" t="str">
        <f t="shared" ca="1" si="18"/>
        <v>|||||||||||||||||||||||||||||||</v>
      </c>
      <c r="L56" s="35"/>
      <c r="M56" s="33">
        <f t="shared" si="25"/>
        <v>1.5</v>
      </c>
      <c r="N56" s="28">
        <f t="shared" si="19"/>
        <v>0</v>
      </c>
      <c r="O56" s="28" t="str">
        <f>tblIndicators!V41</f>
        <v>0.0</v>
      </c>
      <c r="P56" s="28" t="e">
        <f t="shared" ca="1" si="26"/>
        <v>#N/A</v>
      </c>
      <c r="Q56" s="28" t="e">
        <f t="shared" ca="1" si="27"/>
        <v>#N/A</v>
      </c>
      <c r="R56" s="28" t="e">
        <f t="shared" ca="1" si="28"/>
        <v>#N/A</v>
      </c>
      <c r="T56" s="28" t="str">
        <f t="shared" ca="1" si="29"/>
        <v/>
      </c>
      <c r="U56" s="28" t="str">
        <f t="shared" ca="1" si="30"/>
        <v/>
      </c>
      <c r="V56" s="28" t="str">
        <f t="shared" ca="1" si="31"/>
        <v/>
      </c>
      <c r="W56" s="28" t="str">
        <f t="shared" ca="1" si="32"/>
        <v/>
      </c>
      <c r="X56" s="28" t="str">
        <f t="shared" ca="1" si="33"/>
        <v/>
      </c>
      <c r="Y56" s="28" t="str">
        <f t="shared" ca="1" si="34"/>
        <v/>
      </c>
      <c r="AD56" s="28" t="str">
        <f t="shared" si="20"/>
        <v>3.2.1) 28.¿Cuál es la diferencia de valor del material en los diferentes eslabones de la cadena del reciclaje?</v>
      </c>
      <c r="AE56" s="28">
        <f t="shared" ca="1" si="35"/>
        <v>95.168711656441715</v>
      </c>
      <c r="AF56" s="28">
        <f t="shared" si="36"/>
        <v>0</v>
      </c>
      <c r="AG56" s="28">
        <f t="shared" si="37"/>
        <v>0</v>
      </c>
      <c r="AH56" s="28">
        <f t="shared" si="38"/>
        <v>0</v>
      </c>
      <c r="AI56" s="28" t="str">
        <f t="shared" si="21"/>
        <v>MERC3.2.1</v>
      </c>
    </row>
    <row r="57" spans="1:35">
      <c r="A57" s="28" t="str">
        <f>tblIndicators!D42</f>
        <v>MERC3.2.2</v>
      </c>
      <c r="B57" s="28">
        <f>tblIndicators!A42</f>
        <v>41</v>
      </c>
      <c r="C57" s="28">
        <f>IF(B57="",0,INDEX(tblIndicators!$F$2:$F$52,$B57))</f>
        <v>3</v>
      </c>
      <c r="E57" s="28" t="str">
        <f>IF(B57="","",IF(C57&gt;=1,TRIM(INDEX(tblIndicators!$AE$2:$AE$52,iCountryP!$B57)),UPPER(INDEX(tblIndicators!$AE$2:$AE$52,iCountryP!$B57))))</f>
        <v>3.2.2) 29.¿Cuál es el nivel de desarrollo de la industria transformadora a nivel nacional?</v>
      </c>
      <c r="F57" s="28" t="str">
        <f>IF(B57="","",INDEX(tblIndicators!$N$2:$N$52,iCountryP!$B57))</f>
        <v>Scored 0-100 where 100 = most capable</v>
      </c>
      <c r="G57" s="28">
        <f t="shared" ca="1" si="22"/>
        <v>1</v>
      </c>
      <c r="H57" s="28">
        <f t="shared" ca="1" si="23"/>
        <v>9</v>
      </c>
      <c r="I57" s="32" t="str">
        <f t="shared" ca="1" si="17"/>
        <v>=1</v>
      </c>
      <c r="J57" s="28">
        <f t="shared" ca="1" si="24"/>
        <v>100</v>
      </c>
      <c r="K57" s="34" t="str">
        <f t="shared" ca="1" si="18"/>
        <v>|||||||||||||||||||||||||||||||||</v>
      </c>
      <c r="L57" s="35"/>
      <c r="M57" s="33">
        <f t="shared" si="25"/>
        <v>3</v>
      </c>
      <c r="N57" s="28">
        <f t="shared" si="19"/>
        <v>0</v>
      </c>
      <c r="O57" s="28">
        <f>tblIndicators!V42</f>
        <v>0</v>
      </c>
      <c r="P57" s="28" t="e">
        <f t="shared" ca="1" si="26"/>
        <v>#N/A</v>
      </c>
      <c r="Q57" s="28" t="e">
        <f t="shared" ca="1" si="27"/>
        <v>#N/A</v>
      </c>
      <c r="R57" s="28" t="e">
        <f t="shared" ca="1" si="28"/>
        <v>#N/A</v>
      </c>
      <c r="T57" s="28" t="str">
        <f t="shared" ca="1" si="29"/>
        <v/>
      </c>
      <c r="U57" s="28" t="str">
        <f t="shared" ca="1" si="30"/>
        <v/>
      </c>
      <c r="V57" s="28" t="str">
        <f t="shared" ca="1" si="31"/>
        <v/>
      </c>
      <c r="W57" s="28" t="str">
        <f t="shared" ca="1" si="32"/>
        <v/>
      </c>
      <c r="X57" s="28" t="str">
        <f t="shared" ca="1" si="33"/>
        <v/>
      </c>
      <c r="Y57" s="28" t="str">
        <f t="shared" ca="1" si="34"/>
        <v/>
      </c>
      <c r="AD57" s="28" t="str">
        <f t="shared" si="20"/>
        <v>3.2.2) 29.¿Cuál es el nivel de desarrollo de la industria transformadora a nivel nacional?</v>
      </c>
      <c r="AE57" s="28">
        <f t="shared" ca="1" si="35"/>
        <v>100</v>
      </c>
      <c r="AF57" s="28">
        <f t="shared" si="36"/>
        <v>0</v>
      </c>
      <c r="AG57" s="28">
        <f t="shared" si="37"/>
        <v>0</v>
      </c>
      <c r="AH57" s="28">
        <f t="shared" si="38"/>
        <v>0</v>
      </c>
      <c r="AI57" s="28" t="str">
        <f t="shared" si="21"/>
        <v>MERC3.2.2</v>
      </c>
    </row>
    <row r="58" spans="1:35">
      <c r="A58" s="28" t="str">
        <f>tblIndicators!D43</f>
        <v>MERC3.3</v>
      </c>
      <c r="B58" s="28">
        <f>tblIndicators!A43</f>
        <v>42</v>
      </c>
      <c r="C58" s="28">
        <f>IF(B58="",0,INDEX(tblIndicators!$F$2:$F$52,$B58))</f>
        <v>2</v>
      </c>
      <c r="E58" s="28" t="str">
        <f>IF(B58="","",IF(C58&gt;=1,TRIM(INDEX(tblIndicators!$AE$2:$AE$52,iCountryP!$B58)),UPPER(INDEX(tblIndicators!$AE$2:$AE$52,iCountryP!$B58))))</f>
        <v>3.3) Ingreso de los recicladores de base</v>
      </c>
      <c r="F58" s="28" t="str">
        <f>IF(B58="","",INDEX(tblIndicators!$N$2:$N$52,iCountryP!$B58))</f>
        <v>Scored 0-100 where 100 = most capable</v>
      </c>
      <c r="G58" s="28">
        <f t="shared" ca="1" si="22"/>
        <v>11</v>
      </c>
      <c r="H58" s="28">
        <f t="shared" ca="1" si="23"/>
        <v>1</v>
      </c>
      <c r="I58" s="32">
        <f t="shared" ca="1" si="17"/>
        <v>11</v>
      </c>
      <c r="J58" s="28">
        <f t="shared" ca="1" si="24"/>
        <v>3.8781670473737684</v>
      </c>
      <c r="K58" s="34" t="str">
        <f t="shared" ca="1" si="18"/>
        <v>|</v>
      </c>
      <c r="L58" s="35"/>
      <c r="M58" s="33" t="str">
        <f t="shared" si="25"/>
        <v/>
      </c>
      <c r="N58" s="28">
        <f t="shared" ca="1" si="19"/>
        <v>1</v>
      </c>
      <c r="O58" s="28" t="str">
        <f>tblIndicators!V43</f>
        <v>0.0</v>
      </c>
      <c r="P58" s="28" t="e">
        <f t="shared" ca="1" si="26"/>
        <v>#N/A</v>
      </c>
      <c r="Q58" s="28" t="e">
        <f t="shared" ca="1" si="27"/>
        <v>#N/A</v>
      </c>
      <c r="R58" s="28" t="e">
        <f t="shared" ca="1" si="28"/>
        <v>#N/A</v>
      </c>
      <c r="T58" s="28" t="str">
        <f t="shared" ca="1" si="29"/>
        <v/>
      </c>
      <c r="U58" s="28" t="str">
        <f t="shared" ca="1" si="30"/>
        <v/>
      </c>
      <c r="V58" s="28" t="str">
        <f t="shared" ca="1" si="31"/>
        <v/>
      </c>
      <c r="W58" s="28" t="str">
        <f t="shared" ca="1" si="32"/>
        <v/>
      </c>
      <c r="X58" s="28" t="str">
        <f t="shared" ca="1" si="33"/>
        <v/>
      </c>
      <c r="Y58" s="28" t="str">
        <f t="shared" ca="1" si="34"/>
        <v/>
      </c>
      <c r="AD58" s="28" t="str">
        <f t="shared" si="20"/>
        <v>3.3) Ingreso de los recicladores de base</v>
      </c>
      <c r="AE58" s="28">
        <f t="shared" ca="1" si="35"/>
        <v>3.8781670473737684</v>
      </c>
      <c r="AF58" s="28">
        <f t="shared" si="36"/>
        <v>0</v>
      </c>
      <c r="AG58" s="28">
        <f t="shared" si="37"/>
        <v>0</v>
      </c>
      <c r="AH58" s="28">
        <f t="shared" si="38"/>
        <v>0</v>
      </c>
      <c r="AI58" s="28" t="str">
        <f t="shared" si="21"/>
        <v>MERC3.3</v>
      </c>
    </row>
    <row r="59" spans="1:35">
      <c r="A59" s="28" t="str">
        <f>tblIndicators!D44</f>
        <v>MERC3.3.1</v>
      </c>
      <c r="B59" s="28">
        <f>tblIndicators!A44</f>
        <v>43</v>
      </c>
      <c r="C59" s="28">
        <f>IF(B59="",0,INDEX(tblIndicators!$F$2:$F$52,$B59))</f>
        <v>3</v>
      </c>
      <c r="E59" s="28" t="str">
        <f>IF(B59="","",IF(C59&gt;=1,TRIM(INDEX(tblIndicators!$AE$2:$AE$52,iCountryP!$B59)),UPPER(INDEX(tblIndicators!$AE$2:$AE$52,iCountryP!$B59))))</f>
        <v>3.3.1) 30.¿Se permite la contratación con agrupaciones de recicladores de base en el sistema de gestión de residuos del municipio?</v>
      </c>
      <c r="F59" s="28" t="str">
        <f>IF(B59="","",INDEX(tblIndicators!$N$2:$N$52,iCountryP!$B59))</f>
        <v>Scored 0-100 where 100 = most capable</v>
      </c>
      <c r="G59" s="28">
        <f t="shared" ca="1" si="22"/>
        <v>7</v>
      </c>
      <c r="H59" s="28">
        <f t="shared" ca="1" si="23"/>
        <v>6</v>
      </c>
      <c r="I59" s="32" t="str">
        <f t="shared" ca="1" si="17"/>
        <v>=7</v>
      </c>
      <c r="J59" s="28">
        <f t="shared" ca="1" si="24"/>
        <v>0</v>
      </c>
      <c r="K59" s="34" t="str">
        <f t="shared" ca="1" si="18"/>
        <v/>
      </c>
      <c r="L59" s="35"/>
      <c r="M59" s="33">
        <f t="shared" si="25"/>
        <v>0</v>
      </c>
      <c r="N59" s="28">
        <f t="shared" si="19"/>
        <v>0</v>
      </c>
      <c r="O59" s="28">
        <f>tblIndicators!V44</f>
        <v>0</v>
      </c>
      <c r="P59" s="28" t="e">
        <f t="shared" ca="1" si="26"/>
        <v>#N/A</v>
      </c>
      <c r="Q59" s="28" t="e">
        <f t="shared" ca="1" si="27"/>
        <v>#N/A</v>
      </c>
      <c r="R59" s="28" t="e">
        <f t="shared" ca="1" si="28"/>
        <v>#N/A</v>
      </c>
      <c r="T59" s="28" t="str">
        <f t="shared" ca="1" si="29"/>
        <v/>
      </c>
      <c r="U59" s="28" t="str">
        <f t="shared" ca="1" si="30"/>
        <v/>
      </c>
      <c r="V59" s="28" t="str">
        <f t="shared" ca="1" si="31"/>
        <v/>
      </c>
      <c r="W59" s="28" t="str">
        <f t="shared" ca="1" si="32"/>
        <v/>
      </c>
      <c r="X59" s="28" t="str">
        <f t="shared" ca="1" si="33"/>
        <v/>
      </c>
      <c r="Y59" s="28" t="str">
        <f t="shared" ca="1" si="34"/>
        <v/>
      </c>
      <c r="AD59" s="28" t="str">
        <f t="shared" si="20"/>
        <v>3.3.1) 30.¿Se permite la contratación con agrupaciones de recicladores de base en el sistema de gestión de residuos del municipio?</v>
      </c>
      <c r="AE59" s="28">
        <f t="shared" ca="1" si="35"/>
        <v>0</v>
      </c>
      <c r="AF59" s="28">
        <f t="shared" si="36"/>
        <v>0</v>
      </c>
      <c r="AG59" s="28">
        <f t="shared" si="37"/>
        <v>0</v>
      </c>
      <c r="AH59" s="28">
        <f t="shared" si="38"/>
        <v>0</v>
      </c>
      <c r="AI59" s="28" t="str">
        <f t="shared" si="21"/>
        <v>MERC3.3.1</v>
      </c>
    </row>
    <row r="60" spans="1:35">
      <c r="A60" s="28" t="str">
        <f>tblIndicators!D45</f>
        <v>MERC3.3.2</v>
      </c>
      <c r="B60" s="28">
        <f>tblIndicators!A45</f>
        <v>44</v>
      </c>
      <c r="C60" s="28">
        <f>IF(B60="",0,INDEX(tblIndicators!$F$2:$F$52,$B60))</f>
        <v>3</v>
      </c>
      <c r="E60" s="28" t="str">
        <f>IF(B60="","",IF(C60&gt;=1,TRIM(INDEX(tblIndicators!$AE$2:$AE$52,iCountryP!$B60)),UPPER(INDEX(tblIndicators!$AE$2:$AE$52,iCountryP!$B60))))</f>
        <v>3.3.2) 31.¿Existen mecanismos de pago periódico fijo para los recicladores de base por servicios prestados?</v>
      </c>
      <c r="F60" s="28" t="str">
        <f>IF(B60="","",INDEX(tblIndicators!$N$2:$N$52,iCountryP!$B60))</f>
        <v>Scored 0-100 where 100 = most capable</v>
      </c>
      <c r="G60" s="28">
        <f t="shared" ca="1" si="22"/>
        <v>4</v>
      </c>
      <c r="H60" s="28">
        <f t="shared" ca="1" si="23"/>
        <v>9</v>
      </c>
      <c r="I60" s="32" t="str">
        <f t="shared" ca="1" si="17"/>
        <v>=4</v>
      </c>
      <c r="J60" s="28">
        <f t="shared" ca="1" si="24"/>
        <v>0</v>
      </c>
      <c r="K60" s="34" t="str">
        <f t="shared" ca="1" si="18"/>
        <v/>
      </c>
      <c r="L60" s="35"/>
      <c r="M60" s="33">
        <f t="shared" si="25"/>
        <v>0</v>
      </c>
      <c r="N60" s="28">
        <f t="shared" si="19"/>
        <v>0</v>
      </c>
      <c r="O60" s="28">
        <f>tblIndicators!V45</f>
        <v>0</v>
      </c>
      <c r="P60" s="28" t="e">
        <f t="shared" ca="1" si="26"/>
        <v>#N/A</v>
      </c>
      <c r="Q60" s="28" t="e">
        <f t="shared" ca="1" si="27"/>
        <v>#N/A</v>
      </c>
      <c r="R60" s="28" t="e">
        <f t="shared" ca="1" si="28"/>
        <v>#N/A</v>
      </c>
      <c r="T60" s="28" t="str">
        <f t="shared" ca="1" si="29"/>
        <v/>
      </c>
      <c r="U60" s="28" t="str">
        <f t="shared" ca="1" si="30"/>
        <v/>
      </c>
      <c r="V60" s="28" t="str">
        <f t="shared" ca="1" si="31"/>
        <v/>
      </c>
      <c r="W60" s="28" t="str">
        <f t="shared" ca="1" si="32"/>
        <v/>
      </c>
      <c r="X60" s="28" t="str">
        <f t="shared" ca="1" si="33"/>
        <v/>
      </c>
      <c r="Y60" s="28" t="str">
        <f t="shared" ca="1" si="34"/>
        <v/>
      </c>
      <c r="AD60" s="28" t="str">
        <f t="shared" si="20"/>
        <v>3.3.2) 31.¿Existen mecanismos de pago periódico fijo para los recicladores de base por servicios prestados?</v>
      </c>
      <c r="AE60" s="28">
        <f t="shared" ca="1" si="35"/>
        <v>0</v>
      </c>
      <c r="AF60" s="28">
        <f t="shared" si="36"/>
        <v>0</v>
      </c>
      <c r="AG60" s="28">
        <f t="shared" si="37"/>
        <v>0</v>
      </c>
      <c r="AH60" s="28">
        <f t="shared" si="38"/>
        <v>0</v>
      </c>
      <c r="AI60" s="28" t="str">
        <f t="shared" si="21"/>
        <v>MERC3.3.2</v>
      </c>
    </row>
    <row r="61" spans="1:35">
      <c r="A61" s="28" t="str">
        <f>tblIndicators!D46</f>
        <v>MERC3.3.3</v>
      </c>
      <c r="B61" s="28">
        <f>tblIndicators!A46</f>
        <v>45</v>
      </c>
      <c r="C61" s="28">
        <f>IF(B61="",0,INDEX(tblIndicators!$F$2:$F$52,$B61))</f>
        <v>3</v>
      </c>
      <c r="E61" s="28" t="str">
        <f>IF(B61="","",IF(C61&gt;=1,TRIM(INDEX(tblIndicators!$AE$2:$AE$52,iCountryP!$B61)),UPPER(INDEX(tblIndicators!$AE$2:$AE$52,iCountryP!$B61))))</f>
        <v>3.3.3) 32.¿Existen programas de diversificación de los servicios prestados por recicladores?</v>
      </c>
      <c r="F61" s="28" t="str">
        <f>IF(B61="","",INDEX(tblIndicators!$N$2:$N$52,iCountryP!$B61))</f>
        <v>Scored 0-100 where 100 = most capable</v>
      </c>
      <c r="G61" s="28">
        <f t="shared" ca="1" si="22"/>
        <v>3</v>
      </c>
      <c r="H61" s="28">
        <f t="shared" ca="1" si="23"/>
        <v>10</v>
      </c>
      <c r="I61" s="32" t="str">
        <f t="shared" ca="1" si="17"/>
        <v>=3</v>
      </c>
      <c r="J61" s="28">
        <f t="shared" ca="1" si="24"/>
        <v>0</v>
      </c>
      <c r="K61" s="34" t="str">
        <f t="shared" ca="1" si="18"/>
        <v/>
      </c>
      <c r="L61" s="35"/>
      <c r="M61" s="33">
        <f t="shared" si="25"/>
        <v>0</v>
      </c>
      <c r="N61" s="28">
        <f t="shared" si="19"/>
        <v>0</v>
      </c>
      <c r="O61" s="28">
        <f>tblIndicators!V46</f>
        <v>0</v>
      </c>
      <c r="P61" s="28" t="e">
        <f t="shared" ca="1" si="26"/>
        <v>#N/A</v>
      </c>
      <c r="Q61" s="28" t="e">
        <f t="shared" ca="1" si="27"/>
        <v>#N/A</v>
      </c>
      <c r="R61" s="28" t="e">
        <f t="shared" ca="1" si="28"/>
        <v>#N/A</v>
      </c>
      <c r="T61" s="28" t="str">
        <f t="shared" ca="1" si="29"/>
        <v/>
      </c>
      <c r="U61" s="28" t="str">
        <f t="shared" ca="1" si="30"/>
        <v/>
      </c>
      <c r="V61" s="28" t="str">
        <f t="shared" ca="1" si="31"/>
        <v/>
      </c>
      <c r="W61" s="28" t="str">
        <f t="shared" ca="1" si="32"/>
        <v/>
      </c>
      <c r="X61" s="28" t="str">
        <f t="shared" ca="1" si="33"/>
        <v/>
      </c>
      <c r="Y61" s="28" t="str">
        <f t="shared" ca="1" si="34"/>
        <v/>
      </c>
      <c r="AD61" s="28" t="str">
        <f t="shared" si="20"/>
        <v>3.3.3) 32.¿Existen programas de diversificación de los servicios prestados por recicladores?</v>
      </c>
      <c r="AE61" s="28">
        <f t="shared" ca="1" si="35"/>
        <v>0</v>
      </c>
      <c r="AF61" s="28">
        <f t="shared" si="36"/>
        <v>0</v>
      </c>
      <c r="AG61" s="28">
        <f t="shared" si="37"/>
        <v>0</v>
      </c>
      <c r="AH61" s="28">
        <f t="shared" si="38"/>
        <v>0</v>
      </c>
      <c r="AI61" s="28" t="str">
        <f t="shared" si="21"/>
        <v>MERC3.3.3</v>
      </c>
    </row>
    <row r="62" spans="1:35">
      <c r="A62" s="28" t="str">
        <f>tblIndicators!D47</f>
        <v>MERC3.3.4</v>
      </c>
      <c r="B62" s="28">
        <f>tblIndicators!A47</f>
        <v>46</v>
      </c>
      <c r="C62" s="28">
        <f>IF(B62="",0,INDEX(tblIndicators!$F$2:$F$52,$B62))</f>
        <v>3</v>
      </c>
      <c r="E62" s="28" t="str">
        <f>IF(B62="","",IF(C62&gt;=1,TRIM(INDEX(tblIndicators!$AE$2:$AE$52,iCountryP!$B62)),UPPER(INDEX(tblIndicators!$AE$2:$AE$52,iCountryP!$B62))))</f>
        <v>3.3.4) 33. Ingreso promedio de los recicladores con respecto al salario mínimo nacional</v>
      </c>
      <c r="F62" s="28" t="str">
        <f>IF(B62="","",INDEX(tblIndicators!$N$2:$N$52,iCountryP!$B62))</f>
        <v>Scored 0-100 where 100 = most capable</v>
      </c>
      <c r="G62" s="28">
        <f t="shared" ca="1" si="22"/>
        <v>11</v>
      </c>
      <c r="H62" s="28">
        <f t="shared" ca="1" si="23"/>
        <v>1</v>
      </c>
      <c r="I62" s="32">
        <f t="shared" ca="1" si="17"/>
        <v>11</v>
      </c>
      <c r="J62" s="28">
        <f t="shared" ca="1" si="24"/>
        <v>15.512668189495074</v>
      </c>
      <c r="K62" s="34" t="str">
        <f t="shared" ca="1" si="18"/>
        <v>|||||</v>
      </c>
      <c r="L62" s="35"/>
      <c r="M62" s="33">
        <f t="shared" si="25"/>
        <v>36.183115510977956</v>
      </c>
      <c r="N62" s="28">
        <f t="shared" si="19"/>
        <v>0</v>
      </c>
      <c r="O62" s="28" t="str">
        <f>tblIndicators!V47</f>
        <v>0.0</v>
      </c>
      <c r="P62" s="28" t="e">
        <f t="shared" ca="1" si="26"/>
        <v>#N/A</v>
      </c>
      <c r="Q62" s="28" t="e">
        <f t="shared" ca="1" si="27"/>
        <v>#N/A</v>
      </c>
      <c r="R62" s="28" t="e">
        <f t="shared" ca="1" si="28"/>
        <v>#N/A</v>
      </c>
      <c r="T62" s="28" t="str">
        <f t="shared" ca="1" si="29"/>
        <v/>
      </c>
      <c r="U62" s="28" t="str">
        <f t="shared" ca="1" si="30"/>
        <v/>
      </c>
      <c r="V62" s="28" t="str">
        <f t="shared" ca="1" si="31"/>
        <v/>
      </c>
      <c r="W62" s="28" t="str">
        <f t="shared" ca="1" si="32"/>
        <v/>
      </c>
      <c r="X62" s="28" t="str">
        <f t="shared" ca="1" si="33"/>
        <v/>
      </c>
      <c r="Y62" s="28" t="str">
        <f t="shared" ca="1" si="34"/>
        <v/>
      </c>
      <c r="AD62" s="28" t="str">
        <f t="shared" si="20"/>
        <v>3.3.4) 33. Ingreso promedio de los recicladores con respecto al salario mínimo nacional</v>
      </c>
      <c r="AE62" s="28">
        <f t="shared" ca="1" si="35"/>
        <v>15.512668189495074</v>
      </c>
      <c r="AF62" s="28">
        <f t="shared" si="36"/>
        <v>0</v>
      </c>
      <c r="AG62" s="28">
        <f t="shared" si="37"/>
        <v>0</v>
      </c>
      <c r="AH62" s="28">
        <f t="shared" si="38"/>
        <v>0</v>
      </c>
      <c r="AI62" s="28" t="str">
        <f t="shared" si="21"/>
        <v>MERC3.3.4</v>
      </c>
    </row>
    <row r="63" spans="1:35">
      <c r="A63" s="28" t="str">
        <f>tblIndicators!D48</f>
        <v>MERC3.4</v>
      </c>
      <c r="B63" s="28">
        <f>tblIndicators!A48</f>
        <v>47</v>
      </c>
      <c r="C63" s="28">
        <f>IF(B63="",0,INDEX(tblIndicators!$F$2:$F$52,$B63))</f>
        <v>2</v>
      </c>
      <c r="E63" s="28" t="str">
        <f>IF(B63="","",IF(C63&gt;=1,TRIM(INDEX(tblIndicators!$AE$2:$AE$52,iCountryP!$B63)),UPPER(INDEX(tblIndicators!$AE$2:$AE$52,iCountryP!$B63))))</f>
        <v>3.4) Condiciones de trabajo de los recicladores de base</v>
      </c>
      <c r="F63" s="28" t="str">
        <f>IF(B63="","",INDEX(tblIndicators!$N$2:$N$52,iCountryP!$B63))</f>
        <v>Scored 0-100 where 100 = most capable</v>
      </c>
      <c r="G63" s="28">
        <f t="shared" ca="1" si="22"/>
        <v>11</v>
      </c>
      <c r="H63" s="28">
        <f t="shared" ca="1" si="23"/>
        <v>2</v>
      </c>
      <c r="I63" s="32" t="str">
        <f t="shared" ca="1" si="17"/>
        <v>=11</v>
      </c>
      <c r="J63" s="28">
        <f t="shared" ca="1" si="24"/>
        <v>0</v>
      </c>
      <c r="K63" s="34" t="str">
        <f t="shared" ca="1" si="18"/>
        <v/>
      </c>
      <c r="L63" s="35"/>
      <c r="M63" s="33" t="str">
        <f t="shared" si="25"/>
        <v/>
      </c>
      <c r="N63" s="28">
        <f t="shared" ca="1" si="19"/>
        <v>1</v>
      </c>
      <c r="O63" s="28" t="str">
        <f>tblIndicators!V48</f>
        <v>0.0</v>
      </c>
      <c r="P63" s="28" t="e">
        <f t="shared" ca="1" si="26"/>
        <v>#N/A</v>
      </c>
      <c r="Q63" s="28" t="e">
        <f t="shared" ca="1" si="27"/>
        <v>#N/A</v>
      </c>
      <c r="R63" s="28" t="e">
        <f t="shared" ca="1" si="28"/>
        <v>#N/A</v>
      </c>
      <c r="T63" s="28" t="str">
        <f t="shared" ca="1" si="29"/>
        <v/>
      </c>
      <c r="U63" s="28" t="str">
        <f t="shared" ca="1" si="30"/>
        <v/>
      </c>
      <c r="V63" s="28" t="str">
        <f t="shared" ca="1" si="31"/>
        <v/>
      </c>
      <c r="W63" s="28" t="str">
        <f t="shared" ca="1" si="32"/>
        <v/>
      </c>
      <c r="X63" s="28" t="str">
        <f t="shared" ca="1" si="33"/>
        <v/>
      </c>
      <c r="Y63" s="28" t="str">
        <f t="shared" ca="1" si="34"/>
        <v/>
      </c>
      <c r="AD63" s="28" t="str">
        <f t="shared" si="20"/>
        <v>3.4) Condiciones de trabajo de los recicladores de base</v>
      </c>
      <c r="AE63" s="28">
        <f t="shared" ca="1" si="35"/>
        <v>0</v>
      </c>
      <c r="AF63" s="28">
        <f t="shared" si="36"/>
        <v>0</v>
      </c>
      <c r="AG63" s="28">
        <f t="shared" si="37"/>
        <v>0</v>
      </c>
      <c r="AH63" s="28">
        <f t="shared" si="38"/>
        <v>0</v>
      </c>
      <c r="AI63" s="28" t="str">
        <f t="shared" si="21"/>
        <v>MERC3.4</v>
      </c>
    </row>
    <row r="64" spans="1:35">
      <c r="A64" s="28" t="str">
        <f>tblIndicators!D49</f>
        <v>MERC3.4.1</v>
      </c>
      <c r="B64" s="28">
        <f>tblIndicators!A49</f>
        <v>48</v>
      </c>
      <c r="C64" s="28">
        <f>IF(B64="",0,INDEX(tblIndicators!$F$2:$F$52,$B64))</f>
        <v>3</v>
      </c>
      <c r="E64" s="28" t="str">
        <f>IF(B64="","",IF(C64&gt;=1,TRIM(INDEX(tblIndicators!$AE$2:$AE$52,iCountryP!$B64)),UPPER(INDEX(tblIndicators!$AE$2:$AE$52,iCountryP!$B64))))</f>
        <v>3.4.1) 34.¿Existe trabajo infantil en la cadena de manejo de residuos?</v>
      </c>
      <c r="F64" s="28" t="str">
        <f>IF(B64="","",INDEX(tblIndicators!$N$2:$N$52,iCountryP!$B64))</f>
        <v>Scored 0-100 where 100 = most capable</v>
      </c>
      <c r="G64" s="28">
        <f t="shared" ca="1" si="22"/>
        <v>8</v>
      </c>
      <c r="H64" s="28">
        <f t="shared" ca="1" si="23"/>
        <v>5</v>
      </c>
      <c r="I64" s="32" t="str">
        <f t="shared" ca="1" si="17"/>
        <v>=8</v>
      </c>
      <c r="J64" s="28">
        <f t="shared" ca="1" si="24"/>
        <v>0</v>
      </c>
      <c r="K64" s="34" t="str">
        <f t="shared" ca="1" si="18"/>
        <v/>
      </c>
      <c r="L64" s="35"/>
      <c r="M64" s="33">
        <f t="shared" si="25"/>
        <v>0</v>
      </c>
      <c r="N64" s="28">
        <f t="shared" si="19"/>
        <v>0</v>
      </c>
      <c r="O64" s="28">
        <f>tblIndicators!V49</f>
        <v>0</v>
      </c>
      <c r="P64" s="28" t="e">
        <f t="shared" ca="1" si="26"/>
        <v>#N/A</v>
      </c>
      <c r="Q64" s="28" t="e">
        <f t="shared" ca="1" si="27"/>
        <v>#N/A</v>
      </c>
      <c r="R64" s="28" t="e">
        <f t="shared" ca="1" si="28"/>
        <v>#N/A</v>
      </c>
      <c r="T64" s="28" t="str">
        <f t="shared" ca="1" si="29"/>
        <v/>
      </c>
      <c r="U64" s="28" t="str">
        <f t="shared" ca="1" si="30"/>
        <v/>
      </c>
      <c r="V64" s="28" t="str">
        <f t="shared" ca="1" si="31"/>
        <v/>
      </c>
      <c r="W64" s="28" t="str">
        <f t="shared" ca="1" si="32"/>
        <v/>
      </c>
      <c r="X64" s="28" t="str">
        <f t="shared" ca="1" si="33"/>
        <v/>
      </c>
      <c r="Y64" s="28" t="str">
        <f t="shared" ca="1" si="34"/>
        <v/>
      </c>
      <c r="AD64" s="28" t="str">
        <f t="shared" si="20"/>
        <v>3.4.1) 34.¿Existe trabajo infantil en la cadena de manejo de residuos?</v>
      </c>
      <c r="AE64" s="28">
        <f t="shared" ca="1" si="35"/>
        <v>0</v>
      </c>
      <c r="AF64" s="28">
        <f t="shared" si="36"/>
        <v>0</v>
      </c>
      <c r="AG64" s="28">
        <f t="shared" si="37"/>
        <v>0</v>
      </c>
      <c r="AH64" s="28">
        <f t="shared" si="38"/>
        <v>0</v>
      </c>
      <c r="AI64" s="28" t="str">
        <f t="shared" si="21"/>
        <v>MERC3.4.1</v>
      </c>
    </row>
    <row r="65" spans="1:35">
      <c r="A65" s="28" t="str">
        <f>tblIndicators!D50</f>
        <v>MERC3.4.2</v>
      </c>
      <c r="B65" s="28">
        <f>tblIndicators!A50</f>
        <v>49</v>
      </c>
      <c r="C65" s="28">
        <f>IF(B65="",0,INDEX(tblIndicators!$F$2:$F$52,$B65))</f>
        <v>3</v>
      </c>
      <c r="E65" s="28" t="str">
        <f>IF(B65="","",IF(C65&gt;=1,TRIM(INDEX(tblIndicators!$AE$2:$AE$52,iCountryP!$B65)),UPPER(INDEX(tblIndicators!$AE$2:$AE$52,iCountryP!$B65))))</f>
        <v>3.4.2) 35.¿Cuál es el nivel de enfoque de género en las condiciones de trabajo?</v>
      </c>
      <c r="F65" s="28" t="str">
        <f>IF(B65="","",INDEX(tblIndicators!$N$2:$N$52,iCountryP!$B65))</f>
        <v>Scored 0-100 where 100 = most capable</v>
      </c>
      <c r="G65" s="28">
        <f t="shared" ca="1" si="22"/>
        <v>3</v>
      </c>
      <c r="H65" s="28">
        <f t="shared" ca="1" si="23"/>
        <v>10</v>
      </c>
      <c r="I65" s="32" t="str">
        <f t="shared" ca="1" si="17"/>
        <v>=3</v>
      </c>
      <c r="J65" s="28">
        <f t="shared" ca="1" si="24"/>
        <v>0</v>
      </c>
      <c r="K65" s="34" t="str">
        <f t="shared" ca="1" si="18"/>
        <v/>
      </c>
      <c r="L65" s="35"/>
      <c r="M65" s="33">
        <f t="shared" si="25"/>
        <v>0</v>
      </c>
      <c r="N65" s="28">
        <f t="shared" si="19"/>
        <v>0</v>
      </c>
      <c r="O65" s="28">
        <f>tblIndicators!V50</f>
        <v>0</v>
      </c>
      <c r="P65" s="28" t="e">
        <f t="shared" ca="1" si="26"/>
        <v>#N/A</v>
      </c>
      <c r="Q65" s="28" t="e">
        <f t="shared" ca="1" si="27"/>
        <v>#N/A</v>
      </c>
      <c r="R65" s="28" t="e">
        <f t="shared" ca="1" si="28"/>
        <v>#N/A</v>
      </c>
      <c r="T65" s="28" t="str">
        <f t="shared" ca="1" si="29"/>
        <v/>
      </c>
      <c r="U65" s="28" t="str">
        <f t="shared" ca="1" si="30"/>
        <v/>
      </c>
      <c r="V65" s="28" t="str">
        <f t="shared" ca="1" si="31"/>
        <v/>
      </c>
      <c r="W65" s="28" t="str">
        <f t="shared" ca="1" si="32"/>
        <v/>
      </c>
      <c r="X65" s="28" t="str">
        <f t="shared" ca="1" si="33"/>
        <v/>
      </c>
      <c r="Y65" s="28" t="str">
        <f t="shared" ca="1" si="34"/>
        <v/>
      </c>
      <c r="AD65" s="28" t="str">
        <f t="shared" si="20"/>
        <v>3.4.2) 35.¿Cuál es el nivel de enfoque de género en las condiciones de trabajo?</v>
      </c>
      <c r="AE65" s="28">
        <f t="shared" ca="1" si="35"/>
        <v>0</v>
      </c>
      <c r="AF65" s="28">
        <f t="shared" si="36"/>
        <v>0</v>
      </c>
      <c r="AG65" s="28">
        <f t="shared" si="37"/>
        <v>0</v>
      </c>
      <c r="AH65" s="28">
        <f t="shared" si="38"/>
        <v>0</v>
      </c>
      <c r="AI65" s="28" t="str">
        <f t="shared" si="21"/>
        <v>MERC3.4.2</v>
      </c>
    </row>
    <row r="66" spans="1:35">
      <c r="A66" s="28" t="str">
        <f>tblIndicators!D51</f>
        <v>MERC3.4.3</v>
      </c>
      <c r="B66" s="28">
        <f>tblIndicators!A51</f>
        <v>50</v>
      </c>
      <c r="C66" s="28">
        <f>IF(B66="",0,INDEX(tblIndicators!$F$2:$F$52,$B66))</f>
        <v>3</v>
      </c>
      <c r="E66" s="28" t="str">
        <f>IF(B66="","",IF(C66&gt;=1,TRIM(INDEX(tblIndicators!$AE$2:$AE$52,iCountryP!$B66)),UPPER(INDEX(tblIndicators!$AE$2:$AE$52,iCountryP!$B66))))</f>
        <v>3.4.3) 36.¿Hay planes inclusivos de cierre de vertederos a cielo abierto?</v>
      </c>
      <c r="F66" s="28" t="str">
        <f>IF(B66="","",INDEX(tblIndicators!$N$2:$N$52,iCountryP!$B66))</f>
        <v>Scored 0-100 where 100 = most capable</v>
      </c>
      <c r="G66" s="28">
        <f t="shared" ca="1" si="22"/>
        <v>11</v>
      </c>
      <c r="H66" s="28">
        <f t="shared" ca="1" si="23"/>
        <v>2</v>
      </c>
      <c r="I66" s="32" t="str">
        <f t="shared" ca="1" si="17"/>
        <v>=11</v>
      </c>
      <c r="J66" s="28">
        <f t="shared" ca="1" si="24"/>
        <v>0</v>
      </c>
      <c r="K66" s="34" t="str">
        <f t="shared" ca="1" si="18"/>
        <v/>
      </c>
      <c r="L66" s="35"/>
      <c r="M66" s="33">
        <f t="shared" si="25"/>
        <v>0</v>
      </c>
      <c r="N66" s="28">
        <f t="shared" si="19"/>
        <v>0</v>
      </c>
      <c r="O66" s="28">
        <f>tblIndicators!V51</f>
        <v>0</v>
      </c>
      <c r="P66" s="28" t="e">
        <f t="shared" ca="1" si="26"/>
        <v>#N/A</v>
      </c>
      <c r="Q66" s="28" t="e">
        <f t="shared" ca="1" si="27"/>
        <v>#N/A</v>
      </c>
      <c r="R66" s="28" t="e">
        <f t="shared" ca="1" si="28"/>
        <v>#N/A</v>
      </c>
      <c r="T66" s="28" t="str">
        <f t="shared" ca="1" si="29"/>
        <v/>
      </c>
      <c r="U66" s="28" t="str">
        <f t="shared" ca="1" si="30"/>
        <v/>
      </c>
      <c r="V66" s="28" t="str">
        <f t="shared" ca="1" si="31"/>
        <v/>
      </c>
      <c r="W66" s="28" t="str">
        <f t="shared" ca="1" si="32"/>
        <v/>
      </c>
      <c r="X66" s="28" t="str">
        <f t="shared" ca="1" si="33"/>
        <v/>
      </c>
      <c r="Y66" s="28" t="str">
        <f t="shared" ca="1" si="34"/>
        <v/>
      </c>
      <c r="AD66" s="28" t="str">
        <f t="shared" si="20"/>
        <v>3.4.3) 36.¿Hay planes inclusivos de cierre de vertederos a cielo abierto?</v>
      </c>
      <c r="AE66" s="28">
        <f t="shared" ca="1" si="35"/>
        <v>0</v>
      </c>
      <c r="AF66" s="28">
        <f t="shared" si="36"/>
        <v>0</v>
      </c>
      <c r="AG66" s="28">
        <f t="shared" si="37"/>
        <v>0</v>
      </c>
      <c r="AH66" s="28">
        <f t="shared" si="38"/>
        <v>0</v>
      </c>
      <c r="AI66" s="28" t="str">
        <f t="shared" si="21"/>
        <v>MERC3.4.3</v>
      </c>
    </row>
    <row r="67" spans="1:35">
      <c r="A67" s="28" t="str">
        <f>tblIndicators!D52</f>
        <v>MERC3.4.4</v>
      </c>
      <c r="B67" s="28">
        <f>tblIndicators!A52</f>
        <v>51</v>
      </c>
      <c r="C67" s="28">
        <f>IF(B67="",0,INDEX(tblIndicators!$F$2:$F$52,$B67))</f>
        <v>3</v>
      </c>
      <c r="E67" s="28" t="str">
        <f>IF(B67="","",IF(C67&gt;=1,TRIM(INDEX(tblIndicators!$AE$2:$AE$52,iCountryP!$B67)),UPPER(INDEX(tblIndicators!$AE$2:$AE$52,iCountryP!$B67))))</f>
        <v>3.4.4) 37.¿Los recicladores tienen acceso a herramientas de trabajo adecuadas?</v>
      </c>
      <c r="F67" s="28" t="str">
        <f>IF(B67="","",INDEX(tblIndicators!$N$2:$N$52,iCountryP!$B67))</f>
        <v>Scored 0-100 where 100 = most capable</v>
      </c>
      <c r="G67" s="28">
        <f t="shared" ca="1" si="22"/>
        <v>8</v>
      </c>
      <c r="H67" s="28">
        <f t="shared" ca="1" si="23"/>
        <v>5</v>
      </c>
      <c r="I67" s="32" t="str">
        <f t="shared" ca="1" si="17"/>
        <v>=8</v>
      </c>
      <c r="J67" s="28">
        <f t="shared" ca="1" si="24"/>
        <v>0</v>
      </c>
      <c r="K67" s="34" t="str">
        <f t="shared" ca="1" si="18"/>
        <v/>
      </c>
      <c r="L67" s="35"/>
      <c r="M67" s="33">
        <f t="shared" si="25"/>
        <v>0</v>
      </c>
      <c r="N67" s="28">
        <f t="shared" si="19"/>
        <v>0</v>
      </c>
      <c r="O67" s="28">
        <f>tblIndicators!V52</f>
        <v>0</v>
      </c>
      <c r="P67" s="28" t="e">
        <f t="shared" ca="1" si="26"/>
        <v>#N/A</v>
      </c>
      <c r="Q67" s="28" t="e">
        <f t="shared" ca="1" si="27"/>
        <v>#N/A</v>
      </c>
      <c r="R67" s="28" t="e">
        <f t="shared" ca="1" si="28"/>
        <v>#N/A</v>
      </c>
      <c r="T67" s="28" t="str">
        <f t="shared" ca="1" si="29"/>
        <v/>
      </c>
      <c r="U67" s="28" t="str">
        <f t="shared" ca="1" si="30"/>
        <v/>
      </c>
      <c r="V67" s="28" t="str">
        <f t="shared" ca="1" si="31"/>
        <v/>
      </c>
      <c r="W67" s="28" t="str">
        <f t="shared" ca="1" si="32"/>
        <v/>
      </c>
      <c r="X67" s="28" t="str">
        <f t="shared" ca="1" si="33"/>
        <v/>
      </c>
      <c r="Y67" s="28" t="str">
        <f t="shared" ca="1" si="34"/>
        <v/>
      </c>
      <c r="AD67" s="28" t="str">
        <f t="shared" si="20"/>
        <v>3.4.4) 37.¿Los recicladores tienen acceso a herramientas de trabajo adecuadas?</v>
      </c>
      <c r="AE67" s="28">
        <f t="shared" ca="1" si="35"/>
        <v>0</v>
      </c>
      <c r="AF67" s="28">
        <f t="shared" si="36"/>
        <v>0</v>
      </c>
      <c r="AG67" s="28">
        <f t="shared" si="37"/>
        <v>0</v>
      </c>
      <c r="AH67" s="28">
        <f t="shared" si="38"/>
        <v>0</v>
      </c>
      <c r="AI67" s="28" t="str">
        <f t="shared" si="21"/>
        <v>MERC3.4.4</v>
      </c>
    </row>
    <row r="68" spans="1:35">
      <c r="I68" s="32"/>
      <c r="K68" s="34"/>
      <c r="L68" s="35"/>
      <c r="M68" s="33"/>
    </row>
    <row r="69" spans="1:35">
      <c r="I69" s="32"/>
      <c r="K69" s="34"/>
      <c r="L69" s="35"/>
      <c r="M69" s="33"/>
    </row>
    <row r="70" spans="1:35">
      <c r="I70" s="32"/>
      <c r="K70" s="34"/>
      <c r="L70" s="35"/>
      <c r="M70" s="33"/>
    </row>
    <row r="71" spans="1:35">
      <c r="I71" s="32"/>
      <c r="K71" s="34"/>
      <c r="L71" s="35"/>
      <c r="M71" s="33"/>
    </row>
    <row r="72" spans="1:35">
      <c r="E72" s="28" t="str">
        <f>tblIndicators!H27</f>
        <v>18.¿Las asociaciones: participan en espacios de interlocución o diálogo con pares?</v>
      </c>
      <c r="I72" s="32"/>
      <c r="K72" s="34"/>
      <c r="L72" s="35"/>
      <c r="M72" s="33"/>
    </row>
    <row r="73" spans="1:35">
      <c r="D73" s="28">
        <v>1</v>
      </c>
      <c r="E73" s="28" t="str">
        <f>tblIndicators!H28</f>
        <v>19.¿Existen espacios de diálogo y coordinación entre diferentes actores de la cadena de valor del reciclaje?</v>
      </c>
      <c r="F73" s="28" t="str">
        <f>tblIndicators!P28</f>
        <v xml:space="preserve">0= No existen espacios de coordinación
1= Existen espacios a nivel nacional o municipal
2= Existen espacios a nivel municipal y nacional 
</v>
      </c>
      <c r="G73" s="28">
        <f>INDEX(Data!$J$31:$U$55,iCountryP!$D73,iCountryP!$B$2)</f>
        <v>0</v>
      </c>
      <c r="I73" s="32"/>
      <c r="K73" s="34"/>
      <c r="L73" s="35"/>
      <c r="M73" s="33"/>
    </row>
    <row r="74" spans="1:35">
      <c r="D74" s="28">
        <v>2</v>
      </c>
      <c r="E74" s="28" t="e">
        <f>tblIndicators!#REF!</f>
        <v>#REF!</v>
      </c>
      <c r="F74" s="28" t="e">
        <f>tblIndicators!#REF!</f>
        <v>#REF!</v>
      </c>
      <c r="G74" s="28">
        <f>INDEX(Data!$J$31:$U$55,iCountryP!$D74,iCountryP!$B$2)</f>
        <v>1</v>
      </c>
      <c r="I74" s="32"/>
      <c r="K74" s="34"/>
      <c r="L74" s="35"/>
      <c r="M74" s="33"/>
    </row>
    <row r="75" spans="1:35">
      <c r="D75" s="28">
        <v>3</v>
      </c>
      <c r="E75" s="28" t="e">
        <f>tblIndicators!#REF!</f>
        <v>#REF!</v>
      </c>
      <c r="F75" s="28" t="e">
        <f>tblIndicators!#REF!</f>
        <v>#REF!</v>
      </c>
      <c r="G75" s="28" t="str">
        <f>INDEX(Data!$J$31:$U$55,iCountryP!$D75,iCountryP!$B$2)</f>
        <v/>
      </c>
      <c r="I75" s="32"/>
      <c r="K75" s="34"/>
      <c r="L75" s="35"/>
      <c r="M75" s="33"/>
    </row>
    <row r="76" spans="1:35">
      <c r="D76" s="28">
        <v>4</v>
      </c>
      <c r="E76" s="28" t="e">
        <f>tblIndicators!#REF!</f>
        <v>#REF!</v>
      </c>
      <c r="F76" s="28" t="e">
        <f>tblIndicators!#REF!</f>
        <v>#REF!</v>
      </c>
      <c r="G76" s="28">
        <f>INDEX(Data!$J$31:$U$55,iCountryP!$D76,iCountryP!$B$2)</f>
        <v>1</v>
      </c>
      <c r="I76" s="32"/>
      <c r="K76" s="34"/>
      <c r="L76" s="35"/>
      <c r="M76" s="33"/>
    </row>
    <row r="77" spans="1:35">
      <c r="I77" s="32"/>
      <c r="K77" s="34"/>
      <c r="L77" s="35"/>
      <c r="M77" s="33"/>
    </row>
    <row r="78" spans="1:35">
      <c r="I78" s="32"/>
      <c r="K78" s="34"/>
      <c r="L78" s="35"/>
      <c r="M78" s="33"/>
    </row>
    <row r="79" spans="1:35">
      <c r="I79" s="32"/>
      <c r="K79" s="34"/>
      <c r="L79" s="35"/>
      <c r="M79" s="33"/>
    </row>
    <row r="80" spans="1:35">
      <c r="I80" s="32"/>
      <c r="K80" s="34"/>
      <c r="L80" s="35"/>
      <c r="M80" s="33"/>
    </row>
    <row r="81" spans="9:13">
      <c r="I81" s="32"/>
      <c r="K81" s="34"/>
      <c r="L81" s="35"/>
      <c r="M81" s="33"/>
    </row>
    <row r="82" spans="9:13">
      <c r="I82" s="32"/>
      <c r="K82" s="34"/>
      <c r="L82" s="35"/>
      <c r="M82" s="33"/>
    </row>
    <row r="83" spans="9:13">
      <c r="I83" s="32"/>
      <c r="K83" s="34"/>
      <c r="L83" s="35"/>
      <c r="M83" s="33"/>
    </row>
    <row r="84" spans="9:13">
      <c r="I84" s="32"/>
      <c r="K84" s="34"/>
      <c r="L84" s="35"/>
      <c r="M84" s="33"/>
    </row>
    <row r="85" spans="9:13">
      <c r="I85" s="32"/>
      <c r="K85" s="34"/>
      <c r="L85" s="35"/>
      <c r="M85" s="33"/>
    </row>
    <row r="86" spans="9:13">
      <c r="I86" s="32"/>
      <c r="K86" s="34"/>
      <c r="L86" s="35"/>
      <c r="M86" s="33"/>
    </row>
    <row r="87" spans="9:13">
      <c r="I87" s="32"/>
      <c r="K87" s="34"/>
      <c r="L87" s="35"/>
      <c r="M87" s="33"/>
    </row>
    <row r="88" spans="9:13">
      <c r="I88" s="32"/>
      <c r="K88" s="34"/>
      <c r="L88" s="35"/>
      <c r="M88" s="33"/>
    </row>
    <row r="89" spans="9:13">
      <c r="I89" s="32"/>
      <c r="K89" s="34"/>
      <c r="L89" s="35"/>
      <c r="M89" s="33"/>
    </row>
    <row r="90" spans="9:13">
      <c r="I90" s="32"/>
      <c r="K90" s="34"/>
      <c r="L90" s="35"/>
      <c r="M90" s="33"/>
    </row>
    <row r="91" spans="9:13">
      <c r="I91" s="32"/>
      <c r="K91" s="34"/>
      <c r="L91" s="35"/>
      <c r="M91" s="33"/>
    </row>
    <row r="92" spans="9:13">
      <c r="I92" s="32"/>
      <c r="K92" s="34"/>
      <c r="L92" s="35"/>
      <c r="M92" s="33"/>
    </row>
    <row r="93" spans="9:13">
      <c r="I93" s="32"/>
      <c r="K93" s="34"/>
      <c r="L93" s="35"/>
      <c r="M93" s="33"/>
    </row>
    <row r="94" spans="9:13">
      <c r="I94" s="32"/>
      <c r="K94" s="34"/>
      <c r="L94" s="35"/>
      <c r="M94" s="33"/>
    </row>
    <row r="95" spans="9:13">
      <c r="I95" s="32"/>
      <c r="K95" s="34"/>
      <c r="L95" s="35"/>
      <c r="M95" s="33"/>
    </row>
    <row r="96" spans="9:13">
      <c r="I96" s="32"/>
      <c r="K96" s="34"/>
      <c r="L96" s="35"/>
      <c r="M96" s="33"/>
    </row>
    <row r="97" spans="9:13">
      <c r="I97" s="32"/>
      <c r="K97" s="34"/>
      <c r="L97" s="35"/>
      <c r="M97" s="33"/>
    </row>
    <row r="98" spans="9:13">
      <c r="I98" s="32"/>
      <c r="K98" s="34"/>
      <c r="L98" s="35"/>
      <c r="M98" s="33"/>
    </row>
    <row r="99" spans="9:13">
      <c r="I99" s="32"/>
      <c r="K99" s="34"/>
      <c r="L99" s="35"/>
      <c r="M99" s="33"/>
    </row>
    <row r="100" spans="9:13">
      <c r="I100" s="32"/>
      <c r="K100" s="34"/>
      <c r="L100" s="35"/>
      <c r="M100" s="33"/>
    </row>
    <row r="101" spans="9:13">
      <c r="I101" s="32"/>
      <c r="K101" s="34"/>
      <c r="L101" s="35"/>
      <c r="M101" s="33"/>
    </row>
    <row r="102" spans="9:13">
      <c r="I102" s="32"/>
      <c r="K102" s="34"/>
      <c r="L102" s="35"/>
      <c r="M102" s="33"/>
    </row>
    <row r="103" spans="9:13">
      <c r="I103" s="32"/>
      <c r="K103" s="34"/>
      <c r="L103" s="35"/>
      <c r="M103" s="33"/>
    </row>
    <row r="104" spans="9:13">
      <c r="I104" s="32"/>
      <c r="K104" s="34"/>
      <c r="L104" s="35"/>
      <c r="M104" s="33"/>
    </row>
    <row r="105" spans="9:13">
      <c r="I105" s="32"/>
      <c r="K105" s="34"/>
      <c r="L105" s="35"/>
      <c r="M105" s="33"/>
    </row>
    <row r="106" spans="9:13">
      <c r="I106" s="32"/>
      <c r="K106" s="34"/>
      <c r="L106" s="35"/>
      <c r="M106" s="33"/>
    </row>
    <row r="107" spans="9:13">
      <c r="I107" s="32"/>
      <c r="K107" s="34"/>
      <c r="L107" s="35"/>
      <c r="M107" s="33"/>
    </row>
    <row r="108" spans="9:13">
      <c r="I108" s="32"/>
      <c r="K108" s="34"/>
      <c r="L108" s="35"/>
      <c r="M108" s="33"/>
    </row>
    <row r="109" spans="9:13">
      <c r="I109" s="32"/>
      <c r="K109" s="34"/>
      <c r="L109" s="35"/>
      <c r="M109" s="33"/>
    </row>
    <row r="110" spans="9:13">
      <c r="I110" s="32"/>
      <c r="K110" s="34"/>
      <c r="L110" s="35"/>
      <c r="M110" s="33"/>
    </row>
    <row r="111" spans="9:13">
      <c r="I111" s="32"/>
      <c r="K111" s="34"/>
      <c r="L111" s="35"/>
      <c r="M111" s="33"/>
    </row>
    <row r="112" spans="9:13">
      <c r="I112" s="32"/>
      <c r="K112" s="34"/>
      <c r="L112" s="35"/>
      <c r="M112" s="33"/>
    </row>
    <row r="113" spans="9:13">
      <c r="I113" s="32"/>
      <c r="K113" s="34"/>
      <c r="L113" s="35"/>
      <c r="M113" s="33"/>
    </row>
    <row r="114" spans="9:13">
      <c r="I114" s="32"/>
      <c r="K114" s="34"/>
      <c r="L114" s="35"/>
      <c r="M114" s="33"/>
    </row>
    <row r="115" spans="9:13">
      <c r="I115" s="32"/>
      <c r="K115" s="34"/>
      <c r="L115" s="35"/>
      <c r="M115" s="33"/>
    </row>
    <row r="116" spans="9:13">
      <c r="I116" s="32"/>
      <c r="K116" s="34"/>
      <c r="L116" s="35"/>
      <c r="M116" s="33"/>
    </row>
    <row r="117" spans="9:13">
      <c r="I117" s="32"/>
      <c r="K117" s="34"/>
      <c r="L117" s="35"/>
      <c r="M117" s="33"/>
    </row>
    <row r="118" spans="9:13">
      <c r="I118" s="32"/>
      <c r="K118" s="34"/>
      <c r="L118" s="35"/>
      <c r="M118" s="33"/>
    </row>
    <row r="119" spans="9:13">
      <c r="I119" s="32"/>
      <c r="K119" s="34"/>
      <c r="L119" s="35"/>
      <c r="M119" s="33"/>
    </row>
    <row r="120" spans="9:13">
      <c r="I120" s="32"/>
      <c r="K120" s="34"/>
      <c r="L120" s="35"/>
      <c r="M120" s="33"/>
    </row>
    <row r="121" spans="9:13">
      <c r="I121" s="32"/>
      <c r="K121" s="34"/>
      <c r="L121" s="35"/>
      <c r="M121" s="33"/>
    </row>
    <row r="122" spans="9:13">
      <c r="I122" s="32"/>
      <c r="K122" s="34"/>
      <c r="L122" s="35"/>
      <c r="M122" s="33"/>
    </row>
    <row r="123" spans="9:13">
      <c r="I123" s="32"/>
      <c r="K123" s="34"/>
      <c r="L123" s="35"/>
      <c r="M123" s="33"/>
    </row>
    <row r="124" spans="9:13">
      <c r="I124" s="32"/>
      <c r="K124" s="34"/>
      <c r="L124" s="35"/>
      <c r="M124" s="33"/>
    </row>
    <row r="125" spans="9:13">
      <c r="I125" s="32"/>
      <c r="K125" s="34"/>
      <c r="L125" s="35"/>
      <c r="M125" s="33"/>
    </row>
    <row r="126" spans="9:13">
      <c r="I126" s="32"/>
      <c r="K126" s="34"/>
      <c r="L126" s="35"/>
      <c r="M126" s="33"/>
    </row>
    <row r="127" spans="9:13">
      <c r="I127" s="32"/>
      <c r="K127" s="34"/>
      <c r="L127" s="35"/>
      <c r="M127" s="33"/>
    </row>
    <row r="128" spans="9:13">
      <c r="I128" s="32"/>
      <c r="K128" s="34"/>
      <c r="L128" s="35"/>
      <c r="M128" s="33"/>
    </row>
  </sheetData>
  <pageMargins left="0.55118110236220474" right="0.55118110236220474" top="0.59055118110236227" bottom="0.78740157480314965" header="0.51181102362204722" footer="0.51181102362204722"/>
  <pageSetup paperSize="9" scale="29" orientation="landscape" r:id="rId1"/>
  <headerFooter alignWithMargins="0">
    <oddHeader>&amp;RResultados del Modelo de Reciclaje Inclusivo</oddHeader>
  </headerFooter>
</worksheet>
</file>

<file path=xl/worksheets/sheet31.xml><?xml version="1.0" encoding="utf-8"?>
<worksheet xmlns="http://schemas.openxmlformats.org/spreadsheetml/2006/main" xmlns:r="http://schemas.openxmlformats.org/officeDocument/2006/relationships">
  <sheetPr codeName="Sheet5">
    <pageSetUpPr fitToPage="1"/>
  </sheetPr>
  <dimension ref="A1:CH74"/>
  <sheetViews>
    <sheetView showGridLines="0" showRowColHeaders="0" zoomScale="80" zoomScaleNormal="80" workbookViewId="0">
      <pane xSplit="15" ySplit="4" topLeftCell="P5" activePane="bottomRight" state="frozen"/>
      <selection activeCell="Z8" sqref="Z8"/>
      <selection pane="topRight" activeCell="Z8" sqref="Z8"/>
      <selection pane="bottomLeft" activeCell="Z8" sqref="Z8"/>
      <selection pane="bottomRight" activeCell="O5" sqref="O5:P5"/>
    </sheetView>
  </sheetViews>
  <sheetFormatPr defaultRowHeight="12.75"/>
  <cols>
    <col min="1" max="1" width="5.140625" style="245" customWidth="1"/>
    <col min="2" max="3" width="5.140625" style="291" customWidth="1"/>
    <col min="4" max="5" width="5.140625" style="292" customWidth="1"/>
    <col min="6" max="8" width="5.140625" style="293" customWidth="1"/>
    <col min="9" max="10" width="5.140625" style="292" customWidth="1"/>
    <col min="11" max="11" width="8.85546875" style="292" customWidth="1"/>
    <col min="12" max="12" width="12.7109375" style="292" customWidth="1"/>
    <col min="13" max="13" width="5.140625" style="292" customWidth="1"/>
    <col min="14" max="14" width="65.28515625" style="424" bestFit="1" customWidth="1"/>
    <col min="15" max="15" width="15.140625" style="296" customWidth="1"/>
    <col min="16" max="37" width="15.85546875" style="245" customWidth="1"/>
    <col min="38" max="78" width="11.85546875" style="245" customWidth="1"/>
    <col min="79" max="16384" width="9.140625" style="245"/>
  </cols>
  <sheetData>
    <row r="1" spans="1:86" s="78" customFormat="1" ht="24" customHeight="1">
      <c r="N1" s="422"/>
      <c r="O1" s="290"/>
      <c r="P1" s="290"/>
      <c r="Q1" s="290"/>
      <c r="R1" s="290"/>
      <c r="S1" s="290"/>
      <c r="T1" s="290"/>
      <c r="U1" s="290"/>
      <c r="V1" s="290"/>
      <c r="W1" s="290"/>
      <c r="X1" s="290"/>
      <c r="Y1" s="290"/>
      <c r="Z1" s="290"/>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83">
        <v>4</v>
      </c>
      <c r="AZ1" s="83">
        <v>2</v>
      </c>
      <c r="BA1" s="290"/>
      <c r="BB1" s="290"/>
      <c r="BC1" s="290"/>
      <c r="BD1" s="290"/>
      <c r="BE1" s="290"/>
      <c r="BF1" s="290"/>
      <c r="BG1" s="290"/>
      <c r="BH1" s="290"/>
      <c r="BI1" s="290"/>
      <c r="BJ1" s="290"/>
      <c r="BK1" s="290"/>
      <c r="BL1" s="290"/>
      <c r="BM1" s="290"/>
      <c r="BN1" s="290"/>
      <c r="BO1" s="290"/>
      <c r="BP1" s="290"/>
      <c r="BQ1" s="290"/>
      <c r="BR1" s="290"/>
      <c r="BS1" s="290"/>
      <c r="BT1" s="290"/>
      <c r="BU1" s="290"/>
      <c r="BV1" s="290"/>
      <c r="BW1" s="290"/>
      <c r="BX1" s="290"/>
      <c r="BY1" s="290"/>
      <c r="BZ1" s="290"/>
      <c r="CA1" s="290"/>
      <c r="CB1" s="290"/>
      <c r="CC1" s="290"/>
      <c r="CD1" s="290"/>
      <c r="CE1" s="290"/>
      <c r="CF1" s="290"/>
      <c r="CG1" s="290"/>
      <c r="CH1" s="290"/>
    </row>
    <row r="2" spans="1:86" ht="70.5" customHeight="1">
      <c r="L2" s="292" t="str">
        <f>uxb_works!C124</f>
        <v>U</v>
      </c>
      <c r="N2" s="423"/>
      <c r="O2" s="294"/>
      <c r="P2" s="295"/>
      <c r="Q2" s="295"/>
      <c r="R2" s="295"/>
      <c r="S2" s="295"/>
      <c r="T2" s="295"/>
      <c r="U2" s="295"/>
      <c r="V2" s="295"/>
      <c r="W2" s="295"/>
      <c r="X2" s="295"/>
      <c r="Y2" s="295"/>
      <c r="Z2" s="295"/>
      <c r="AA2" s="295"/>
      <c r="AB2" s="295"/>
      <c r="AC2" s="295"/>
      <c r="AD2" s="295"/>
      <c r="AE2" s="295"/>
      <c r="AF2" s="295"/>
      <c r="AG2" s="295"/>
      <c r="AH2" s="295"/>
      <c r="AI2" s="295"/>
      <c r="AJ2" s="295"/>
      <c r="AK2" s="295"/>
      <c r="AL2" s="285"/>
      <c r="AM2" s="285"/>
      <c r="AN2" s="285"/>
      <c r="AO2" s="285"/>
      <c r="AP2" s="285"/>
      <c r="AQ2" s="285"/>
      <c r="AR2" s="285"/>
      <c r="AS2" s="285"/>
      <c r="AT2" s="285"/>
      <c r="AU2" s="285"/>
      <c r="AV2" s="285"/>
      <c r="AW2" s="285"/>
      <c r="AX2" s="285"/>
      <c r="AY2" s="285"/>
      <c r="AZ2" s="285"/>
      <c r="BA2" s="285"/>
      <c r="BB2" s="285"/>
      <c r="BC2" s="285"/>
      <c r="BD2" s="285"/>
      <c r="BE2" s="285"/>
      <c r="BF2" s="285"/>
      <c r="BG2" s="285"/>
      <c r="BH2" s="285"/>
      <c r="BI2" s="285"/>
      <c r="BJ2" s="285"/>
      <c r="BK2" s="285"/>
      <c r="BL2" s="285"/>
      <c r="BM2" s="285"/>
      <c r="BN2" s="285"/>
      <c r="BO2" s="285"/>
      <c r="BP2" s="285"/>
      <c r="BQ2" s="285"/>
      <c r="BR2" s="285"/>
      <c r="BS2" s="285"/>
      <c r="BT2" s="285"/>
      <c r="BU2" s="285"/>
      <c r="BV2" s="285"/>
      <c r="BW2" s="285"/>
      <c r="BX2" s="285"/>
      <c r="BY2" s="285"/>
      <c r="BZ2" s="285"/>
      <c r="CA2" s="285"/>
      <c r="CB2" s="285"/>
      <c r="CC2" s="285"/>
      <c r="CD2" s="285"/>
      <c r="CE2" s="285"/>
      <c r="CF2" s="285"/>
      <c r="CG2" s="285"/>
      <c r="CH2" s="285"/>
    </row>
    <row r="3" spans="1:86" ht="10.5" hidden="1" customHeight="1">
      <c r="P3" s="292">
        <f>Data!J3</f>
        <v>1</v>
      </c>
      <c r="Q3" s="292">
        <f>Data!K3</f>
        <v>2</v>
      </c>
      <c r="R3" s="292">
        <f>Data!L3</f>
        <v>3</v>
      </c>
      <c r="S3" s="292">
        <f>Data!M3</f>
        <v>4</v>
      </c>
      <c r="T3" s="292">
        <f>Data!N3</f>
        <v>5</v>
      </c>
      <c r="U3" s="292">
        <f>Data!O3</f>
        <v>6</v>
      </c>
      <c r="V3" s="292">
        <f>Data!P3</f>
        <v>7</v>
      </c>
      <c r="W3" s="292">
        <f>Data!Q3</f>
        <v>8</v>
      </c>
      <c r="X3" s="292">
        <f>Data!R3</f>
        <v>9</v>
      </c>
      <c r="Y3" s="292">
        <f>Data!S3</f>
        <v>10</v>
      </c>
      <c r="Z3" s="292">
        <f>Data!T3</f>
        <v>11</v>
      </c>
      <c r="AA3" s="292">
        <f>Data!U3</f>
        <v>12</v>
      </c>
      <c r="AB3" s="292"/>
      <c r="AC3" s="292"/>
      <c r="AD3" s="292"/>
      <c r="AE3" s="292"/>
      <c r="AF3" s="292"/>
      <c r="AG3" s="292"/>
      <c r="AH3" s="292"/>
      <c r="AI3" s="292"/>
      <c r="AJ3" s="292"/>
      <c r="AK3" s="292"/>
    </row>
    <row r="4" spans="1:86" s="349" customFormat="1" ht="49.5" customHeight="1">
      <c r="A4" s="344"/>
      <c r="B4" s="345" t="str">
        <f>tblIndicators!A1</f>
        <v>ID</v>
      </c>
      <c r="C4" s="345" t="str">
        <f>tblIndicators!B1</f>
        <v>IS_BG</v>
      </c>
      <c r="D4" s="346" t="str">
        <f>tblIndicators!D1</f>
        <v>INDI_CODE</v>
      </c>
      <c r="E4" s="346" t="str">
        <f>tblIndicators!E1</f>
        <v>PARENT_CODE</v>
      </c>
      <c r="F4" s="347" t="str">
        <f>tblIndicators!F1</f>
        <v>DEPTH</v>
      </c>
      <c r="G4" s="347" t="str">
        <f>tblIndicators!Y1</f>
        <v>HIGH_IS</v>
      </c>
      <c r="H4" s="347" t="str">
        <f>tblIndicators!Z1</f>
        <v>NORM_ID (1=sumproduct, 3=min max set by data values, 3=min max set by user here)</v>
      </c>
      <c r="I4" s="346" t="str">
        <f>tblIndicators!AA1</f>
        <v>If NORM = 3 Set Min</v>
      </c>
      <c r="J4" s="346" t="str">
        <f>tblIndicators!AB1</f>
        <v>If NORM = 3 Set Max</v>
      </c>
      <c r="K4" s="346" t="s">
        <v>35</v>
      </c>
      <c r="L4" s="346" t="s">
        <v>36</v>
      </c>
      <c r="M4" s="346" t="s">
        <v>37</v>
      </c>
      <c r="N4" s="348" t="str">
        <f>lang!C80</f>
        <v>Indicadores</v>
      </c>
      <c r="O4" s="348" t="str">
        <f>lang!C81</f>
        <v>Ponderación</v>
      </c>
      <c r="P4" s="343" t="str">
        <f>Data!J4</f>
        <v>Asunción</v>
      </c>
      <c r="Q4" s="343" t="str">
        <f>Data!K4</f>
        <v>Bogotá</v>
      </c>
      <c r="R4" s="343" t="str">
        <f>Data!L4</f>
        <v>Buenos Aires</v>
      </c>
      <c r="S4" s="343" t="str">
        <f>Data!M4</f>
        <v>Ciudad de Belice</v>
      </c>
      <c r="T4" s="343" t="str">
        <f>Data!N4</f>
        <v>Ciudad de México</v>
      </c>
      <c r="U4" s="343" t="str">
        <f>Data!O4</f>
        <v>Lima</v>
      </c>
      <c r="V4" s="343" t="str">
        <f>Data!P4</f>
        <v>Montevideo</v>
      </c>
      <c r="W4" s="343" t="str">
        <f>Data!Q4</f>
        <v>Quito</v>
      </c>
      <c r="X4" s="343" t="str">
        <f>Data!R4</f>
        <v>San José</v>
      </c>
      <c r="Y4" s="343" t="str">
        <f>Data!S4</f>
        <v>San Pablo</v>
      </c>
      <c r="Z4" s="343" t="str">
        <f>Data!T4</f>
        <v>Santa Cruz</v>
      </c>
      <c r="AA4" s="343" t="str">
        <f>Data!U4</f>
        <v>Santiago de Chile</v>
      </c>
      <c r="AB4" s="343" t="str">
        <f>Data!V4</f>
        <v>Escriba el nombre de la ciudad</v>
      </c>
      <c r="AC4" s="343" t="str">
        <f>Data!W4</f>
        <v>Ciudad_02</v>
      </c>
      <c r="AD4" s="343" t="str">
        <f>Data!X4</f>
        <v>Ciudad_03</v>
      </c>
      <c r="AE4" s="343" t="str">
        <f>Data!Y4</f>
        <v>Ciudad_04</v>
      </c>
      <c r="AF4" s="343" t="str">
        <f>Data!Z4</f>
        <v>Ciudad_05</v>
      </c>
      <c r="AG4" s="343" t="str">
        <f>Data!AA4</f>
        <v>Ciudad_06</v>
      </c>
      <c r="AH4" s="343" t="str">
        <f>Data!AB4</f>
        <v>Ciudad_07</v>
      </c>
      <c r="AI4" s="343" t="str">
        <f>Data!AC4</f>
        <v>Ciudad_08</v>
      </c>
      <c r="AJ4" s="343" t="str">
        <f>Data!AD4</f>
        <v>Ciudad_09</v>
      </c>
      <c r="AK4" s="343" t="str">
        <f>Data!AE4</f>
        <v>Ciudad_10</v>
      </c>
    </row>
    <row r="5" spans="1:86" s="78" customFormat="1" ht="36.75" customHeight="1">
      <c r="A5" s="395"/>
      <c r="B5" s="297">
        <f>tblIndicators!A2</f>
        <v>1</v>
      </c>
      <c r="C5" s="297">
        <f>tblIndicators!B2</f>
        <v>0</v>
      </c>
      <c r="D5" s="297" t="str">
        <f>tblIndicators!D2</f>
        <v>OVERALL</v>
      </c>
      <c r="E5" s="297" t="str">
        <f>tblIndicators!E2</f>
        <v>OVERALL SCORE</v>
      </c>
      <c r="F5" s="297">
        <f>tblIndicators!F2</f>
        <v>0</v>
      </c>
      <c r="G5" s="297" t="str">
        <f>tblIndicators!Y2</f>
        <v/>
      </c>
      <c r="H5" s="297">
        <f>tblIndicators!Z2</f>
        <v>1</v>
      </c>
      <c r="I5" s="298">
        <f>tblIndicators!AA2</f>
        <v>0</v>
      </c>
      <c r="J5" s="297">
        <f>tblIndicators!AB2</f>
        <v>0</v>
      </c>
      <c r="K5" s="297" t="str">
        <f>CHOOSE(H5,"-",MIN(Data!J5:U5),I5)</f>
        <v>-</v>
      </c>
      <c r="L5" s="299" t="str">
        <f>CHOOSE(H5,"-",MAX(Data!J5:U5),J5)</f>
        <v>-</v>
      </c>
      <c r="M5" s="297" t="str">
        <f>CHOOSE(H5,"-",L5-K5,L5-K5)</f>
        <v>-</v>
      </c>
      <c r="N5" s="425" t="str">
        <f>REPT(" ",F5)&amp;tblIndicators!AE2</f>
        <v>CATEGORÍA</v>
      </c>
      <c r="O5" s="396" t="str">
        <f>tblIndicators!AD2</f>
        <v/>
      </c>
      <c r="P5" s="402">
        <f ca="1">IF($H5=0,0,CHOOSE($H5,SUMPRODUCT($O6:$O$55*P6:P$55*($E6:$E$55=$D5)),IF(ISNUMBER(Data!J5),100*ABS($G5-(Data!J5-$K5)/$M5),0),IF(ISNUMBER(Data!J5),100*ABS($G5-(Data!J5-$K5)/$M5),0)))</f>
        <v>29.531599128521769</v>
      </c>
      <c r="Q5" s="403">
        <f ca="1">IF($H5=0,0,CHOOSE($H5,SUMPRODUCT($O6:$O$55*Q6:Q$55*($E6:$E$55=$D5)),IF(ISNUMBER(Data!K5),100*ABS($G5-(Data!K5-$K5)/$M5),0),IF(ISNUMBER(Data!K5),100*ABS($G5-(Data!K5-$K5)/$M5),0)))</f>
        <v>65.144325288871812</v>
      </c>
      <c r="R5" s="402">
        <f ca="1">IF($H5=0,0,CHOOSE($H5,SUMPRODUCT($O6:$O$55*R6:R$55*($E6:$E$55=$D5)),IF(ISNUMBER(Data!L5),100*ABS($G5-(Data!L5-$K5)/$M5),0),IF(ISNUMBER(Data!L5),100*ABS($G5-(Data!L5-$K5)/$M5),0)))</f>
        <v>78.843427630084065</v>
      </c>
      <c r="S5" s="403">
        <f ca="1">IF($H5=0,0,CHOOSE($H5,SUMPRODUCT($O6:$O$55*S6:S$55*($E6:$E$55=$D5)),IF(ISNUMBER(Data!M5),100*ABS($G5-(Data!M5-$K5)/$M5),0),IF(ISNUMBER(Data!M5),100*ABS($G5-(Data!M5-$K5)/$M5),0)))</f>
        <v>17.405048300370385</v>
      </c>
      <c r="T5" s="402">
        <f ca="1">IF($H5=0,0,CHOOSE($H5,SUMPRODUCT($O6:$O$55*T6:T$55*($E6:$E$55=$D5)),IF(ISNUMBER(Data!N5),100*ABS($G5-(Data!N5-$K5)/$M5),0),IF(ISNUMBER(Data!N5),100*ABS($G5-(Data!N5-$K5)/$M5),0)))</f>
        <v>45.341522453773223</v>
      </c>
      <c r="U5" s="403">
        <f ca="1">IF($H5=0,0,CHOOSE($H5,SUMPRODUCT($O6:$O$55*U6:U$55*($E6:$E$55=$D5)),IF(ISNUMBER(Data!O5),100*ABS($G5-(Data!O5-$K5)/$M5),0),IF(ISNUMBER(Data!O5),100*ABS($G5-(Data!O5-$K5)/$M5),0)))</f>
        <v>53.769759292166306</v>
      </c>
      <c r="V5" s="402">
        <f ca="1">IF($H5=0,0,CHOOSE($H5,SUMPRODUCT($O6:$O$55*V6:V$55*($E6:$E$55=$D5)),IF(ISNUMBER(Data!P5),100*ABS($G5-(Data!P5-$K5)/$M5),0),IF(ISNUMBER(Data!P5),100*ABS($G5-(Data!P5-$K5)/$M5),0)))</f>
        <v>39.250748976231442</v>
      </c>
      <c r="W5" s="403">
        <f ca="1">IF($H5=0,0,CHOOSE($H5,SUMPRODUCT($O6:$O$55*W6:W$55*($E6:$E$55=$D5)),IF(ISNUMBER(Data!Q5),100*ABS($G5-(Data!Q5-$K5)/$M5),0),IF(ISNUMBER(Data!Q5),100*ABS($G5-(Data!Q5-$K5)/$M5),0)))</f>
        <v>41.239073426573427</v>
      </c>
      <c r="X5" s="402">
        <f ca="1">IF($H5=0,0,CHOOSE($H5,SUMPRODUCT($O6:$O$55*X6:X$55*($E6:$E$55=$D5)),IF(ISNUMBER(Data!R5),100*ABS($G5-(Data!R5-$K5)/$M5),0),IF(ISNUMBER(Data!R5),100*ABS($G5-(Data!R5-$K5)/$M5),0)))</f>
        <v>17.361111111111107</v>
      </c>
      <c r="Y5" s="403">
        <f ca="1">IF($H5=0,0,CHOOSE($H5,SUMPRODUCT($O6:$O$55*Y6:Y$55*($E6:$E$55=$D5)),IF(ISNUMBER(Data!S5),100*ABS($G5-(Data!S5-$K5)/$M5),0),IF(ISNUMBER(Data!S5),100*ABS($G5-(Data!S5-$K5)/$M5),0)))</f>
        <v>70.450228226824706</v>
      </c>
      <c r="Z5" s="402">
        <f ca="1">IF($H5=0,0,CHOOSE($H5,SUMPRODUCT($O6:$O$55*Z6:Z$55*($E6:$E$55=$D5)),IF(ISNUMBER(Data!T5),100*ABS($G5-(Data!T5-$K5)/$M5),0),IF(ISNUMBER(Data!T5),100*ABS($G5-(Data!T5-$K5)/$M5),0)))</f>
        <v>48.842469732040271</v>
      </c>
      <c r="AA5" s="403">
        <f ca="1">IF($H5=0,0,CHOOSE($H5,SUMPRODUCT($O6:$O$55*AA6:AA$55*($E6:$E$55=$D5)),IF(ISNUMBER(Data!U5),100*ABS($G5-(Data!U5-$K5)/$M5),0),IF(ISNUMBER(Data!U5),100*ABS($G5-(Data!U5-$K5)/$M5),0)))</f>
        <v>42.9813511372177</v>
      </c>
      <c r="AB5" s="403">
        <f ca="1">IF($H5=0,0,CHOOSE($H5,SUMPRODUCT($O6:$O$55*AB6:AB$55*($E6:$E$55=$D5)),IF(ISNUMBER(Data!V5),100*ABS($G5-(Data!V5-$K5)/$M5),0),IF(ISNUMBER(Data!V5),100*ABS($G5-(Data!V5-$K5)/$M5),0)))</f>
        <v>6.4315956282980817</v>
      </c>
      <c r="AC5" s="403">
        <f>IF($H5=0,0,CHOOSE($H5,SUMPRODUCT($O6:$O$55*AC6:AC$55*($E6:$E$55=$D5)),IF(ISNUMBER(Data!W5),100*ABS($G5-(Data!W5-$K5)/$M5),0),IF(ISNUMBER(Data!W5),100*ABS($G5-(Data!W5-$K5)/$M5),0)))</f>
        <v>0</v>
      </c>
      <c r="AD5" s="403">
        <f>IF($H5=0,0,CHOOSE($H5,SUMPRODUCT($O6:$O$55*AD6:AD$55*($E6:$E$55=$D5)),IF(ISNUMBER(Data!X5),100*ABS($G5-(Data!X5-$K5)/$M5),0),IF(ISNUMBER(Data!X5),100*ABS($G5-(Data!X5-$K5)/$M5),0)))</f>
        <v>0</v>
      </c>
      <c r="AE5" s="403">
        <f>IF($H5=0,0,CHOOSE($H5,SUMPRODUCT($O6:$O$55*AE6:AE$55*($E6:$E$55=$D5)),IF(ISNUMBER(Data!Y5),100*ABS($G5-(Data!Y5-$K5)/$M5),0),IF(ISNUMBER(Data!Y5),100*ABS($G5-(Data!Y5-$K5)/$M5),0)))</f>
        <v>0</v>
      </c>
      <c r="AF5" s="403">
        <f>IF($H5=0,0,CHOOSE($H5,SUMPRODUCT($O6:$O$55*AF6:AF$55*($E6:$E$55=$D5)),IF(ISNUMBER(Data!Z5),100*ABS($G5-(Data!Z5-$K5)/$M5),0),IF(ISNUMBER(Data!Z5),100*ABS($G5-(Data!Z5-$K5)/$M5),0)))</f>
        <v>0</v>
      </c>
      <c r="AG5" s="403">
        <f>IF($H5=0,0,CHOOSE($H5,SUMPRODUCT($O6:$O$55*AG6:AG$55*($E6:$E$55=$D5)),IF(ISNUMBER(Data!AA5),100*ABS($G5-(Data!AA5-$K5)/$M5),0),IF(ISNUMBER(Data!AA5),100*ABS($G5-(Data!AA5-$K5)/$M5),0)))</f>
        <v>0</v>
      </c>
      <c r="AH5" s="403">
        <f>IF($H5=0,0,CHOOSE($H5,SUMPRODUCT($O6:$O$55*AH6:AH$55*($E6:$E$55=$D5)),IF(ISNUMBER(Data!AB5),100*ABS($G5-(Data!AB5-$K5)/$M5),0),IF(ISNUMBER(Data!AB5),100*ABS($G5-(Data!AB5-$K5)/$M5),0)))</f>
        <v>0</v>
      </c>
      <c r="AI5" s="403">
        <f>IF($H5=0,0,CHOOSE($H5,SUMPRODUCT($O6:$O$55*AI6:AI$55*($E6:$E$55=$D5)),IF(ISNUMBER(Data!AC5),100*ABS($G5-(Data!AC5-$K5)/$M5),0),IF(ISNUMBER(Data!AC5),100*ABS($G5-(Data!AC5-$K5)/$M5),0)))</f>
        <v>0</v>
      </c>
      <c r="AJ5" s="403">
        <f>IF($H5=0,0,CHOOSE($H5,SUMPRODUCT($O6:$O$55*AJ6:AJ$55*($E6:$E$55=$D5)),IF(ISNUMBER(Data!AD5),100*ABS($G5-(Data!AD5-$K5)/$M5),0),IF(ISNUMBER(Data!AD5),100*ABS($G5-(Data!AD5-$K5)/$M5),0)))</f>
        <v>0</v>
      </c>
      <c r="AK5" s="403">
        <f>IF($H5=0,0,CHOOSE($H5,SUMPRODUCT($O6:$O$55*AK6:AK$55*($E6:$E$55=$D5)),IF(ISNUMBER(Data!AE5),100*ABS($G5-(Data!AE5-$K5)/$M5),0),IF(ISNUMBER(Data!AE5),100*ABS($G5-(Data!AE5-$K5)/$M5),0)))</f>
        <v>0</v>
      </c>
    </row>
    <row r="6" spans="1:86" s="78" customFormat="1" ht="35.1" customHeight="1">
      <c r="A6" s="580">
        <v>6</v>
      </c>
      <c r="B6" s="297">
        <f>tblIndicators!A3</f>
        <v>2</v>
      </c>
      <c r="C6" s="297">
        <f>tblIndicators!B3</f>
        <v>0</v>
      </c>
      <c r="D6" s="297" t="str">
        <f>tblIndicators!D3</f>
        <v>NORM</v>
      </c>
      <c r="E6" s="297" t="str">
        <f>tblIndicators!E3</f>
        <v>OVERALL</v>
      </c>
      <c r="F6" s="297">
        <f>tblIndicators!F3</f>
        <v>1</v>
      </c>
      <c r="G6" s="297" t="str">
        <f>tblIndicators!Y3</f>
        <v/>
      </c>
      <c r="H6" s="297">
        <f>tblIndicators!Z3</f>
        <v>1</v>
      </c>
      <c r="I6" s="298">
        <f>tblIndicators!AA3</f>
        <v>0</v>
      </c>
      <c r="J6" s="297">
        <f>tblIndicators!AB3</f>
        <v>0</v>
      </c>
      <c r="K6" s="297" t="str">
        <f ca="1">CHOOSE(H6,"-",MIN(INDIRECT("Data"&amp;"!"&amp;"J"&amp;A6&amp;":"&amp;$L$2&amp;A6)),I6)</f>
        <v>-</v>
      </c>
      <c r="L6" s="299" t="str">
        <f ca="1">CHOOSE(H6,"-",MAX(INDIRECT("Data"&amp;"!"&amp;"J"&amp;A6&amp;":"&amp;$L$2&amp;A6)),J6)</f>
        <v>-</v>
      </c>
      <c r="M6" s="297" t="str">
        <f t="shared" ref="M6:M7" si="0">CHOOSE(H6,"-",L6-K6,L6-K6)</f>
        <v>-</v>
      </c>
      <c r="N6" s="426" t="str">
        <f>REPT(" ",F6)&amp;tblIndicators!AE3</f>
        <v xml:space="preserve"> 1) NORMATIVA</v>
      </c>
      <c r="O6" s="539">
        <f>tblIndicators!AD3</f>
        <v>0.33333333333333331</v>
      </c>
      <c r="P6" s="402">
        <f ca="1">IF($H6=0,0,CHOOSE($H6,SUMPRODUCT($O7:$O$55*P7:P$55*($E7:$E$55=$D6)),IF(ISNUMBER(Data!J6),100*ABS($G6-(Data!J6-$K6)/$M6),0),IF(ISNUMBER(Data!J6),100*ABS($G6-(Data!J6-$K6)/$M6),0)))</f>
        <v>32.8125</v>
      </c>
      <c r="Q6" s="403">
        <f ca="1">IF($H6=0,0,CHOOSE($H6,SUMPRODUCT($O7:$O$55*Q7:Q$55*($E7:$E$55=$D6)),IF(ISNUMBER(Data!K6),100*ABS($G6-(Data!K6-$K6)/$M6),0),IF(ISNUMBER(Data!K6),100*ABS($G6-(Data!K6-$K6)/$M6),0)))</f>
        <v>62.5</v>
      </c>
      <c r="R6" s="402">
        <f ca="1">IF($H6=0,0,CHOOSE($H6,SUMPRODUCT($O7:$O$55*R7:R$55*($E7:$E$55=$D6)),IF(ISNUMBER(Data!L6),100*ABS($G6-(Data!L6-$K6)/$M6),0),IF(ISNUMBER(Data!L6),100*ABS($G6-(Data!L6-$K6)/$M6),0)))</f>
        <v>65.104166666666657</v>
      </c>
      <c r="S6" s="403">
        <f ca="1">IF($H6=0,0,CHOOSE($H6,SUMPRODUCT($O7:$O$55*S7:S$55*($E7:$E$55=$D6)),IF(ISNUMBER(Data!M6),100*ABS($G6-(Data!M6-$K6)/$M6),0),IF(ISNUMBER(Data!M6),100*ABS($G6-(Data!M6-$K6)/$M6),0)))</f>
        <v>15.625</v>
      </c>
      <c r="T6" s="402">
        <f ca="1">IF($H6=0,0,CHOOSE($H6,SUMPRODUCT($O7:$O$55*T7:T$55*($E7:$E$55=$D6)),IF(ISNUMBER(Data!N6),100*ABS($G6-(Data!N6-$K6)/$M6),0),IF(ISNUMBER(Data!N6),100*ABS($G6-(Data!N6-$K6)/$M6),0)))</f>
        <v>33.854166666666664</v>
      </c>
      <c r="U6" s="403">
        <f ca="1">IF($H6=0,0,CHOOSE($H6,SUMPRODUCT($O7:$O$55*U7:U$55*($E7:$E$55=$D6)),IF(ISNUMBER(Data!O6),100*ABS($G6-(Data!O6-$K6)/$M6),0),IF(ISNUMBER(Data!O6),100*ABS($G6-(Data!O6-$K6)/$M6),0)))</f>
        <v>62.5</v>
      </c>
      <c r="V6" s="402">
        <f ca="1">IF($H6=0,0,CHOOSE($H6,SUMPRODUCT($O7:$O$55*V7:V$55*($E7:$E$55=$D6)),IF(ISNUMBER(Data!P6),100*ABS($G6-(Data!P6-$K6)/$M6),0),IF(ISNUMBER(Data!P6),100*ABS($G6-(Data!P6-$K6)/$M6),0)))</f>
        <v>43.229166666666664</v>
      </c>
      <c r="W6" s="403">
        <f ca="1">IF($H6=0,0,CHOOSE($H6,SUMPRODUCT($O7:$O$55*W7:W$55*($E7:$E$55=$D6)),IF(ISNUMBER(Data!Q6),100*ABS($G6-(Data!Q6-$K6)/$M6),0),IF(ISNUMBER(Data!Q6),100*ABS($G6-(Data!Q6-$K6)/$M6),0)))</f>
        <v>42.1875</v>
      </c>
      <c r="X6" s="402">
        <f ca="1">IF($H6=0,0,CHOOSE($H6,SUMPRODUCT($O7:$O$55*X7:X$55*($E7:$E$55=$D6)),IF(ISNUMBER(Data!R6),100*ABS($G6-(Data!R6-$K6)/$M6),0),IF(ISNUMBER(Data!R6),100*ABS($G6-(Data!R6-$K6)/$M6),0)))</f>
        <v>26.041666666666664</v>
      </c>
      <c r="Y6" s="403">
        <f ca="1">IF($H6=0,0,CHOOSE($H6,SUMPRODUCT($O7:$O$55*Y7:Y$55*($E7:$E$55=$D6)),IF(ISNUMBER(Data!S6),100*ABS($G6-(Data!S6-$K6)/$M6),0),IF(ISNUMBER(Data!S6),100*ABS($G6-(Data!S6-$K6)/$M6),0)))</f>
        <v>70.3125</v>
      </c>
      <c r="Z6" s="402">
        <f ca="1">IF($H6=0,0,CHOOSE($H6,SUMPRODUCT($O7:$O$55*Z7:Z$55*($E7:$E$55=$D6)),IF(ISNUMBER(Data!T6),100*ABS($G6-(Data!T6-$K6)/$M6),0),IF(ISNUMBER(Data!T6),100*ABS($G6-(Data!T6-$K6)/$M6),0)))</f>
        <v>52.083333333333329</v>
      </c>
      <c r="AA6" s="403">
        <f ca="1">IF($H6=0,0,CHOOSE($H6,SUMPRODUCT($O7:$O$55*AA7:AA$55*($E7:$E$55=$D6)),IF(ISNUMBER(Data!U6),100*ABS($G6-(Data!U6-$K6)/$M6),0),IF(ISNUMBER(Data!U6),100*ABS($G6-(Data!U6-$K6)/$M6),0)))</f>
        <v>39.0625</v>
      </c>
      <c r="AB6" s="402">
        <f ca="1">IF($H6=0,0,CHOOSE($H6,SUMPRODUCT($O7:$O$55*AB7:AB$55*($E7:$E$55=$D6)),IF(ISNUMBER(Data!V6),100*ABS($G6-(Data!V6-$K6)/$M6),0),IF(ISNUMBER(Data!V6),100*ABS($G6-(Data!V6-$K6)/$M6),0)))</f>
        <v>4.6875</v>
      </c>
      <c r="AC6" s="403">
        <f>IF($H6=0,0,CHOOSE($H6,SUMPRODUCT($O7:$O$55*AC7:AC$55*($E7:$E$55=$D6)),IF(ISNUMBER(Data!W6),100*ABS($G6-(Data!W6-$K6)/$M6),0),IF(ISNUMBER(Data!W6),100*ABS($G6-(Data!W6-$K6)/$M6),0)))</f>
        <v>0</v>
      </c>
      <c r="AD6" s="402">
        <f>IF($H6=0,0,CHOOSE($H6,SUMPRODUCT($O7:$O$55*AD7:AD$55*($E7:$E$55=$D6)),IF(ISNUMBER(Data!X6),100*ABS($G6-(Data!X6-$K6)/$M6),0),IF(ISNUMBER(Data!X6),100*ABS($G6-(Data!X6-$K6)/$M6),0)))</f>
        <v>0</v>
      </c>
      <c r="AE6" s="403">
        <f>IF($H6=0,0,CHOOSE($H6,SUMPRODUCT($O7:$O$55*AE7:AE$55*($E7:$E$55=$D6)),IF(ISNUMBER(Data!Y6),100*ABS($G6-(Data!Y6-$K6)/$M6),0),IF(ISNUMBER(Data!Y6),100*ABS($G6-(Data!Y6-$K6)/$M6),0)))</f>
        <v>0</v>
      </c>
      <c r="AF6" s="402">
        <f>IF($H6=0,0,CHOOSE($H6,SUMPRODUCT($O7:$O$55*AF7:AF$55*($E7:$E$55=$D6)),IF(ISNUMBER(Data!Z6),100*ABS($G6-(Data!Z6-$K6)/$M6),0),IF(ISNUMBER(Data!Z6),100*ABS($G6-(Data!Z6-$K6)/$M6),0)))</f>
        <v>0</v>
      </c>
      <c r="AG6" s="403">
        <f>IF($H6=0,0,CHOOSE($H6,SUMPRODUCT($O7:$O$55*AG7:AG$55*($E7:$E$55=$D6)),IF(ISNUMBER(Data!AA6),100*ABS($G6-(Data!AA6-$K6)/$M6),0),IF(ISNUMBER(Data!AA6),100*ABS($G6-(Data!AA6-$K6)/$M6),0)))</f>
        <v>0</v>
      </c>
      <c r="AH6" s="402">
        <f>IF($H6=0,0,CHOOSE($H6,SUMPRODUCT($O7:$O$55*AH7:AH$55*($E7:$E$55=$D6)),IF(ISNUMBER(Data!AB6),100*ABS($G6-(Data!AB6-$K6)/$M6),0),IF(ISNUMBER(Data!AB6),100*ABS($G6-(Data!AB6-$K6)/$M6),0)))</f>
        <v>0</v>
      </c>
      <c r="AI6" s="403">
        <f>IF($H6=0,0,CHOOSE($H6,SUMPRODUCT($O7:$O$55*AI7:AI$55*($E7:$E$55=$D6)),IF(ISNUMBER(Data!AC6),100*ABS($G6-(Data!AC6-$K6)/$M6),0),IF(ISNUMBER(Data!AC6),100*ABS($G6-(Data!AC6-$K6)/$M6),0)))</f>
        <v>0</v>
      </c>
      <c r="AJ6" s="402">
        <f>IF($H6=0,0,CHOOSE($H6,SUMPRODUCT($O7:$O$55*AJ7:AJ$55*($E7:$E$55=$D6)),IF(ISNUMBER(Data!AD6),100*ABS($G6-(Data!AD6-$K6)/$M6),0),IF(ISNUMBER(Data!AD6),100*ABS($G6-(Data!AD6-$K6)/$M6),0)))</f>
        <v>0</v>
      </c>
      <c r="AK6" s="403">
        <f>IF($H6=0,0,CHOOSE($H6,SUMPRODUCT($O7:$O$55*AK7:AK$55*($E7:$E$55=$D6)),IF(ISNUMBER(Data!AE6),100*ABS($G6-(Data!AE6-$K6)/$M6),0),IF(ISNUMBER(Data!AE6),100*ABS($G6-(Data!AE6-$K6)/$M6),0)))</f>
        <v>0</v>
      </c>
    </row>
    <row r="7" spans="1:86" s="78" customFormat="1" ht="15">
      <c r="A7" s="580">
        <f>A6+1</f>
        <v>7</v>
      </c>
      <c r="B7" s="297">
        <f>tblIndicators!A4</f>
        <v>3</v>
      </c>
      <c r="C7" s="297">
        <f>tblIndicators!B4</f>
        <v>0</v>
      </c>
      <c r="D7" s="297" t="str">
        <f>tblIndicators!D4</f>
        <v>NORM1.1</v>
      </c>
      <c r="E7" s="297" t="str">
        <f>tblIndicators!E4</f>
        <v>NORM</v>
      </c>
      <c r="F7" s="297">
        <f>tblIndicators!F4</f>
        <v>2</v>
      </c>
      <c r="G7" s="297" t="str">
        <f>tblIndicators!Y4</f>
        <v/>
      </c>
      <c r="H7" s="297">
        <f>tblIndicators!Z4</f>
        <v>1</v>
      </c>
      <c r="I7" s="298">
        <f>tblIndicators!AA4</f>
        <v>0</v>
      </c>
      <c r="J7" s="297">
        <f>tblIndicators!AB4</f>
        <v>0</v>
      </c>
      <c r="K7" s="297" t="str">
        <f t="shared" ref="K7:K55" ca="1" si="1">CHOOSE(H7,"-",MIN(INDIRECT("Data"&amp;"!"&amp;"J"&amp;A7&amp;":"&amp;$L$2&amp;A7)),I7)</f>
        <v>-</v>
      </c>
      <c r="L7" s="299" t="str">
        <f t="shared" ref="L7:L55" ca="1" si="2">CHOOSE(H7,"-",MAX(INDIRECT("Data"&amp;"!"&amp;"J"&amp;A7&amp;":"&amp;$L$2&amp;A7)),J7)</f>
        <v>-</v>
      </c>
      <c r="M7" s="297" t="str">
        <f t="shared" si="0"/>
        <v>-</v>
      </c>
      <c r="N7" s="426" t="str">
        <f>REPT(" ",F7)&amp;tblIndicators!AE4</f>
        <v xml:space="preserve">  1.1) Normativa sobre gestión de residuos</v>
      </c>
      <c r="O7" s="302">
        <f>tblIndicators!AD4</f>
        <v>0.25</v>
      </c>
      <c r="P7" s="300">
        <f ca="1">IF($H7=0,0,CHOOSE($H7,SUMPRODUCT($O8:$O$55*P8:P$55*($E8:$E$55=$D7)),IF(ISNUMBER(Data!J7),100*ABS($G7-(Data!J7-$K7)/$M7),0),IF(ISNUMBER(Data!J7),100*ABS($G7-(Data!J7-$K7)/$M7),0)))</f>
        <v>25</v>
      </c>
      <c r="Q7" s="301">
        <f ca="1">IF($H7=0,0,CHOOSE($H7,SUMPRODUCT($O8:$O$55*Q8:Q$55*($E8:$E$55=$D7)),IF(ISNUMBER(Data!K7),100*ABS($G7-(Data!K7-$K7)/$M7),0),IF(ISNUMBER(Data!K7),100*ABS($G7-(Data!K7-$K7)/$M7),0)))</f>
        <v>75</v>
      </c>
      <c r="R7" s="300">
        <f ca="1">IF($H7=0,0,CHOOSE($H7,SUMPRODUCT($O8:$O$55*R8:R$55*($E8:$E$55=$D7)),IF(ISNUMBER(Data!L7),100*ABS($G7-(Data!L7-$K7)/$M7),0),IF(ISNUMBER(Data!L7),100*ABS($G7-(Data!L7-$K7)/$M7),0)))</f>
        <v>75</v>
      </c>
      <c r="S7" s="301">
        <f ca="1">IF($H7=0,0,CHOOSE($H7,SUMPRODUCT($O8:$O$55*S8:S$55*($E8:$E$55=$D7)),IF(ISNUMBER(Data!M7),100*ABS($G7-(Data!M7-$K7)/$M7),0),IF(ISNUMBER(Data!M7),100*ABS($G7-(Data!M7-$K7)/$M7),0)))</f>
        <v>0</v>
      </c>
      <c r="T7" s="300">
        <f ca="1">IF($H7=0,0,CHOOSE($H7,SUMPRODUCT($O8:$O$55*T8:T$55*($E8:$E$55=$D7)),IF(ISNUMBER(Data!N7),100*ABS($G7-(Data!N7-$K7)/$M7),0),IF(ISNUMBER(Data!N7),100*ABS($G7-(Data!N7-$K7)/$M7),0)))</f>
        <v>0</v>
      </c>
      <c r="U7" s="301">
        <f ca="1">IF($H7=0,0,CHOOSE($H7,SUMPRODUCT($O8:$O$55*U8:U$55*($E8:$E$55=$D7)),IF(ISNUMBER(Data!O7),100*ABS($G7-(Data!O7-$K7)/$M7),0),IF(ISNUMBER(Data!O7),100*ABS($G7-(Data!O7-$K7)/$M7),0)))</f>
        <v>75</v>
      </c>
      <c r="V7" s="300">
        <f ca="1">IF($H7=0,0,CHOOSE($H7,SUMPRODUCT($O8:$O$55*V8:V$55*($E8:$E$55=$D7)),IF(ISNUMBER(Data!P7),100*ABS($G7-(Data!P7-$K7)/$M7),0),IF(ISNUMBER(Data!P7),100*ABS($G7-(Data!P7-$K7)/$M7),0)))</f>
        <v>12.5</v>
      </c>
      <c r="W7" s="301">
        <f ca="1">IF($H7=0,0,CHOOSE($H7,SUMPRODUCT($O8:$O$55*W8:W$55*($E8:$E$55=$D7)),IF(ISNUMBER(Data!Q7),100*ABS($G7-(Data!Q7-$K7)/$M7),0),IF(ISNUMBER(Data!Q7),100*ABS($G7-(Data!Q7-$K7)/$M7),0)))</f>
        <v>62.5</v>
      </c>
      <c r="X7" s="300">
        <f ca="1">IF($H7=0,0,CHOOSE($H7,SUMPRODUCT($O8:$O$55*X8:X$55*($E8:$E$55=$D7)),IF(ISNUMBER(Data!R7),100*ABS($G7-(Data!R7-$K7)/$M7),0),IF(ISNUMBER(Data!R7),100*ABS($G7-(Data!R7-$K7)/$M7),0)))</f>
        <v>25</v>
      </c>
      <c r="Y7" s="301">
        <f ca="1">IF($H7=0,0,CHOOSE($H7,SUMPRODUCT($O8:$O$55*Y8:Y$55*($E8:$E$55=$D7)),IF(ISNUMBER(Data!S7),100*ABS($G7-(Data!S7-$K7)/$M7),0),IF(ISNUMBER(Data!S7),100*ABS($G7-(Data!S7-$K7)/$M7),0)))</f>
        <v>100</v>
      </c>
      <c r="Z7" s="300">
        <f ca="1">IF($H7=0,0,CHOOSE($H7,SUMPRODUCT($O8:$O$55*Z8:Z$55*($E8:$E$55=$D7)),IF(ISNUMBER(Data!T7),100*ABS($G7-(Data!T7-$K7)/$M7),0),IF(ISNUMBER(Data!T7),100*ABS($G7-(Data!T7-$K7)/$M7),0)))</f>
        <v>25</v>
      </c>
      <c r="AA7" s="301">
        <f ca="1">IF($H7=0,0,CHOOSE($H7,SUMPRODUCT($O8:$O$55*AA8:AA$55*($E8:$E$55=$D7)),IF(ISNUMBER(Data!U7),100*ABS($G7-(Data!U7-$K7)/$M7),0),IF(ISNUMBER(Data!U7),100*ABS($G7-(Data!U7-$K7)/$M7),0)))</f>
        <v>50</v>
      </c>
      <c r="AB7" s="300">
        <f ca="1">IF($H7=0,0,CHOOSE($H7,SUMPRODUCT($O8:$O$55*AB8:AB$55*($E8:$E$55=$D7)),IF(ISNUMBER(Data!V7),100*ABS($G7-(Data!V7-$K7)/$M7),0),IF(ISNUMBER(Data!V7),100*ABS($G7-(Data!V7-$K7)/$M7),0)))</f>
        <v>12.5</v>
      </c>
      <c r="AC7" s="301">
        <f>IF($H7=0,0,CHOOSE($H7,SUMPRODUCT($O8:$O$55*AC8:AC$55*($E8:$E$55=$D7)),IF(ISNUMBER(Data!W7),100*ABS($G7-(Data!W7-$K7)/$M7),0),IF(ISNUMBER(Data!W7),100*ABS($G7-(Data!W7-$K7)/$M7),0)))</f>
        <v>0</v>
      </c>
      <c r="AD7" s="300">
        <f>IF($H7=0,0,CHOOSE($H7,SUMPRODUCT($O8:$O$55*AD8:AD$55*($E8:$E$55=$D7)),IF(ISNUMBER(Data!X7),100*ABS($G7-(Data!X7-$K7)/$M7),0),IF(ISNUMBER(Data!X7),100*ABS($G7-(Data!X7-$K7)/$M7),0)))</f>
        <v>0</v>
      </c>
      <c r="AE7" s="301">
        <f>IF($H7=0,0,CHOOSE($H7,SUMPRODUCT($O8:$O$55*AE8:AE$55*($E8:$E$55=$D7)),IF(ISNUMBER(Data!Y7),100*ABS($G7-(Data!Y7-$K7)/$M7),0),IF(ISNUMBER(Data!Y7),100*ABS($G7-(Data!Y7-$K7)/$M7),0)))</f>
        <v>0</v>
      </c>
      <c r="AF7" s="300">
        <f>IF($H7=0,0,CHOOSE($H7,SUMPRODUCT($O8:$O$55*AF8:AF$55*($E8:$E$55=$D7)),IF(ISNUMBER(Data!Z7),100*ABS($G7-(Data!Z7-$K7)/$M7),0),IF(ISNUMBER(Data!Z7),100*ABS($G7-(Data!Z7-$K7)/$M7),0)))</f>
        <v>0</v>
      </c>
      <c r="AG7" s="301">
        <f>IF($H7=0,0,CHOOSE($H7,SUMPRODUCT($O8:$O$55*AG8:AG$55*($E8:$E$55=$D7)),IF(ISNUMBER(Data!AA7),100*ABS($G7-(Data!AA7-$K7)/$M7),0),IF(ISNUMBER(Data!AA7),100*ABS($G7-(Data!AA7-$K7)/$M7),0)))</f>
        <v>0</v>
      </c>
      <c r="AH7" s="300">
        <f>IF($H7=0,0,CHOOSE($H7,SUMPRODUCT($O8:$O$55*AH8:AH$55*($E8:$E$55=$D7)),IF(ISNUMBER(Data!AB7),100*ABS($G7-(Data!AB7-$K7)/$M7),0),IF(ISNUMBER(Data!AB7),100*ABS($G7-(Data!AB7-$K7)/$M7),0)))</f>
        <v>0</v>
      </c>
      <c r="AI7" s="301">
        <f>IF($H7=0,0,CHOOSE($H7,SUMPRODUCT($O8:$O$55*AI8:AI$55*($E8:$E$55=$D7)),IF(ISNUMBER(Data!AC7),100*ABS($G7-(Data!AC7-$K7)/$M7),0),IF(ISNUMBER(Data!AC7),100*ABS($G7-(Data!AC7-$K7)/$M7),0)))</f>
        <v>0</v>
      </c>
      <c r="AJ7" s="300">
        <f>IF($H7=0,0,CHOOSE($H7,SUMPRODUCT($O8:$O$55*AJ8:AJ$55*($E8:$E$55=$D7)),IF(ISNUMBER(Data!AD7),100*ABS($G7-(Data!AD7-$K7)/$M7),0),IF(ISNUMBER(Data!AD7),100*ABS($G7-(Data!AD7-$K7)/$M7),0)))</f>
        <v>0</v>
      </c>
      <c r="AK7" s="301">
        <f>IF($H7=0,0,CHOOSE($H7,SUMPRODUCT($O8:$O$55*AK8:AK$55*($E8:$E$55=$D7)),IF(ISNUMBER(Data!AE7),100*ABS($G7-(Data!AE7-$K7)/$M7),0),IF(ISNUMBER(Data!AE7),100*ABS($G7-(Data!AE7-$K7)/$M7),0)))</f>
        <v>0</v>
      </c>
    </row>
    <row r="8" spans="1:86" s="78" customFormat="1" ht="30">
      <c r="A8" s="580">
        <f t="shared" ref="A8:A55" si="3">A7+1</f>
        <v>8</v>
      </c>
      <c r="B8" s="297">
        <f>tblIndicators!A5</f>
        <v>4</v>
      </c>
      <c r="C8" s="297">
        <f>tblIndicators!B5</f>
        <v>0</v>
      </c>
      <c r="D8" s="297" t="str">
        <f>tblIndicators!D5</f>
        <v>NORM1.1.1</v>
      </c>
      <c r="E8" s="297" t="str">
        <f>tblIndicators!E5</f>
        <v>NORM1.1</v>
      </c>
      <c r="F8" s="297">
        <f>tblIndicators!F5</f>
        <v>3</v>
      </c>
      <c r="G8" s="297">
        <f>tblIndicators!Y5</f>
        <v>0</v>
      </c>
      <c r="H8" s="297">
        <f>tblIndicators!Z5</f>
        <v>3</v>
      </c>
      <c r="I8" s="298">
        <f>tblIndicators!AA5</f>
        <v>0</v>
      </c>
      <c r="J8" s="297">
        <f>tblIndicators!AB5</f>
        <v>2</v>
      </c>
      <c r="K8" s="297">
        <f t="shared" ca="1" si="1"/>
        <v>0</v>
      </c>
      <c r="L8" s="299">
        <f t="shared" ca="1" si="2"/>
        <v>2</v>
      </c>
      <c r="M8" s="297">
        <f t="shared" ref="M8:M55" ca="1" si="4">CHOOSE(H8,"-",L8-K8,L8-K8)</f>
        <v>2</v>
      </c>
      <c r="N8" s="426" t="str">
        <f>REPT(" ",F8)&amp;tblIndicators!AE5</f>
        <v xml:space="preserve">   1.1.1) 1.¿ Existe un marco legal nacional para la gestión de residuos orientado al reciclaje con la inclusión de actores informales?</v>
      </c>
      <c r="O8" s="302">
        <f>tblIndicators!AD5</f>
        <v>0.25</v>
      </c>
      <c r="P8" s="300">
        <f ca="1">IF($H8=0,0,CHOOSE($H8,SUMPRODUCT($O9:$O$55*P9:P$55*($E9:$E$55=$D8)),IF(ISNUMBER(Data!J8),100*ABS($G8-(Data!J8-$K8)/$M8),0),IF(ISNUMBER(Data!J8),100*ABS($G8-(Data!J8-$K8)/$M8),0)))</f>
        <v>0</v>
      </c>
      <c r="Q8" s="301">
        <f ca="1">IF($H8=0,0,CHOOSE($H8,SUMPRODUCT($O9:$O$55*Q9:Q$55*($E9:$E$55=$D8)),IF(ISNUMBER(Data!K8),100*ABS($G8-(Data!K8-$K8)/$M8),0),IF(ISNUMBER(Data!K8),100*ABS($G8-(Data!K8-$K8)/$M8),0)))</f>
        <v>50</v>
      </c>
      <c r="R8" s="300">
        <f ca="1">IF($H8=0,0,CHOOSE($H8,SUMPRODUCT($O9:$O$55*R9:R$55*($E9:$E$55=$D8)),IF(ISNUMBER(Data!L8),100*ABS($G8-(Data!L8-$K8)/$M8),0),IF(ISNUMBER(Data!L8),100*ABS($G8-(Data!L8-$K8)/$M8),0)))</f>
        <v>0</v>
      </c>
      <c r="S8" s="301">
        <f ca="1">IF($H8=0,0,CHOOSE($H8,SUMPRODUCT($O9:$O$55*S9:S$55*($E9:$E$55=$D8)),IF(ISNUMBER(Data!M8),100*ABS($G8-(Data!M8-$K8)/$M8),0),IF(ISNUMBER(Data!M8),100*ABS($G8-(Data!M8-$K8)/$M8),0)))</f>
        <v>0</v>
      </c>
      <c r="T8" s="300">
        <f ca="1">IF($H8=0,0,CHOOSE($H8,SUMPRODUCT($O9:$O$55*T9:T$55*($E9:$E$55=$D8)),IF(ISNUMBER(Data!N8),100*ABS($G8-(Data!N8-$K8)/$M8),0),IF(ISNUMBER(Data!N8),100*ABS($G8-(Data!N8-$K8)/$M8),0)))</f>
        <v>0</v>
      </c>
      <c r="U8" s="301">
        <f ca="1">IF($H8=0,0,CHOOSE($H8,SUMPRODUCT($O9:$O$55*U9:U$55*($E9:$E$55=$D8)),IF(ISNUMBER(Data!O8),100*ABS($G8-(Data!O8-$K8)/$M8),0),IF(ISNUMBER(Data!O8),100*ABS($G8-(Data!O8-$K8)/$M8),0)))</f>
        <v>100</v>
      </c>
      <c r="V8" s="300">
        <f ca="1">IF($H8=0,0,CHOOSE($H8,SUMPRODUCT($O9:$O$55*V9:V$55*($E9:$E$55=$D8)),IF(ISNUMBER(Data!P8),100*ABS($G8-(Data!P8-$K8)/$M8),0),IF(ISNUMBER(Data!P8),100*ABS($G8-(Data!P8-$K8)/$M8),0)))</f>
        <v>50</v>
      </c>
      <c r="W8" s="301">
        <f ca="1">IF($H8=0,0,CHOOSE($H8,SUMPRODUCT($O9:$O$55*W9:W$55*($E9:$E$55=$D8)),IF(ISNUMBER(Data!Q8),100*ABS($G8-(Data!Q8-$K8)/$M8),0),IF(ISNUMBER(Data!Q8),100*ABS($G8-(Data!Q8-$K8)/$M8),0)))</f>
        <v>0</v>
      </c>
      <c r="X8" s="300">
        <f ca="1">IF($H8=0,0,CHOOSE($H8,SUMPRODUCT($O9:$O$55*X9:X$55*($E9:$E$55=$D8)),IF(ISNUMBER(Data!R8),100*ABS($G8-(Data!R8-$K8)/$M8),0),IF(ISNUMBER(Data!R8),100*ABS($G8-(Data!R8-$K8)/$M8),0)))</f>
        <v>50</v>
      </c>
      <c r="Y8" s="301">
        <f ca="1">IF($H8=0,0,CHOOSE($H8,SUMPRODUCT($O9:$O$55*Y9:Y$55*($E9:$E$55=$D8)),IF(ISNUMBER(Data!S8),100*ABS($G8-(Data!S8-$K8)/$M8),0),IF(ISNUMBER(Data!S8),100*ABS($G8-(Data!S8-$K8)/$M8),0)))</f>
        <v>100</v>
      </c>
      <c r="Z8" s="300">
        <f ca="1">IF($H8=0,0,CHOOSE($H8,SUMPRODUCT($O9:$O$55*Z9:Z$55*($E9:$E$55=$D8)),IF(ISNUMBER(Data!T8),100*ABS($G8-(Data!T8-$K8)/$M8),0),IF(ISNUMBER(Data!T8),100*ABS($G8-(Data!T8-$K8)/$M8),0)))</f>
        <v>50</v>
      </c>
      <c r="AA8" s="301">
        <f ca="1">IF($H8=0,0,CHOOSE($H8,SUMPRODUCT($O9:$O$55*AA9:AA$55*($E9:$E$55=$D8)),IF(ISNUMBER(Data!U8),100*ABS($G8-(Data!U8-$K8)/$M8),0),IF(ISNUMBER(Data!U8),100*ABS($G8-(Data!U8-$K8)/$M8),0)))</f>
        <v>50</v>
      </c>
      <c r="AB8" s="300">
        <f ca="1">IF($H8=0,0,CHOOSE($H8,SUMPRODUCT($O9:$O$55*AB9:AB$55*($E9:$E$55=$D8)),IF(ISNUMBER(Data!V8),100*ABS($G8-(Data!V8-$K8)/$M8),0),IF(ISNUMBER(Data!V8),100*ABS($G8-(Data!V8-$K8)/$M8),0)))</f>
        <v>50</v>
      </c>
      <c r="AC8" s="301">
        <f>IF($H8=0,0,CHOOSE($H8,SUMPRODUCT($O9:$O$55*AC9:AC$55*($E9:$E$55=$D8)),IF(ISNUMBER(Data!W8),100*ABS($G8-(Data!W8-$K8)/$M8),0),IF(ISNUMBER(Data!W8),100*ABS($G8-(Data!W8-$K8)/$M8),0)))</f>
        <v>0</v>
      </c>
      <c r="AD8" s="300">
        <f>IF($H8=0,0,CHOOSE($H8,SUMPRODUCT($O9:$O$55*AD9:AD$55*($E9:$E$55=$D8)),IF(ISNUMBER(Data!X8),100*ABS($G8-(Data!X8-$K8)/$M8),0),IF(ISNUMBER(Data!X8),100*ABS($G8-(Data!X8-$K8)/$M8),0)))</f>
        <v>0</v>
      </c>
      <c r="AE8" s="301">
        <f>IF($H8=0,0,CHOOSE($H8,SUMPRODUCT($O9:$O$55*AE9:AE$55*($E9:$E$55=$D8)),IF(ISNUMBER(Data!Y8),100*ABS($G8-(Data!Y8-$K8)/$M8),0),IF(ISNUMBER(Data!Y8),100*ABS($G8-(Data!Y8-$K8)/$M8),0)))</f>
        <v>0</v>
      </c>
      <c r="AF8" s="300">
        <f>IF($H8=0,0,CHOOSE($H8,SUMPRODUCT($O9:$O$55*AF9:AF$55*($E9:$E$55=$D8)),IF(ISNUMBER(Data!Z8),100*ABS($G8-(Data!Z8-$K8)/$M8),0),IF(ISNUMBER(Data!Z8),100*ABS($G8-(Data!Z8-$K8)/$M8),0)))</f>
        <v>0</v>
      </c>
      <c r="AG8" s="301">
        <f>IF($H8=0,0,CHOOSE($H8,SUMPRODUCT($O9:$O$55*AG9:AG$55*($E9:$E$55=$D8)),IF(ISNUMBER(Data!AA8),100*ABS($G8-(Data!AA8-$K8)/$M8),0),IF(ISNUMBER(Data!AA8),100*ABS($G8-(Data!AA8-$K8)/$M8),0)))</f>
        <v>0</v>
      </c>
      <c r="AH8" s="300">
        <f>IF($H8=0,0,CHOOSE($H8,SUMPRODUCT($O9:$O$55*AH9:AH$55*($E9:$E$55=$D8)),IF(ISNUMBER(Data!AB8),100*ABS($G8-(Data!AB8-$K8)/$M8),0),IF(ISNUMBER(Data!AB8),100*ABS($G8-(Data!AB8-$K8)/$M8),0)))</f>
        <v>0</v>
      </c>
      <c r="AI8" s="301">
        <f>IF($H8=0,0,CHOOSE($H8,SUMPRODUCT($O9:$O$55*AI9:AI$55*($E9:$E$55=$D8)),IF(ISNUMBER(Data!AC8),100*ABS($G8-(Data!AC8-$K8)/$M8),0),IF(ISNUMBER(Data!AC8),100*ABS($G8-(Data!AC8-$K8)/$M8),0)))</f>
        <v>0</v>
      </c>
      <c r="AJ8" s="300">
        <f>IF($H8=0,0,CHOOSE($H8,SUMPRODUCT($O9:$O$55*AJ9:AJ$55*($E9:$E$55=$D8)),IF(ISNUMBER(Data!AD8),100*ABS($G8-(Data!AD8-$K8)/$M8),0),IF(ISNUMBER(Data!AD8),100*ABS($G8-(Data!AD8-$K8)/$M8),0)))</f>
        <v>0</v>
      </c>
      <c r="AK8" s="301">
        <f>IF($H8=0,0,CHOOSE($H8,SUMPRODUCT($O9:$O$55*AK9:AK$55*($E9:$E$55=$D8)),IF(ISNUMBER(Data!AE8),100*ABS($G8-(Data!AE8-$K8)/$M8),0),IF(ISNUMBER(Data!AE8),100*ABS($G8-(Data!AE8-$K8)/$M8),0)))</f>
        <v>0</v>
      </c>
    </row>
    <row r="9" spans="1:86" s="78" customFormat="1" ht="30">
      <c r="A9" s="580">
        <f t="shared" si="3"/>
        <v>9</v>
      </c>
      <c r="B9" s="297">
        <f>tblIndicators!A6</f>
        <v>5</v>
      </c>
      <c r="C9" s="297">
        <f>tblIndicators!B6</f>
        <v>0</v>
      </c>
      <c r="D9" s="297" t="str">
        <f>tblIndicators!D6</f>
        <v>NORM1.1.2</v>
      </c>
      <c r="E9" s="297" t="str">
        <f>tblIndicators!E6</f>
        <v>NORM1.1</v>
      </c>
      <c r="F9" s="297">
        <f>tblIndicators!F6</f>
        <v>3</v>
      </c>
      <c r="G9" s="297">
        <f>tblIndicators!Y6</f>
        <v>0</v>
      </c>
      <c r="H9" s="297">
        <f>tblIndicators!Z6</f>
        <v>3</v>
      </c>
      <c r="I9" s="298">
        <f>tblIndicators!AA6</f>
        <v>0</v>
      </c>
      <c r="J9" s="297">
        <f>tblIndicators!AB6</f>
        <v>2</v>
      </c>
      <c r="K9" s="297">
        <f t="shared" ca="1" si="1"/>
        <v>0</v>
      </c>
      <c r="L9" s="299">
        <f t="shared" ca="1" si="2"/>
        <v>2</v>
      </c>
      <c r="M9" s="297">
        <f t="shared" ca="1" si="4"/>
        <v>2</v>
      </c>
      <c r="N9" s="426" t="str">
        <f>REPT(" ",F9)&amp;tblIndicators!AE6</f>
        <v xml:space="preserve">   1.1.2) 2.¿Existe un marco legal municipal para la gestión de residuos orientado al reciclaje y la inclusión de actores informales?</v>
      </c>
      <c r="O9" s="302">
        <f>tblIndicators!AD6</f>
        <v>0.25</v>
      </c>
      <c r="P9" s="300">
        <f ca="1">IF($H9=0,0,CHOOSE($H9,SUMPRODUCT($O10:$O$55*P10:P$55*($E10:$E$55=$D9)),IF(ISNUMBER(Data!J9),100*ABS($G9-(Data!J9-$K9)/$M9),0),IF(ISNUMBER(Data!J9),100*ABS($G9-(Data!J9-$K9)/$M9),0)))</f>
        <v>50</v>
      </c>
      <c r="Q9" s="301">
        <f ca="1">IF($H9=0,0,CHOOSE($H9,SUMPRODUCT($O10:$O$55*Q10:Q$55*($E10:$E$55=$D9)),IF(ISNUMBER(Data!K9),100*ABS($G9-(Data!K9-$K9)/$M9),0),IF(ISNUMBER(Data!K9),100*ABS($G9-(Data!K9-$K9)/$M9),0)))</f>
        <v>100</v>
      </c>
      <c r="R9" s="300">
        <f ca="1">IF($H9=0,0,CHOOSE($H9,SUMPRODUCT($O10:$O$55*R10:R$55*($E10:$E$55=$D9)),IF(ISNUMBER(Data!L9),100*ABS($G9-(Data!L9-$K9)/$M9),0),IF(ISNUMBER(Data!L9),100*ABS($G9-(Data!L9-$K9)/$M9),0)))</f>
        <v>100</v>
      </c>
      <c r="S9" s="301">
        <f ca="1">IF($H9=0,0,CHOOSE($H9,SUMPRODUCT($O10:$O$55*S10:S$55*($E10:$E$55=$D9)),IF(ISNUMBER(Data!M9),100*ABS($G9-(Data!M9-$K9)/$M9),0),IF(ISNUMBER(Data!M9),100*ABS($G9-(Data!M9-$K9)/$M9),0)))</f>
        <v>0</v>
      </c>
      <c r="T9" s="300">
        <f ca="1">IF($H9=0,0,CHOOSE($H9,SUMPRODUCT($O10:$O$55*T10:T$55*($E10:$E$55=$D9)),IF(ISNUMBER(Data!N9),100*ABS($G9-(Data!N9-$K9)/$M9),0),IF(ISNUMBER(Data!N9),100*ABS($G9-(Data!N9-$K9)/$M9),0)))</f>
        <v>0</v>
      </c>
      <c r="U9" s="301">
        <f ca="1">IF($H9=0,0,CHOOSE($H9,SUMPRODUCT($O10:$O$55*U10:U$55*($E10:$E$55=$D9)),IF(ISNUMBER(Data!O9),100*ABS($G9-(Data!O9-$K9)/$M9),0),IF(ISNUMBER(Data!O9),100*ABS($G9-(Data!O9-$K9)/$M9),0)))</f>
        <v>100</v>
      </c>
      <c r="V9" s="300">
        <f ca="1">IF($H9=0,0,CHOOSE($H9,SUMPRODUCT($O10:$O$55*V10:V$55*($E10:$E$55=$D9)),IF(ISNUMBER(Data!P9),100*ABS($G9-(Data!P9-$K9)/$M9),0),IF(ISNUMBER(Data!P9),100*ABS($G9-(Data!P9-$K9)/$M9),0)))</f>
        <v>0</v>
      </c>
      <c r="W9" s="301">
        <f ca="1">IF($H9=0,0,CHOOSE($H9,SUMPRODUCT($O10:$O$55*W10:W$55*($E10:$E$55=$D9)),IF(ISNUMBER(Data!Q9),100*ABS($G9-(Data!Q9-$K9)/$M9),0),IF(ISNUMBER(Data!Q9),100*ABS($G9-(Data!Q9-$K9)/$M9),0)))</f>
        <v>100</v>
      </c>
      <c r="X9" s="300">
        <f ca="1">IF($H9=0,0,CHOOSE($H9,SUMPRODUCT($O10:$O$55*X10:X$55*($E10:$E$55=$D9)),IF(ISNUMBER(Data!R9),100*ABS($G9-(Data!R9-$K9)/$M9),0),IF(ISNUMBER(Data!R9),100*ABS($G9-(Data!R9-$K9)/$M9),0)))</f>
        <v>50</v>
      </c>
      <c r="Y9" s="301">
        <f ca="1">IF($H9=0,0,CHOOSE($H9,SUMPRODUCT($O10:$O$55*Y10:Y$55*($E10:$E$55=$D9)),IF(ISNUMBER(Data!S9),100*ABS($G9-(Data!S9-$K9)/$M9),0),IF(ISNUMBER(Data!S9),100*ABS($G9-(Data!S9-$K9)/$M9),0)))</f>
        <v>100</v>
      </c>
      <c r="Z9" s="300">
        <f ca="1">IF($H9=0,0,CHOOSE($H9,SUMPRODUCT($O10:$O$55*Z10:Z$55*($E10:$E$55=$D9)),IF(ISNUMBER(Data!T9),100*ABS($G9-(Data!T9-$K9)/$M9),0),IF(ISNUMBER(Data!T9),100*ABS($G9-(Data!T9-$K9)/$M9),0)))</f>
        <v>0</v>
      </c>
      <c r="AA9" s="301">
        <f ca="1">IF($H9=0,0,CHOOSE($H9,SUMPRODUCT($O10:$O$55*AA10:AA$55*($E10:$E$55=$D9)),IF(ISNUMBER(Data!U9),100*ABS($G9-(Data!U9-$K9)/$M9),0),IF(ISNUMBER(Data!U9),100*ABS($G9-(Data!U9-$K9)/$M9),0)))</f>
        <v>50</v>
      </c>
      <c r="AB9" s="300">
        <f ca="1">IF($H9=0,0,CHOOSE($H9,SUMPRODUCT($O10:$O$55*AB10:AB$55*($E10:$E$55=$D9)),IF(ISNUMBER(Data!V9),100*ABS($G9-(Data!V9-$K9)/$M9),0),IF(ISNUMBER(Data!V9),100*ABS($G9-(Data!V9-$K9)/$M9),0)))</f>
        <v>0</v>
      </c>
      <c r="AC9" s="301">
        <f>IF($H9=0,0,CHOOSE($H9,SUMPRODUCT($O10:$O$55*AC10:AC$55*($E10:$E$55=$D9)),IF(ISNUMBER(Data!W9),100*ABS($G9-(Data!W9-$K9)/$M9),0),IF(ISNUMBER(Data!W9),100*ABS($G9-(Data!W9-$K9)/$M9),0)))</f>
        <v>0</v>
      </c>
      <c r="AD9" s="300">
        <f>IF($H9=0,0,CHOOSE($H9,SUMPRODUCT($O10:$O$55*AD10:AD$55*($E10:$E$55=$D9)),IF(ISNUMBER(Data!X9),100*ABS($G9-(Data!X9-$K9)/$M9),0),IF(ISNUMBER(Data!X9),100*ABS($G9-(Data!X9-$K9)/$M9),0)))</f>
        <v>0</v>
      </c>
      <c r="AE9" s="301">
        <f>IF($H9=0,0,CHOOSE($H9,SUMPRODUCT($O10:$O$55*AE10:AE$55*($E10:$E$55=$D9)),IF(ISNUMBER(Data!Y9),100*ABS($G9-(Data!Y9-$K9)/$M9),0),IF(ISNUMBER(Data!Y9),100*ABS($G9-(Data!Y9-$K9)/$M9),0)))</f>
        <v>0</v>
      </c>
      <c r="AF9" s="300">
        <f>IF($H9=0,0,CHOOSE($H9,SUMPRODUCT($O10:$O$55*AF10:AF$55*($E10:$E$55=$D9)),IF(ISNUMBER(Data!Z9),100*ABS($G9-(Data!Z9-$K9)/$M9),0),IF(ISNUMBER(Data!Z9),100*ABS($G9-(Data!Z9-$K9)/$M9),0)))</f>
        <v>0</v>
      </c>
      <c r="AG9" s="301">
        <f>IF($H9=0,0,CHOOSE($H9,SUMPRODUCT($O10:$O$55*AG10:AG$55*($E10:$E$55=$D9)),IF(ISNUMBER(Data!AA9),100*ABS($G9-(Data!AA9-$K9)/$M9),0),IF(ISNUMBER(Data!AA9),100*ABS($G9-(Data!AA9-$K9)/$M9),0)))</f>
        <v>0</v>
      </c>
      <c r="AH9" s="300">
        <f>IF($H9=0,0,CHOOSE($H9,SUMPRODUCT($O10:$O$55*AH10:AH$55*($E10:$E$55=$D9)),IF(ISNUMBER(Data!AB9),100*ABS($G9-(Data!AB9-$K9)/$M9),0),IF(ISNUMBER(Data!AB9),100*ABS($G9-(Data!AB9-$K9)/$M9),0)))</f>
        <v>0</v>
      </c>
      <c r="AI9" s="301">
        <f>IF($H9=0,0,CHOOSE($H9,SUMPRODUCT($O10:$O$55*AI10:AI$55*($E10:$E$55=$D9)),IF(ISNUMBER(Data!AC9),100*ABS($G9-(Data!AC9-$K9)/$M9),0),IF(ISNUMBER(Data!AC9),100*ABS($G9-(Data!AC9-$K9)/$M9),0)))</f>
        <v>0</v>
      </c>
      <c r="AJ9" s="300">
        <f>IF($H9=0,0,CHOOSE($H9,SUMPRODUCT($O10:$O$55*AJ10:AJ$55*($E10:$E$55=$D9)),IF(ISNUMBER(Data!AD9),100*ABS($G9-(Data!AD9-$K9)/$M9),0),IF(ISNUMBER(Data!AD9),100*ABS($G9-(Data!AD9-$K9)/$M9),0)))</f>
        <v>0</v>
      </c>
      <c r="AK9" s="301">
        <f>IF($H9=0,0,CHOOSE($H9,SUMPRODUCT($O10:$O$55*AK10:AK$55*($E10:$E$55=$D9)),IF(ISNUMBER(Data!AE9),100*ABS($G9-(Data!AE9-$K9)/$M9),0),IF(ISNUMBER(Data!AE9),100*ABS($G9-(Data!AE9-$K9)/$M9),0)))</f>
        <v>0</v>
      </c>
    </row>
    <row r="10" spans="1:86" s="78" customFormat="1" ht="30">
      <c r="A10" s="580">
        <f t="shared" si="3"/>
        <v>10</v>
      </c>
      <c r="B10" s="297">
        <f>tblIndicators!A7</f>
        <v>6</v>
      </c>
      <c r="C10" s="297">
        <f>tblIndicators!B7</f>
        <v>0</v>
      </c>
      <c r="D10" s="297" t="str">
        <f>tblIndicators!D7</f>
        <v>NORM1.1.3</v>
      </c>
      <c r="E10" s="297" t="str">
        <f>tblIndicators!E7</f>
        <v>NORM1.1</v>
      </c>
      <c r="F10" s="297">
        <f>tblIndicators!F7</f>
        <v>3</v>
      </c>
      <c r="G10" s="297">
        <f>tblIndicators!Y7</f>
        <v>0</v>
      </c>
      <c r="H10" s="297">
        <f>tblIndicators!Z7</f>
        <v>3</v>
      </c>
      <c r="I10" s="298">
        <f>tblIndicators!AA7</f>
        <v>0</v>
      </c>
      <c r="J10" s="297">
        <f>tblIndicators!AB7</f>
        <v>2</v>
      </c>
      <c r="K10" s="297">
        <f t="shared" ca="1" si="1"/>
        <v>0</v>
      </c>
      <c r="L10" s="299">
        <f t="shared" ca="1" si="2"/>
        <v>2</v>
      </c>
      <c r="M10" s="297">
        <f t="shared" ca="1" si="4"/>
        <v>2</v>
      </c>
      <c r="N10" s="426" t="str">
        <f>REPT(" ",F10)&amp;tblIndicators!AE7</f>
        <v xml:space="preserve">   1.1.3) 3.¿Son las políticas municipales suficientemente estables para garantizar la continuidad en materia de políticas de reciclaje inclusivo?</v>
      </c>
      <c r="O10" s="302">
        <f>tblIndicators!AD7</f>
        <v>0.25</v>
      </c>
      <c r="P10" s="300">
        <f ca="1">IF($H10=0,0,CHOOSE($H10,SUMPRODUCT($O11:$O$55*P11:P$55*($E11:$E$55=$D10)),IF(ISNUMBER(Data!J10),100*ABS($G10-(Data!J10-$K10)/$M10),0),IF(ISNUMBER(Data!J10),100*ABS($G10-(Data!J10-$K10)/$M10),0)))</f>
        <v>50</v>
      </c>
      <c r="Q10" s="301">
        <f ca="1">IF($H10=0,0,CHOOSE($H10,SUMPRODUCT($O11:$O$55*Q11:Q$55*($E11:$E$55=$D10)),IF(ISNUMBER(Data!K10),100*ABS($G10-(Data!K10-$K10)/$M10),0),IF(ISNUMBER(Data!K10),100*ABS($G10-(Data!K10-$K10)/$M10),0)))</f>
        <v>50</v>
      </c>
      <c r="R10" s="300">
        <f ca="1">IF($H10=0,0,CHOOSE($H10,SUMPRODUCT($O11:$O$55*R11:R$55*($E11:$E$55=$D10)),IF(ISNUMBER(Data!L10),100*ABS($G10-(Data!L10-$K10)/$M10),0),IF(ISNUMBER(Data!L10),100*ABS($G10-(Data!L10-$K10)/$M10),0)))</f>
        <v>100</v>
      </c>
      <c r="S10" s="301">
        <f ca="1">IF($H10=0,0,CHOOSE($H10,SUMPRODUCT($O11:$O$55*S11:S$55*($E11:$E$55=$D10)),IF(ISNUMBER(Data!M10),100*ABS($G10-(Data!M10-$K10)/$M10),0),IF(ISNUMBER(Data!M10),100*ABS($G10-(Data!M10-$K10)/$M10),0)))</f>
        <v>0</v>
      </c>
      <c r="T10" s="300">
        <f ca="1">IF($H10=0,0,CHOOSE($H10,SUMPRODUCT($O11:$O$55*T11:T$55*($E11:$E$55=$D10)),IF(ISNUMBER(Data!N10),100*ABS($G10-(Data!N10-$K10)/$M10),0),IF(ISNUMBER(Data!N10),100*ABS($G10-(Data!N10-$K10)/$M10),0)))</f>
        <v>0</v>
      </c>
      <c r="U10" s="301">
        <f ca="1">IF($H10=0,0,CHOOSE($H10,SUMPRODUCT($O11:$O$55*U11:U$55*($E11:$E$55=$D10)),IF(ISNUMBER(Data!O10),100*ABS($G10-(Data!O10-$K10)/$M10),0),IF(ISNUMBER(Data!O10),100*ABS($G10-(Data!O10-$K10)/$M10),0)))</f>
        <v>0</v>
      </c>
      <c r="V10" s="300">
        <f ca="1">IF($H10=0,0,CHOOSE($H10,SUMPRODUCT($O11:$O$55*V11:V$55*($E11:$E$55=$D10)),IF(ISNUMBER(Data!P10),100*ABS($G10-(Data!P10-$K10)/$M10),0),IF(ISNUMBER(Data!P10),100*ABS($G10-(Data!P10-$K10)/$M10),0)))</f>
        <v>0</v>
      </c>
      <c r="W10" s="301">
        <f ca="1">IF($H10=0,0,CHOOSE($H10,SUMPRODUCT($O11:$O$55*W11:W$55*($E11:$E$55=$D10)),IF(ISNUMBER(Data!Q10),100*ABS($G10-(Data!Q10-$K10)/$M10),0),IF(ISNUMBER(Data!Q10),100*ABS($G10-(Data!Q10-$K10)/$M10),0)))</f>
        <v>50</v>
      </c>
      <c r="X10" s="300">
        <f ca="1">IF($H10=0,0,CHOOSE($H10,SUMPRODUCT($O11:$O$55*X11:X$55*($E11:$E$55=$D10)),IF(ISNUMBER(Data!R10),100*ABS($G10-(Data!R10-$K10)/$M10),0),IF(ISNUMBER(Data!R10),100*ABS($G10-(Data!R10-$K10)/$M10),0)))</f>
        <v>0</v>
      </c>
      <c r="Y10" s="301">
        <f ca="1">IF($H10=0,0,CHOOSE($H10,SUMPRODUCT($O11:$O$55*Y11:Y$55*($E11:$E$55=$D10)),IF(ISNUMBER(Data!S10),100*ABS($G10-(Data!S10-$K10)/$M10),0),IF(ISNUMBER(Data!S10),100*ABS($G10-(Data!S10-$K10)/$M10),0)))</f>
        <v>100</v>
      </c>
      <c r="Z10" s="300">
        <f ca="1">IF($H10=0,0,CHOOSE($H10,SUMPRODUCT($O11:$O$55*Z11:Z$55*($E11:$E$55=$D10)),IF(ISNUMBER(Data!T10),100*ABS($G10-(Data!T10-$K10)/$M10),0),IF(ISNUMBER(Data!T10),100*ABS($G10-(Data!T10-$K10)/$M10),0)))</f>
        <v>50</v>
      </c>
      <c r="AA10" s="301">
        <f ca="1">IF($H10=0,0,CHOOSE($H10,SUMPRODUCT($O11:$O$55*AA11:AA$55*($E11:$E$55=$D10)),IF(ISNUMBER(Data!U10),100*ABS($G10-(Data!U10-$K10)/$M10),0),IF(ISNUMBER(Data!U10),100*ABS($G10-(Data!U10-$K10)/$M10),0)))</f>
        <v>0</v>
      </c>
      <c r="AB10" s="300">
        <f ca="1">IF($H10=0,0,CHOOSE($H10,SUMPRODUCT($O11:$O$55*AB11:AB$55*($E11:$E$55=$D10)),IF(ISNUMBER(Data!V10),100*ABS($G10-(Data!V10-$K10)/$M10),0),IF(ISNUMBER(Data!V10),100*ABS($G10-(Data!V10-$K10)/$M10),0)))</f>
        <v>0</v>
      </c>
      <c r="AC10" s="301">
        <f>IF($H10=0,0,CHOOSE($H10,SUMPRODUCT($O11:$O$55*AC11:AC$55*($E11:$E$55=$D10)),IF(ISNUMBER(Data!W10),100*ABS($G10-(Data!W10-$K10)/$M10),0),IF(ISNUMBER(Data!W10),100*ABS($G10-(Data!W10-$K10)/$M10),0)))</f>
        <v>0</v>
      </c>
      <c r="AD10" s="300">
        <f>IF($H10=0,0,CHOOSE($H10,SUMPRODUCT($O11:$O$55*AD11:AD$55*($E11:$E$55=$D10)),IF(ISNUMBER(Data!X10),100*ABS($G10-(Data!X10-$K10)/$M10),0),IF(ISNUMBER(Data!X10),100*ABS($G10-(Data!X10-$K10)/$M10),0)))</f>
        <v>0</v>
      </c>
      <c r="AE10" s="301">
        <f>IF($H10=0,0,CHOOSE($H10,SUMPRODUCT($O11:$O$55*AE11:AE$55*($E11:$E$55=$D10)),IF(ISNUMBER(Data!Y10),100*ABS($G10-(Data!Y10-$K10)/$M10),0),IF(ISNUMBER(Data!Y10),100*ABS($G10-(Data!Y10-$K10)/$M10),0)))</f>
        <v>0</v>
      </c>
      <c r="AF10" s="300">
        <f>IF($H10=0,0,CHOOSE($H10,SUMPRODUCT($O11:$O$55*AF11:AF$55*($E11:$E$55=$D10)),IF(ISNUMBER(Data!Z10),100*ABS($G10-(Data!Z10-$K10)/$M10),0),IF(ISNUMBER(Data!Z10),100*ABS($G10-(Data!Z10-$K10)/$M10),0)))</f>
        <v>0</v>
      </c>
      <c r="AG10" s="301">
        <f>IF($H10=0,0,CHOOSE($H10,SUMPRODUCT($O11:$O$55*AG11:AG$55*($E11:$E$55=$D10)),IF(ISNUMBER(Data!AA10),100*ABS($G10-(Data!AA10-$K10)/$M10),0),IF(ISNUMBER(Data!AA10),100*ABS($G10-(Data!AA10-$K10)/$M10),0)))</f>
        <v>0</v>
      </c>
      <c r="AH10" s="300">
        <f>IF($H10=0,0,CHOOSE($H10,SUMPRODUCT($O11:$O$55*AH11:AH$55*($E11:$E$55=$D10)),IF(ISNUMBER(Data!AB10),100*ABS($G10-(Data!AB10-$K10)/$M10),0),IF(ISNUMBER(Data!AB10),100*ABS($G10-(Data!AB10-$K10)/$M10),0)))</f>
        <v>0</v>
      </c>
      <c r="AI10" s="301">
        <f>IF($H10=0,0,CHOOSE($H10,SUMPRODUCT($O11:$O$55*AI11:AI$55*($E11:$E$55=$D10)),IF(ISNUMBER(Data!AC10),100*ABS($G10-(Data!AC10-$K10)/$M10),0),IF(ISNUMBER(Data!AC10),100*ABS($G10-(Data!AC10-$K10)/$M10),0)))</f>
        <v>0</v>
      </c>
      <c r="AJ10" s="300">
        <f>IF($H10=0,0,CHOOSE($H10,SUMPRODUCT($O11:$O$55*AJ11:AJ$55*($E11:$E$55=$D10)),IF(ISNUMBER(Data!AD10),100*ABS($G10-(Data!AD10-$K10)/$M10),0),IF(ISNUMBER(Data!AD10),100*ABS($G10-(Data!AD10-$K10)/$M10),0)))</f>
        <v>0</v>
      </c>
      <c r="AK10" s="301">
        <f>IF($H10=0,0,CHOOSE($H10,SUMPRODUCT($O11:$O$55*AK11:AK$55*($E11:$E$55=$D10)),IF(ISNUMBER(Data!AE10),100*ABS($G10-(Data!AE10-$K10)/$M10),0),IF(ISNUMBER(Data!AE10),100*ABS($G10-(Data!AE10-$K10)/$M10),0)))</f>
        <v>0</v>
      </c>
    </row>
    <row r="11" spans="1:86" s="78" customFormat="1" ht="30">
      <c r="A11" s="580">
        <f t="shared" si="3"/>
        <v>11</v>
      </c>
      <c r="B11" s="297">
        <f>tblIndicators!A8</f>
        <v>7</v>
      </c>
      <c r="C11" s="297">
        <f>tblIndicators!B8</f>
        <v>0</v>
      </c>
      <c r="D11" s="297" t="str">
        <f>tblIndicators!D8</f>
        <v>NORM1.1.4</v>
      </c>
      <c r="E11" s="297" t="str">
        <f>tblIndicators!E8</f>
        <v>NORM1.1</v>
      </c>
      <c r="F11" s="297">
        <f>tblIndicators!F8</f>
        <v>3</v>
      </c>
      <c r="G11" s="297">
        <f>tblIndicators!Y8</f>
        <v>0</v>
      </c>
      <c r="H11" s="297">
        <f>tblIndicators!Z8</f>
        <v>3</v>
      </c>
      <c r="I11" s="298">
        <f>tblIndicators!AA8</f>
        <v>0</v>
      </c>
      <c r="J11" s="297">
        <f>tblIndicators!AB8</f>
        <v>2</v>
      </c>
      <c r="K11" s="297">
        <f t="shared" ca="1" si="1"/>
        <v>0</v>
      </c>
      <c r="L11" s="299">
        <f t="shared" ca="1" si="2"/>
        <v>2</v>
      </c>
      <c r="M11" s="297">
        <f t="shared" ca="1" si="4"/>
        <v>2</v>
      </c>
      <c r="N11" s="426" t="str">
        <f>REPT(" ",F11)&amp;tblIndicators!AE8</f>
        <v xml:space="preserve">   1.1.4) 4.¿Existe un presupuesto (o mecanismo de financiación) municipal asignado para el reciclaje inclusivo?</v>
      </c>
      <c r="O11" s="302">
        <f>tblIndicators!AD8</f>
        <v>0.25</v>
      </c>
      <c r="P11" s="300">
        <f ca="1">IF($H11=0,0,CHOOSE($H11,SUMPRODUCT($O12:$O$55*P12:P$55*($E12:$E$55=$D11)),IF(ISNUMBER(Data!J11),100*ABS($G11-(Data!J11-$K11)/$M11),0),IF(ISNUMBER(Data!J11),100*ABS($G11-(Data!J11-$K11)/$M11),0)))</f>
        <v>0</v>
      </c>
      <c r="Q11" s="301">
        <f ca="1">IF($H11=0,0,CHOOSE($H11,SUMPRODUCT($O12:$O$55*Q12:Q$55*($E12:$E$55=$D11)),IF(ISNUMBER(Data!K11),100*ABS($G11-(Data!K11-$K11)/$M11),0),IF(ISNUMBER(Data!K11),100*ABS($G11-(Data!K11-$K11)/$M11),0)))</f>
        <v>100</v>
      </c>
      <c r="R11" s="300">
        <f ca="1">IF($H11=0,0,CHOOSE($H11,SUMPRODUCT($O12:$O$55*R12:R$55*($E12:$E$55=$D11)),IF(ISNUMBER(Data!L11),100*ABS($G11-(Data!L11-$K11)/$M11),0),IF(ISNUMBER(Data!L11),100*ABS($G11-(Data!L11-$K11)/$M11),0)))</f>
        <v>100</v>
      </c>
      <c r="S11" s="301">
        <f ca="1">IF($H11=0,0,CHOOSE($H11,SUMPRODUCT($O12:$O$55*S12:S$55*($E12:$E$55=$D11)),IF(ISNUMBER(Data!M11),100*ABS($G11-(Data!M11-$K11)/$M11),0),IF(ISNUMBER(Data!M11),100*ABS($G11-(Data!M11-$K11)/$M11),0)))</f>
        <v>0</v>
      </c>
      <c r="T11" s="300">
        <f ca="1">IF($H11=0,0,CHOOSE($H11,SUMPRODUCT($O12:$O$55*T12:T$55*($E12:$E$55=$D11)),IF(ISNUMBER(Data!N11),100*ABS($G11-(Data!N11-$K11)/$M11),0),IF(ISNUMBER(Data!N11),100*ABS($G11-(Data!N11-$K11)/$M11),0)))</f>
        <v>0</v>
      </c>
      <c r="U11" s="301">
        <f ca="1">IF($H11=0,0,CHOOSE($H11,SUMPRODUCT($O12:$O$55*U12:U$55*($E12:$E$55=$D11)),IF(ISNUMBER(Data!O11),100*ABS($G11-(Data!O11-$K11)/$M11),0),IF(ISNUMBER(Data!O11),100*ABS($G11-(Data!O11-$K11)/$M11),0)))</f>
        <v>100</v>
      </c>
      <c r="V11" s="300">
        <f ca="1">IF($H11=0,0,CHOOSE($H11,SUMPRODUCT($O12:$O$55*V12:V$55*($E12:$E$55=$D11)),IF(ISNUMBER(Data!P11),100*ABS($G11-(Data!P11-$K11)/$M11),0),IF(ISNUMBER(Data!P11),100*ABS($G11-(Data!P11-$K11)/$M11),0)))</f>
        <v>0</v>
      </c>
      <c r="W11" s="301">
        <f ca="1">IF($H11=0,0,CHOOSE($H11,SUMPRODUCT($O12:$O$55*W12:W$55*($E12:$E$55=$D11)),IF(ISNUMBER(Data!Q11),100*ABS($G11-(Data!Q11-$K11)/$M11),0),IF(ISNUMBER(Data!Q11),100*ABS($G11-(Data!Q11-$K11)/$M11),0)))</f>
        <v>100</v>
      </c>
      <c r="X11" s="300">
        <f ca="1">IF($H11=0,0,CHOOSE($H11,SUMPRODUCT($O12:$O$55*X12:X$55*($E12:$E$55=$D11)),IF(ISNUMBER(Data!R11),100*ABS($G11-(Data!R11-$K11)/$M11),0),IF(ISNUMBER(Data!R11),100*ABS($G11-(Data!R11-$K11)/$M11),0)))</f>
        <v>0</v>
      </c>
      <c r="Y11" s="301">
        <f ca="1">IF($H11=0,0,CHOOSE($H11,SUMPRODUCT($O12:$O$55*Y12:Y$55*($E12:$E$55=$D11)),IF(ISNUMBER(Data!S11),100*ABS($G11-(Data!S11-$K11)/$M11),0),IF(ISNUMBER(Data!S11),100*ABS($G11-(Data!S11-$K11)/$M11),0)))</f>
        <v>100</v>
      </c>
      <c r="Z11" s="300">
        <f ca="1">IF($H11=0,0,CHOOSE($H11,SUMPRODUCT($O12:$O$55*Z12:Z$55*($E12:$E$55=$D11)),IF(ISNUMBER(Data!T11),100*ABS($G11-(Data!T11-$K11)/$M11),0),IF(ISNUMBER(Data!T11),100*ABS($G11-(Data!T11-$K11)/$M11),0)))</f>
        <v>0</v>
      </c>
      <c r="AA11" s="301">
        <f ca="1">IF($H11=0,0,CHOOSE($H11,SUMPRODUCT($O12:$O$55*AA12:AA$55*($E12:$E$55=$D11)),IF(ISNUMBER(Data!U11),100*ABS($G11-(Data!U11-$K11)/$M11),0),IF(ISNUMBER(Data!U11),100*ABS($G11-(Data!U11-$K11)/$M11),0)))</f>
        <v>100</v>
      </c>
      <c r="AB11" s="300">
        <f>IF($H11=0,0,CHOOSE($H11,SUMPRODUCT($O12:$O$55*AB12:AB$55*($E12:$E$55=$D11)),IF(ISNUMBER(Data!V11),100*ABS($G11-(Data!V11-$K11)/$M11),0),IF(ISNUMBER(Data!V11),100*ABS($G11-(Data!V11-$K11)/$M11),0)))</f>
        <v>0</v>
      </c>
      <c r="AC11" s="301">
        <f>IF($H11=0,0,CHOOSE($H11,SUMPRODUCT($O12:$O$55*AC12:AC$55*($E12:$E$55=$D11)),IF(ISNUMBER(Data!W11),100*ABS($G11-(Data!W11-$K11)/$M11),0),IF(ISNUMBER(Data!W11),100*ABS($G11-(Data!W11-$K11)/$M11),0)))</f>
        <v>0</v>
      </c>
      <c r="AD11" s="300">
        <f>IF($H11=0,0,CHOOSE($H11,SUMPRODUCT($O12:$O$55*AD12:AD$55*($E12:$E$55=$D11)),IF(ISNUMBER(Data!X11),100*ABS($G11-(Data!X11-$K11)/$M11),0),IF(ISNUMBER(Data!X11),100*ABS($G11-(Data!X11-$K11)/$M11),0)))</f>
        <v>0</v>
      </c>
      <c r="AE11" s="301">
        <f>IF($H11=0,0,CHOOSE($H11,SUMPRODUCT($O12:$O$55*AE12:AE$55*($E12:$E$55=$D11)),IF(ISNUMBER(Data!Y11),100*ABS($G11-(Data!Y11-$K11)/$M11),0),IF(ISNUMBER(Data!Y11),100*ABS($G11-(Data!Y11-$K11)/$M11),0)))</f>
        <v>0</v>
      </c>
      <c r="AF11" s="300">
        <f>IF($H11=0,0,CHOOSE($H11,SUMPRODUCT($O12:$O$55*AF12:AF$55*($E12:$E$55=$D11)),IF(ISNUMBER(Data!Z11),100*ABS($G11-(Data!Z11-$K11)/$M11),0),IF(ISNUMBER(Data!Z11),100*ABS($G11-(Data!Z11-$K11)/$M11),0)))</f>
        <v>0</v>
      </c>
      <c r="AG11" s="301">
        <f>IF($H11=0,0,CHOOSE($H11,SUMPRODUCT($O12:$O$55*AG12:AG$55*($E12:$E$55=$D11)),IF(ISNUMBER(Data!AA11),100*ABS($G11-(Data!AA11-$K11)/$M11),0),IF(ISNUMBER(Data!AA11),100*ABS($G11-(Data!AA11-$K11)/$M11),0)))</f>
        <v>0</v>
      </c>
      <c r="AH11" s="300">
        <f>IF($H11=0,0,CHOOSE($H11,SUMPRODUCT($O12:$O$55*AH12:AH$55*($E12:$E$55=$D11)),IF(ISNUMBER(Data!AB11),100*ABS($G11-(Data!AB11-$K11)/$M11),0),IF(ISNUMBER(Data!AB11),100*ABS($G11-(Data!AB11-$K11)/$M11),0)))</f>
        <v>0</v>
      </c>
      <c r="AI11" s="301">
        <f>IF($H11=0,0,CHOOSE($H11,SUMPRODUCT($O12:$O$55*AI12:AI$55*($E12:$E$55=$D11)),IF(ISNUMBER(Data!AC11),100*ABS($G11-(Data!AC11-$K11)/$M11),0),IF(ISNUMBER(Data!AC11),100*ABS($G11-(Data!AC11-$K11)/$M11),0)))</f>
        <v>0</v>
      </c>
      <c r="AJ11" s="300">
        <f>IF($H11=0,0,CHOOSE($H11,SUMPRODUCT($O12:$O$55*AJ12:AJ$55*($E12:$E$55=$D11)),IF(ISNUMBER(Data!AD11),100*ABS($G11-(Data!AD11-$K11)/$M11),0),IF(ISNUMBER(Data!AD11),100*ABS($G11-(Data!AD11-$K11)/$M11),0)))</f>
        <v>0</v>
      </c>
      <c r="AK11" s="301">
        <f>IF($H11=0,0,CHOOSE($H11,SUMPRODUCT($O12:$O$55*AK12:AK$55*($E12:$E$55=$D11)),IF(ISNUMBER(Data!AE11),100*ABS($G11-(Data!AE11-$K11)/$M11),0),IF(ISNUMBER(Data!AE11),100*ABS($G11-(Data!AE11-$K11)/$M11),0)))</f>
        <v>0</v>
      </c>
    </row>
    <row r="12" spans="1:86" s="78" customFormat="1" ht="15">
      <c r="A12" s="580">
        <f t="shared" si="3"/>
        <v>12</v>
      </c>
      <c r="B12" s="297">
        <f>tblIndicators!A9</f>
        <v>8</v>
      </c>
      <c r="C12" s="297">
        <f>tblIndicators!B9</f>
        <v>0</v>
      </c>
      <c r="D12" s="297" t="str">
        <f>tblIndicators!D9</f>
        <v>NORM1.2</v>
      </c>
      <c r="E12" s="297" t="str">
        <f>tblIndicators!E9</f>
        <v>NORM</v>
      </c>
      <c r="F12" s="297">
        <f>tblIndicators!F9</f>
        <v>2</v>
      </c>
      <c r="G12" s="297" t="str">
        <f>tblIndicators!Y9</f>
        <v/>
      </c>
      <c r="H12" s="297">
        <f>tblIndicators!Z9</f>
        <v>1</v>
      </c>
      <c r="I12" s="298" t="str">
        <f>tblIndicators!AA9</f>
        <v/>
      </c>
      <c r="J12" s="297">
        <f>tblIndicators!AB9</f>
        <v>0</v>
      </c>
      <c r="K12" s="297" t="str">
        <f t="shared" ca="1" si="1"/>
        <v>-</v>
      </c>
      <c r="L12" s="299" t="str">
        <f t="shared" ca="1" si="2"/>
        <v>-</v>
      </c>
      <c r="M12" s="297" t="str">
        <f t="shared" si="4"/>
        <v>-</v>
      </c>
      <c r="N12" s="426" t="str">
        <f>REPT(" ",F12)&amp;tblIndicators!AE9</f>
        <v xml:space="preserve">  1.2) Integración del reciclador de base</v>
      </c>
      <c r="O12" s="302">
        <f>tblIndicators!AD9</f>
        <v>0.25</v>
      </c>
      <c r="P12" s="300">
        <f ca="1">IF($H12=0,0,CHOOSE($H12,SUMPRODUCT($O13:$O$55*P13:P$55*($E13:$E$55=$D12)),IF(ISNUMBER(Data!J12),100*ABS($G12-(Data!J12-$K12)/$M12),0),IF(ISNUMBER(Data!J12),100*ABS($G12-(Data!J12-$K12)/$M12),0)))</f>
        <v>31.25</v>
      </c>
      <c r="Q12" s="301">
        <f ca="1">IF($H12=0,0,CHOOSE($H12,SUMPRODUCT($O13:$O$55*Q13:Q$55*($E13:$E$55=$D12)),IF(ISNUMBER(Data!K12),100*ABS($G12-(Data!K12-$K12)/$M12),0),IF(ISNUMBER(Data!K12),100*ABS($G12-(Data!K12-$K12)/$M12),0)))</f>
        <v>75</v>
      </c>
      <c r="R12" s="300">
        <f ca="1">IF($H12=0,0,CHOOSE($H12,SUMPRODUCT($O13:$O$55*R13:R$55*($E13:$E$55=$D12)),IF(ISNUMBER(Data!L12),100*ABS($G12-(Data!L12-$K12)/$M12),0),IF(ISNUMBER(Data!L12),100*ABS($G12-(Data!L12-$K12)/$M12),0)))</f>
        <v>60.416666666666664</v>
      </c>
      <c r="S12" s="301">
        <f ca="1">IF($H12=0,0,CHOOSE($H12,SUMPRODUCT($O13:$O$55*S13:S$55*($E13:$E$55=$D12)),IF(ISNUMBER(Data!M12),100*ABS($G12-(Data!M12-$K12)/$M12),0),IF(ISNUMBER(Data!M12),100*ABS($G12-(Data!M12-$K12)/$M12),0)))</f>
        <v>12.5</v>
      </c>
      <c r="T12" s="300">
        <f ca="1">IF($H12=0,0,CHOOSE($H12,SUMPRODUCT($O13:$O$55*T13:T$55*($E13:$E$55=$D12)),IF(ISNUMBER(Data!N12),100*ABS($G12-(Data!N12-$K12)/$M12),0),IF(ISNUMBER(Data!N12),100*ABS($G12-(Data!N12-$K12)/$M12),0)))</f>
        <v>10.416666666666666</v>
      </c>
      <c r="U12" s="301">
        <f ca="1">IF($H12=0,0,CHOOSE($H12,SUMPRODUCT($O13:$O$55*U13:U$55*($E13:$E$55=$D12)),IF(ISNUMBER(Data!O12),100*ABS($G12-(Data!O12-$K12)/$M12),0),IF(ISNUMBER(Data!O12),100*ABS($G12-(Data!O12-$K12)/$M12),0)))</f>
        <v>75</v>
      </c>
      <c r="V12" s="300">
        <f ca="1">IF($H12=0,0,CHOOSE($H12,SUMPRODUCT($O13:$O$55*V13:V$55*($E13:$E$55=$D12)),IF(ISNUMBER(Data!P12),100*ABS($G12-(Data!P12-$K12)/$M12),0),IF(ISNUMBER(Data!P12),100*ABS($G12-(Data!P12-$K12)/$M12),0)))</f>
        <v>35.416666666666664</v>
      </c>
      <c r="W12" s="301">
        <f ca="1">IF($H12=0,0,CHOOSE($H12,SUMPRODUCT($O13:$O$55*W13:W$55*($E13:$E$55=$D12)),IF(ISNUMBER(Data!Q12),100*ABS($G12-(Data!Q12-$K12)/$M12),0),IF(ISNUMBER(Data!Q12),100*ABS($G12-(Data!Q12-$K12)/$M12),0)))</f>
        <v>31.25</v>
      </c>
      <c r="X12" s="300">
        <f ca="1">IF($H12=0,0,CHOOSE($H12,SUMPRODUCT($O13:$O$55*X13:X$55*($E13:$E$55=$D12)),IF(ISNUMBER(Data!R12),100*ABS($G12-(Data!R12-$K12)/$M12),0),IF(ISNUMBER(Data!R12),100*ABS($G12-(Data!R12-$K12)/$M12),0)))</f>
        <v>4.1666666666666661</v>
      </c>
      <c r="Y12" s="301">
        <f ca="1">IF($H12=0,0,CHOOSE($H12,SUMPRODUCT($O13:$O$55*Y13:Y$55*($E13:$E$55=$D12)),IF(ISNUMBER(Data!S12),100*ABS($G12-(Data!S12-$K12)/$M12),0),IF(ISNUMBER(Data!S12),100*ABS($G12-(Data!S12-$K12)/$M12),0)))</f>
        <v>81.25</v>
      </c>
      <c r="Z12" s="300">
        <f ca="1">IF($H12=0,0,CHOOSE($H12,SUMPRODUCT($O13:$O$55*Z13:Z$55*($E13:$E$55=$D12)),IF(ISNUMBER(Data!T12),100*ABS($G12-(Data!T12-$K12)/$M12),0),IF(ISNUMBER(Data!T12),100*ABS($G12-(Data!T12-$K12)/$M12),0)))</f>
        <v>33.333333333333329</v>
      </c>
      <c r="AA12" s="301">
        <f ca="1">IF($H12=0,0,CHOOSE($H12,SUMPRODUCT($O13:$O$55*AA13:AA$55*($E13:$E$55=$D12)),IF(ISNUMBER(Data!U12),100*ABS($G12-(Data!U12-$K12)/$M12),0),IF(ISNUMBER(Data!U12),100*ABS($G12-(Data!U12-$K12)/$M12),0)))</f>
        <v>31.25</v>
      </c>
      <c r="AB12" s="300">
        <f ca="1">IF($H12=0,0,CHOOSE($H12,SUMPRODUCT($O13:$O$55*AB13:AB$55*($E13:$E$55=$D12)),IF(ISNUMBER(Data!V12),100*ABS($G12-(Data!V12-$K12)/$M12),0),IF(ISNUMBER(Data!V12),100*ABS($G12-(Data!V12-$K12)/$M12),0)))</f>
        <v>6.25</v>
      </c>
      <c r="AC12" s="301">
        <f>IF($H12=0,0,CHOOSE($H12,SUMPRODUCT($O13:$O$55*AC13:AC$55*($E13:$E$55=$D12)),IF(ISNUMBER(Data!W12),100*ABS($G12-(Data!W12-$K12)/$M12),0),IF(ISNUMBER(Data!W12),100*ABS($G12-(Data!W12-$K12)/$M12),0)))</f>
        <v>0</v>
      </c>
      <c r="AD12" s="300">
        <f>IF($H12=0,0,CHOOSE($H12,SUMPRODUCT($O13:$O$55*AD13:AD$55*($E13:$E$55=$D12)),IF(ISNUMBER(Data!X12),100*ABS($G12-(Data!X12-$K12)/$M12),0),IF(ISNUMBER(Data!X12),100*ABS($G12-(Data!X12-$K12)/$M12),0)))</f>
        <v>0</v>
      </c>
      <c r="AE12" s="301">
        <f>IF($H12=0,0,CHOOSE($H12,SUMPRODUCT($O13:$O$55*AE13:AE$55*($E13:$E$55=$D12)),IF(ISNUMBER(Data!Y12),100*ABS($G12-(Data!Y12-$K12)/$M12),0),IF(ISNUMBER(Data!Y12),100*ABS($G12-(Data!Y12-$K12)/$M12),0)))</f>
        <v>0</v>
      </c>
      <c r="AF12" s="300">
        <f>IF($H12=0,0,CHOOSE($H12,SUMPRODUCT($O13:$O$55*AF13:AF$55*($E13:$E$55=$D12)),IF(ISNUMBER(Data!Z12),100*ABS($G12-(Data!Z12-$K12)/$M12),0),IF(ISNUMBER(Data!Z12),100*ABS($G12-(Data!Z12-$K12)/$M12),0)))</f>
        <v>0</v>
      </c>
      <c r="AG12" s="301">
        <f>IF($H12=0,0,CHOOSE($H12,SUMPRODUCT($O13:$O$55*AG13:AG$55*($E13:$E$55=$D12)),IF(ISNUMBER(Data!AA12),100*ABS($G12-(Data!AA12-$K12)/$M12),0),IF(ISNUMBER(Data!AA12),100*ABS($G12-(Data!AA12-$K12)/$M12),0)))</f>
        <v>0</v>
      </c>
      <c r="AH12" s="300">
        <f>IF($H12=0,0,CHOOSE($H12,SUMPRODUCT($O13:$O$55*AH13:AH$55*($E13:$E$55=$D12)),IF(ISNUMBER(Data!AB12),100*ABS($G12-(Data!AB12-$K12)/$M12),0),IF(ISNUMBER(Data!AB12),100*ABS($G12-(Data!AB12-$K12)/$M12),0)))</f>
        <v>0</v>
      </c>
      <c r="AI12" s="301">
        <f>IF($H12=0,0,CHOOSE($H12,SUMPRODUCT($O13:$O$55*AI13:AI$55*($E13:$E$55=$D12)),IF(ISNUMBER(Data!AC12),100*ABS($G12-(Data!AC12-$K12)/$M12),0),IF(ISNUMBER(Data!AC12),100*ABS($G12-(Data!AC12-$K12)/$M12),0)))</f>
        <v>0</v>
      </c>
      <c r="AJ12" s="300">
        <f>IF($H12=0,0,CHOOSE($H12,SUMPRODUCT($O13:$O$55*AJ13:AJ$55*($E13:$E$55=$D12)),IF(ISNUMBER(Data!AD12),100*ABS($G12-(Data!AD12-$K12)/$M12),0),IF(ISNUMBER(Data!AD12),100*ABS($G12-(Data!AD12-$K12)/$M12),0)))</f>
        <v>0</v>
      </c>
      <c r="AK12" s="301">
        <f>IF($H12=0,0,CHOOSE($H12,SUMPRODUCT($O13:$O$55*AK13:AK$55*($E13:$E$55=$D12)),IF(ISNUMBER(Data!AE12),100*ABS($G12-(Data!AE12-$K12)/$M12),0),IF(ISNUMBER(Data!AE12),100*ABS($G12-(Data!AE12-$K12)/$M12),0)))</f>
        <v>0</v>
      </c>
    </row>
    <row r="13" spans="1:86" s="78" customFormat="1" ht="30">
      <c r="A13" s="580">
        <f t="shared" si="3"/>
        <v>13</v>
      </c>
      <c r="B13" s="297">
        <f>tblIndicators!A10</f>
        <v>9</v>
      </c>
      <c r="C13" s="297">
        <f>tblIndicators!B10</f>
        <v>0</v>
      </c>
      <c r="D13" s="297" t="str">
        <f>tblIndicators!D10</f>
        <v>NORM1.2.1</v>
      </c>
      <c r="E13" s="297" t="str">
        <f>tblIndicators!E10</f>
        <v>NORM1.2</v>
      </c>
      <c r="F13" s="297">
        <f>tblIndicators!F10</f>
        <v>3</v>
      </c>
      <c r="G13" s="297">
        <f>tblIndicators!Y10</f>
        <v>0</v>
      </c>
      <c r="H13" s="297">
        <f>tblIndicators!Z10</f>
        <v>3</v>
      </c>
      <c r="I13" s="298">
        <f>tblIndicators!AA10</f>
        <v>0</v>
      </c>
      <c r="J13" s="297">
        <f>tblIndicators!AB10</f>
        <v>1</v>
      </c>
      <c r="K13" s="297">
        <f t="shared" ca="1" si="1"/>
        <v>0</v>
      </c>
      <c r="L13" s="299">
        <f t="shared" ca="1" si="2"/>
        <v>1</v>
      </c>
      <c r="M13" s="297">
        <f t="shared" ca="1" si="4"/>
        <v>1</v>
      </c>
      <c r="N13" s="426" t="str">
        <f>REPT(" ",F13)&amp;tblIndicators!AE10</f>
        <v xml:space="preserve">   1.2.1) 5.¿Existe reconocimiento legal de la ocupación de reciclador de base?</v>
      </c>
      <c r="O13" s="302">
        <f>tblIndicators!AD10</f>
        <v>0.125</v>
      </c>
      <c r="P13" s="300">
        <f ca="1">IF($H13=0,0,CHOOSE($H13,SUMPRODUCT($O14:$O$55*P14:P$55*($E14:$E$55=$D13)),IF(ISNUMBER(Data!J13),100*ABS($G13-(Data!J13-$K13)/$M13),0),IF(ISNUMBER(Data!J13),100*ABS($G13-(Data!J13-$K13)/$M13),0)))</f>
        <v>0</v>
      </c>
      <c r="Q13" s="301">
        <f ca="1">IF($H13=0,0,CHOOSE($H13,SUMPRODUCT($O14:$O$55*Q14:Q$55*($E14:$E$55=$D13)),IF(ISNUMBER(Data!K13),100*ABS($G13-(Data!K13-$K13)/$M13),0),IF(ISNUMBER(Data!K13),100*ABS($G13-(Data!K13-$K13)/$M13),0)))</f>
        <v>100</v>
      </c>
      <c r="R13" s="300">
        <f ca="1">IF($H13=0,0,CHOOSE($H13,SUMPRODUCT($O14:$O$55*R14:R$55*($E14:$E$55=$D13)),IF(ISNUMBER(Data!L13),100*ABS($G13-(Data!L13-$K13)/$M13),0),IF(ISNUMBER(Data!L13),100*ABS($G13-(Data!L13-$K13)/$M13),0)))</f>
        <v>100</v>
      </c>
      <c r="S13" s="301">
        <f ca="1">IF($H13=0,0,CHOOSE($H13,SUMPRODUCT($O14:$O$55*S14:S$55*($E14:$E$55=$D13)),IF(ISNUMBER(Data!M13),100*ABS($G13-(Data!M13-$K13)/$M13),0),IF(ISNUMBER(Data!M13),100*ABS($G13-(Data!M13-$K13)/$M13),0)))</f>
        <v>0</v>
      </c>
      <c r="T13" s="300">
        <f ca="1">IF($H13=0,0,CHOOSE($H13,SUMPRODUCT($O14:$O$55*T14:T$55*($E14:$E$55=$D13)),IF(ISNUMBER(Data!N13),100*ABS($G13-(Data!N13-$K13)/$M13),0),IF(ISNUMBER(Data!N13),100*ABS($G13-(Data!N13-$K13)/$M13),0)))</f>
        <v>0</v>
      </c>
      <c r="U13" s="301">
        <f ca="1">IF($H13=0,0,CHOOSE($H13,SUMPRODUCT($O14:$O$55*U14:U$55*($E14:$E$55=$D13)),IF(ISNUMBER(Data!O13),100*ABS($G13-(Data!O13-$K13)/$M13),0),IF(ISNUMBER(Data!O13),100*ABS($G13-(Data!O13-$K13)/$M13),0)))</f>
        <v>100</v>
      </c>
      <c r="V13" s="300">
        <f ca="1">IF($H13=0,0,CHOOSE($H13,SUMPRODUCT($O14:$O$55*V14:V$55*($E14:$E$55=$D13)),IF(ISNUMBER(Data!P13),100*ABS($G13-(Data!P13-$K13)/$M13),0),IF(ISNUMBER(Data!P13),100*ABS($G13-(Data!P13-$K13)/$M13),0)))</f>
        <v>0</v>
      </c>
      <c r="W13" s="301">
        <f ca="1">IF($H13=0,0,CHOOSE($H13,SUMPRODUCT($O14:$O$55*W14:W$55*($E14:$E$55=$D13)),IF(ISNUMBER(Data!Q13),100*ABS($G13-(Data!Q13-$K13)/$M13),0),IF(ISNUMBER(Data!Q13),100*ABS($G13-(Data!Q13-$K13)/$M13),0)))</f>
        <v>0</v>
      </c>
      <c r="X13" s="300">
        <f ca="1">IF($H13=0,0,CHOOSE($H13,SUMPRODUCT($O14:$O$55*X14:X$55*($E14:$E$55=$D13)),IF(ISNUMBER(Data!R13),100*ABS($G13-(Data!R13-$K13)/$M13),0),IF(ISNUMBER(Data!R13),100*ABS($G13-(Data!R13-$K13)/$M13),0)))</f>
        <v>0</v>
      </c>
      <c r="Y13" s="301">
        <f ca="1">IF($H13=0,0,CHOOSE($H13,SUMPRODUCT($O14:$O$55*Y14:Y$55*($E14:$E$55=$D13)),IF(ISNUMBER(Data!S13),100*ABS($G13-(Data!S13-$K13)/$M13),0),IF(ISNUMBER(Data!S13),100*ABS($G13-(Data!S13-$K13)/$M13),0)))</f>
        <v>100</v>
      </c>
      <c r="Z13" s="300">
        <f ca="1">IF($H13=0,0,CHOOSE($H13,SUMPRODUCT($O14:$O$55*Z14:Z$55*($E14:$E$55=$D13)),IF(ISNUMBER(Data!T13),100*ABS($G13-(Data!T13-$K13)/$M13),0),IF(ISNUMBER(Data!T13),100*ABS($G13-(Data!T13-$K13)/$M13),0)))</f>
        <v>0</v>
      </c>
      <c r="AA13" s="301">
        <f ca="1">IF($H13=0,0,CHOOSE($H13,SUMPRODUCT($O14:$O$55*AA14:AA$55*($E14:$E$55=$D13)),IF(ISNUMBER(Data!U13),100*ABS($G13-(Data!U13-$K13)/$M13),0),IF(ISNUMBER(Data!U13),100*ABS($G13-(Data!U13-$K13)/$M13),0)))</f>
        <v>0</v>
      </c>
      <c r="AB13" s="300">
        <f ca="1">IF($H13=0,0,CHOOSE($H13,SUMPRODUCT($O14:$O$55*AB14:AB$55*($E14:$E$55=$D13)),IF(ISNUMBER(Data!V13),100*ABS($G13-(Data!V13-$K13)/$M13),0),IF(ISNUMBER(Data!V13),100*ABS($G13-(Data!V13-$K13)/$M13),0)))</f>
        <v>0</v>
      </c>
      <c r="AC13" s="301">
        <f>IF($H13=0,0,CHOOSE($H13,SUMPRODUCT($O14:$O$55*AC14:AC$55*($E14:$E$55=$D13)),IF(ISNUMBER(Data!W13),100*ABS($G13-(Data!W13-$K13)/$M13),0),IF(ISNUMBER(Data!W13),100*ABS($G13-(Data!W13-$K13)/$M13),0)))</f>
        <v>0</v>
      </c>
      <c r="AD13" s="300">
        <f>IF($H13=0,0,CHOOSE($H13,SUMPRODUCT($O14:$O$55*AD14:AD$55*($E14:$E$55=$D13)),IF(ISNUMBER(Data!X13),100*ABS($G13-(Data!X13-$K13)/$M13),0),IF(ISNUMBER(Data!X13),100*ABS($G13-(Data!X13-$K13)/$M13),0)))</f>
        <v>0</v>
      </c>
      <c r="AE13" s="301">
        <f>IF($H13=0,0,CHOOSE($H13,SUMPRODUCT($O14:$O$55*AE14:AE$55*($E14:$E$55=$D13)),IF(ISNUMBER(Data!Y13),100*ABS($G13-(Data!Y13-$K13)/$M13),0),IF(ISNUMBER(Data!Y13),100*ABS($G13-(Data!Y13-$K13)/$M13),0)))</f>
        <v>0</v>
      </c>
      <c r="AF13" s="300">
        <f>IF($H13=0,0,CHOOSE($H13,SUMPRODUCT($O14:$O$55*AF14:AF$55*($E14:$E$55=$D13)),IF(ISNUMBER(Data!Z13),100*ABS($G13-(Data!Z13-$K13)/$M13),0),IF(ISNUMBER(Data!Z13),100*ABS($G13-(Data!Z13-$K13)/$M13),0)))</f>
        <v>0</v>
      </c>
      <c r="AG13" s="301">
        <f>IF($H13=0,0,CHOOSE($H13,SUMPRODUCT($O14:$O$55*AG14:AG$55*($E14:$E$55=$D13)),IF(ISNUMBER(Data!AA13),100*ABS($G13-(Data!AA13-$K13)/$M13),0),IF(ISNUMBER(Data!AA13),100*ABS($G13-(Data!AA13-$K13)/$M13),0)))</f>
        <v>0</v>
      </c>
      <c r="AH13" s="300">
        <f>IF($H13=0,0,CHOOSE($H13,SUMPRODUCT($O14:$O$55*AH14:AH$55*($E14:$E$55=$D13)),IF(ISNUMBER(Data!AB13),100*ABS($G13-(Data!AB13-$K13)/$M13),0),IF(ISNUMBER(Data!AB13),100*ABS($G13-(Data!AB13-$K13)/$M13),0)))</f>
        <v>0</v>
      </c>
      <c r="AI13" s="301">
        <f>IF($H13=0,0,CHOOSE($H13,SUMPRODUCT($O14:$O$55*AI14:AI$55*($E14:$E$55=$D13)),IF(ISNUMBER(Data!AC13),100*ABS($G13-(Data!AC13-$K13)/$M13),0),IF(ISNUMBER(Data!AC13),100*ABS($G13-(Data!AC13-$K13)/$M13),0)))</f>
        <v>0</v>
      </c>
      <c r="AJ13" s="300">
        <f>IF($H13=0,0,CHOOSE($H13,SUMPRODUCT($O14:$O$55*AJ14:AJ$55*($E14:$E$55=$D13)),IF(ISNUMBER(Data!AD13),100*ABS($G13-(Data!AD13-$K13)/$M13),0),IF(ISNUMBER(Data!AD13),100*ABS($G13-(Data!AD13-$K13)/$M13),0)))</f>
        <v>0</v>
      </c>
      <c r="AK13" s="301">
        <f>IF($H13=0,0,CHOOSE($H13,SUMPRODUCT($O14:$O$55*AK14:AK$55*($E14:$E$55=$D13)),IF(ISNUMBER(Data!AE13),100*ABS($G13-(Data!AE13-$K13)/$M13),0),IF(ISNUMBER(Data!AE13),100*ABS($G13-(Data!AE13-$K13)/$M13),0)))</f>
        <v>0</v>
      </c>
    </row>
    <row r="14" spans="1:86" s="78" customFormat="1" ht="30">
      <c r="A14" s="580">
        <f t="shared" si="3"/>
        <v>14</v>
      </c>
      <c r="B14" s="297">
        <f>tblIndicators!A11</f>
        <v>10</v>
      </c>
      <c r="C14" s="297">
        <f>tblIndicators!B11</f>
        <v>0</v>
      </c>
      <c r="D14" s="297" t="str">
        <f>tblIndicators!D11</f>
        <v>NORM1.2.2</v>
      </c>
      <c r="E14" s="297" t="str">
        <f>tblIndicators!E11</f>
        <v>NORM1.2</v>
      </c>
      <c r="F14" s="297">
        <f>tblIndicators!F11</f>
        <v>3</v>
      </c>
      <c r="G14" s="297">
        <f>tblIndicators!Y11</f>
        <v>0</v>
      </c>
      <c r="H14" s="297">
        <f>tblIndicators!Z11</f>
        <v>3</v>
      </c>
      <c r="I14" s="298">
        <f>tblIndicators!AA11</f>
        <v>0</v>
      </c>
      <c r="J14" s="297">
        <f>tblIndicators!AB11</f>
        <v>2</v>
      </c>
      <c r="K14" s="297">
        <f t="shared" ca="1" si="1"/>
        <v>0</v>
      </c>
      <c r="L14" s="299">
        <f t="shared" ca="1" si="2"/>
        <v>2</v>
      </c>
      <c r="M14" s="297">
        <f t="shared" ca="1" si="4"/>
        <v>2</v>
      </c>
      <c r="N14" s="426" t="str">
        <f>REPT(" ",F14)&amp;tblIndicators!AE11</f>
        <v xml:space="preserve">   1.2.2) 6.¿Se reconoce a los recicladores de base como prestadores de servicio en la gestión de residuos?</v>
      </c>
      <c r="O14" s="302">
        <f>tblIndicators!AD11</f>
        <v>0.125</v>
      </c>
      <c r="P14" s="300">
        <f ca="1">IF($H14=0,0,CHOOSE($H14,SUMPRODUCT($O15:$O$55*P15:P$55*($E15:$E$55=$D14)),IF(ISNUMBER(Data!J14),100*ABS($G14-(Data!J14-$K14)/$M14),0),IF(ISNUMBER(Data!J14),100*ABS($G14-(Data!J14-$K14)/$M14),0)))</f>
        <v>50</v>
      </c>
      <c r="Q14" s="301">
        <f ca="1">IF($H14=0,0,CHOOSE($H14,SUMPRODUCT($O15:$O$55*Q15:Q$55*($E15:$E$55=$D14)),IF(ISNUMBER(Data!K14),100*ABS($G14-(Data!K14-$K14)/$M14),0),IF(ISNUMBER(Data!K14),100*ABS($G14-(Data!K14-$K14)/$M14),0)))</f>
        <v>100</v>
      </c>
      <c r="R14" s="300">
        <f ca="1">IF($H14=0,0,CHOOSE($H14,SUMPRODUCT($O15:$O$55*R15:R$55*($E15:$E$55=$D14)),IF(ISNUMBER(Data!L14),100*ABS($G14-(Data!L14-$K14)/$M14),0),IF(ISNUMBER(Data!L14),100*ABS($G14-(Data!L14-$K14)/$M14),0)))</f>
        <v>100</v>
      </c>
      <c r="S14" s="301">
        <f ca="1">IF($H14=0,0,CHOOSE($H14,SUMPRODUCT($O15:$O$55*S15:S$55*($E15:$E$55=$D14)),IF(ISNUMBER(Data!M14),100*ABS($G14-(Data!M14-$K14)/$M14),0),IF(ISNUMBER(Data!M14),100*ABS($G14-(Data!M14-$K14)/$M14),0)))</f>
        <v>0</v>
      </c>
      <c r="T14" s="300">
        <f ca="1">IF($H14=0,0,CHOOSE($H14,SUMPRODUCT($O15:$O$55*T15:T$55*($E15:$E$55=$D14)),IF(ISNUMBER(Data!N14),100*ABS($G14-(Data!N14-$K14)/$M14),0),IF(ISNUMBER(Data!N14),100*ABS($G14-(Data!N14-$K14)/$M14),0)))</f>
        <v>0</v>
      </c>
      <c r="U14" s="301">
        <f ca="1">IF($H14=0,0,CHOOSE($H14,SUMPRODUCT($O15:$O$55*U15:U$55*($E15:$E$55=$D14)),IF(ISNUMBER(Data!O14),100*ABS($G14-(Data!O14-$K14)/$M14),0),IF(ISNUMBER(Data!O14),100*ABS($G14-(Data!O14-$K14)/$M14),0)))</f>
        <v>50</v>
      </c>
      <c r="V14" s="300">
        <f ca="1">IF($H14=0,0,CHOOSE($H14,SUMPRODUCT($O15:$O$55*V15:V$55*($E15:$E$55=$D14)),IF(ISNUMBER(Data!P14),100*ABS($G14-(Data!P14-$K14)/$M14),0),IF(ISNUMBER(Data!P14),100*ABS($G14-(Data!P14-$K14)/$M14),0)))</f>
        <v>50</v>
      </c>
      <c r="W14" s="301">
        <f ca="1">IF($H14=0,0,CHOOSE($H14,SUMPRODUCT($O15:$O$55*W15:W$55*($E15:$E$55=$D14)),IF(ISNUMBER(Data!Q14),100*ABS($G14-(Data!Q14-$K14)/$M14),0),IF(ISNUMBER(Data!Q14),100*ABS($G14-(Data!Q14-$K14)/$M14),0)))</f>
        <v>50</v>
      </c>
      <c r="X14" s="300">
        <f ca="1">IF($H14=0,0,CHOOSE($H14,SUMPRODUCT($O15:$O$55*X15:X$55*($E15:$E$55=$D14)),IF(ISNUMBER(Data!R14),100*ABS($G14-(Data!R14-$K14)/$M14),0),IF(ISNUMBER(Data!R14),100*ABS($G14-(Data!R14-$K14)/$M14),0)))</f>
        <v>0</v>
      </c>
      <c r="Y14" s="301">
        <f ca="1">IF($H14=0,0,CHOOSE($H14,SUMPRODUCT($O15:$O$55*Y15:Y$55*($E15:$E$55=$D14)),IF(ISNUMBER(Data!S14),100*ABS($G14-(Data!S14-$K14)/$M14),0),IF(ISNUMBER(Data!S14),100*ABS($G14-(Data!S14-$K14)/$M14),0)))</f>
        <v>100</v>
      </c>
      <c r="Z14" s="300">
        <f ca="1">IF($H14=0,0,CHOOSE($H14,SUMPRODUCT($O15:$O$55*Z15:Z$55*($E15:$E$55=$D14)),IF(ISNUMBER(Data!T14),100*ABS($G14-(Data!T14-$K14)/$M14),0),IF(ISNUMBER(Data!T14),100*ABS($G14-(Data!T14-$K14)/$M14),0)))</f>
        <v>50</v>
      </c>
      <c r="AA14" s="301">
        <f ca="1">IF($H14=0,0,CHOOSE($H14,SUMPRODUCT($O15:$O$55*AA15:AA$55*($E15:$E$55=$D14)),IF(ISNUMBER(Data!U14),100*ABS($G14-(Data!U14-$K14)/$M14),0),IF(ISNUMBER(Data!U14),100*ABS($G14-(Data!U14-$K14)/$M14),0)))</f>
        <v>0</v>
      </c>
      <c r="AB14" s="300">
        <f ca="1">IF($H14=0,0,CHOOSE($H14,SUMPRODUCT($O15:$O$55*AB15:AB$55*($E15:$E$55=$D14)),IF(ISNUMBER(Data!V14),100*ABS($G14-(Data!V14-$K14)/$M14),0),IF(ISNUMBER(Data!V14),100*ABS($G14-(Data!V14-$K14)/$M14),0)))</f>
        <v>0</v>
      </c>
      <c r="AC14" s="301">
        <f>IF($H14=0,0,CHOOSE($H14,SUMPRODUCT($O15:$O$55*AC15:AC$55*($E15:$E$55=$D14)),IF(ISNUMBER(Data!W14),100*ABS($G14-(Data!W14-$K14)/$M14),0),IF(ISNUMBER(Data!W14),100*ABS($G14-(Data!W14-$K14)/$M14),0)))</f>
        <v>0</v>
      </c>
      <c r="AD14" s="300">
        <f>IF($H14=0,0,CHOOSE($H14,SUMPRODUCT($O15:$O$55*AD15:AD$55*($E15:$E$55=$D14)),IF(ISNUMBER(Data!X14),100*ABS($G14-(Data!X14-$K14)/$M14),0),IF(ISNUMBER(Data!X14),100*ABS($G14-(Data!X14-$K14)/$M14),0)))</f>
        <v>0</v>
      </c>
      <c r="AE14" s="301">
        <f>IF($H14=0,0,CHOOSE($H14,SUMPRODUCT($O15:$O$55*AE15:AE$55*($E15:$E$55=$D14)),IF(ISNUMBER(Data!Y14),100*ABS($G14-(Data!Y14-$K14)/$M14),0),IF(ISNUMBER(Data!Y14),100*ABS($G14-(Data!Y14-$K14)/$M14),0)))</f>
        <v>0</v>
      </c>
      <c r="AF14" s="300">
        <f>IF($H14=0,0,CHOOSE($H14,SUMPRODUCT($O15:$O$55*AF15:AF$55*($E15:$E$55=$D14)),IF(ISNUMBER(Data!Z14),100*ABS($G14-(Data!Z14-$K14)/$M14),0),IF(ISNUMBER(Data!Z14),100*ABS($G14-(Data!Z14-$K14)/$M14),0)))</f>
        <v>0</v>
      </c>
      <c r="AG14" s="301">
        <f>IF($H14=0,0,CHOOSE($H14,SUMPRODUCT($O15:$O$55*AG15:AG$55*($E15:$E$55=$D14)),IF(ISNUMBER(Data!AA14),100*ABS($G14-(Data!AA14-$K14)/$M14),0),IF(ISNUMBER(Data!AA14),100*ABS($G14-(Data!AA14-$K14)/$M14),0)))</f>
        <v>0</v>
      </c>
      <c r="AH14" s="300">
        <f>IF($H14=0,0,CHOOSE($H14,SUMPRODUCT($O15:$O$55*AH15:AH$55*($E15:$E$55=$D14)),IF(ISNUMBER(Data!AB14),100*ABS($G14-(Data!AB14-$K14)/$M14),0),IF(ISNUMBER(Data!AB14),100*ABS($G14-(Data!AB14-$K14)/$M14),0)))</f>
        <v>0</v>
      </c>
      <c r="AI14" s="301">
        <f>IF($H14=0,0,CHOOSE($H14,SUMPRODUCT($O15:$O$55*AI15:AI$55*($E15:$E$55=$D14)),IF(ISNUMBER(Data!AC14),100*ABS($G14-(Data!AC14-$K14)/$M14),0),IF(ISNUMBER(Data!AC14),100*ABS($G14-(Data!AC14-$K14)/$M14),0)))</f>
        <v>0</v>
      </c>
      <c r="AJ14" s="300">
        <f>IF($H14=0,0,CHOOSE($H14,SUMPRODUCT($O15:$O$55*AJ15:AJ$55*($E15:$E$55=$D14)),IF(ISNUMBER(Data!AD14),100*ABS($G14-(Data!AD14-$K14)/$M14),0),IF(ISNUMBER(Data!AD14),100*ABS($G14-(Data!AD14-$K14)/$M14),0)))</f>
        <v>0</v>
      </c>
      <c r="AK14" s="301">
        <f>IF($H14=0,0,CHOOSE($H14,SUMPRODUCT($O15:$O$55*AK15:AK$55*($E15:$E$55=$D14)),IF(ISNUMBER(Data!AE14),100*ABS($G14-(Data!AE14-$K14)/$M14),0),IF(ISNUMBER(Data!AE14),100*ABS($G14-(Data!AE14-$K14)/$M14),0)))</f>
        <v>0</v>
      </c>
    </row>
    <row r="15" spans="1:86" s="78" customFormat="1" ht="30">
      <c r="A15" s="580">
        <f t="shared" si="3"/>
        <v>15</v>
      </c>
      <c r="B15" s="297">
        <f>tblIndicators!A12</f>
        <v>11</v>
      </c>
      <c r="C15" s="297">
        <f>tblIndicators!B12</f>
        <v>0</v>
      </c>
      <c r="D15" s="297" t="str">
        <f>tblIndicators!D12</f>
        <v>NORM1.2.3</v>
      </c>
      <c r="E15" s="297" t="str">
        <f>tblIndicators!E12</f>
        <v>NORM1.2</v>
      </c>
      <c r="F15" s="297">
        <f>tblIndicators!F12</f>
        <v>3</v>
      </c>
      <c r="G15" s="297">
        <f>tblIndicators!Y12</f>
        <v>0</v>
      </c>
      <c r="H15" s="297">
        <f>tblIndicators!Z12</f>
        <v>3</v>
      </c>
      <c r="I15" s="298">
        <f>tblIndicators!AA12</f>
        <v>0</v>
      </c>
      <c r="J15" s="297">
        <f>tblIndicators!AB12</f>
        <v>1</v>
      </c>
      <c r="K15" s="297">
        <f t="shared" ca="1" si="1"/>
        <v>0</v>
      </c>
      <c r="L15" s="299">
        <f t="shared" ca="1" si="2"/>
        <v>1</v>
      </c>
      <c r="M15" s="297">
        <f t="shared" ca="1" si="4"/>
        <v>1</v>
      </c>
      <c r="N15" s="426" t="str">
        <f>REPT(" ",F15)&amp;tblIndicators!AE12</f>
        <v xml:space="preserve">   1.2.3) 7.¿Se ha identificado la población de recicladores de base a través de un censo?</v>
      </c>
      <c r="O15" s="302">
        <f>tblIndicators!AD12</f>
        <v>0.125</v>
      </c>
      <c r="P15" s="300">
        <f ca="1">IF($H15=0,0,CHOOSE($H15,SUMPRODUCT($O16:$O$55*P16:P$55*($E16:$E$55=$D15)),IF(ISNUMBER(Data!J15),100*ABS($G15-(Data!J15-$K15)/$M15),0),IF(ISNUMBER(Data!J15),100*ABS($G15-(Data!J15-$K15)/$M15),0)))</f>
        <v>0</v>
      </c>
      <c r="Q15" s="301">
        <f ca="1">IF($H15=0,0,CHOOSE($H15,SUMPRODUCT($O16:$O$55*Q16:Q$55*($E16:$E$55=$D15)),IF(ISNUMBER(Data!K15),100*ABS($G15-(Data!K15-$K15)/$M15),0),IF(ISNUMBER(Data!K15),100*ABS($G15-(Data!K15-$K15)/$M15),0)))</f>
        <v>100</v>
      </c>
      <c r="R15" s="300">
        <f ca="1">IF($H15=0,0,CHOOSE($H15,SUMPRODUCT($O16:$O$55*R16:R$55*($E16:$E$55=$D15)),IF(ISNUMBER(Data!L15),100*ABS($G15-(Data!L15-$K15)/$M15),0),IF(ISNUMBER(Data!L15),100*ABS($G15-(Data!L15-$K15)/$M15),0)))</f>
        <v>0</v>
      </c>
      <c r="S15" s="301">
        <f ca="1">IF($H15=0,0,CHOOSE($H15,SUMPRODUCT($O16:$O$55*S16:S$55*($E16:$E$55=$D15)),IF(ISNUMBER(Data!M15),100*ABS($G15-(Data!M15-$K15)/$M15),0),IF(ISNUMBER(Data!M15),100*ABS($G15-(Data!M15-$K15)/$M15),0)))</f>
        <v>0</v>
      </c>
      <c r="T15" s="300">
        <f ca="1">IF($H15=0,0,CHOOSE($H15,SUMPRODUCT($O16:$O$55*T16:T$55*($E16:$E$55=$D15)),IF(ISNUMBER(Data!N15),100*ABS($G15-(Data!N15-$K15)/$M15),0),IF(ISNUMBER(Data!N15),100*ABS($G15-(Data!N15-$K15)/$M15),0)))</f>
        <v>0</v>
      </c>
      <c r="U15" s="301">
        <f ca="1">IF($H15=0,0,CHOOSE($H15,SUMPRODUCT($O16:$O$55*U16:U$55*($E16:$E$55=$D15)),IF(ISNUMBER(Data!O15),100*ABS($G15-(Data!O15-$K15)/$M15),0),IF(ISNUMBER(Data!O15),100*ABS($G15-(Data!O15-$K15)/$M15),0)))</f>
        <v>100</v>
      </c>
      <c r="V15" s="300">
        <f ca="1">IF($H15=0,0,CHOOSE($H15,SUMPRODUCT($O16:$O$55*V16:V$55*($E16:$E$55=$D15)),IF(ISNUMBER(Data!P15),100*ABS($G15-(Data!P15-$K15)/$M15),0),IF(ISNUMBER(Data!P15),100*ABS($G15-(Data!P15-$K15)/$M15),0)))</f>
        <v>100</v>
      </c>
      <c r="W15" s="301">
        <f ca="1">IF($H15=0,0,CHOOSE($H15,SUMPRODUCT($O16:$O$55*W16:W$55*($E16:$E$55=$D15)),IF(ISNUMBER(Data!Q15),100*ABS($G15-(Data!Q15-$K15)/$M15),0),IF(ISNUMBER(Data!Q15),100*ABS($G15-(Data!Q15-$K15)/$M15),0)))</f>
        <v>100</v>
      </c>
      <c r="X15" s="300">
        <f ca="1">IF($H15=0,0,CHOOSE($H15,SUMPRODUCT($O16:$O$55*X16:X$55*($E16:$E$55=$D15)),IF(ISNUMBER(Data!R15),100*ABS($G15-(Data!R15-$K15)/$M15),0),IF(ISNUMBER(Data!R15),100*ABS($G15-(Data!R15-$K15)/$M15),0)))</f>
        <v>0</v>
      </c>
      <c r="Y15" s="301">
        <f ca="1">IF($H15=0,0,CHOOSE($H15,SUMPRODUCT($O16:$O$55*Y16:Y$55*($E16:$E$55=$D15)),IF(ISNUMBER(Data!S15),100*ABS($G15-(Data!S15-$K15)/$M15),0),IF(ISNUMBER(Data!S15),100*ABS($G15-(Data!S15-$K15)/$M15),0)))</f>
        <v>100</v>
      </c>
      <c r="Z15" s="300">
        <f ca="1">IF($H15=0,0,CHOOSE($H15,SUMPRODUCT($O16:$O$55*Z16:Z$55*($E16:$E$55=$D15)),IF(ISNUMBER(Data!T15),100*ABS($G15-(Data!T15-$K15)/$M15),0),IF(ISNUMBER(Data!T15),100*ABS($G15-(Data!T15-$K15)/$M15),0)))</f>
        <v>0</v>
      </c>
      <c r="AA15" s="301">
        <f ca="1">IF($H15=0,0,CHOOSE($H15,SUMPRODUCT($O16:$O$55*AA16:AA$55*($E16:$E$55=$D15)),IF(ISNUMBER(Data!U15),100*ABS($G15-(Data!U15-$K15)/$M15),0),IF(ISNUMBER(Data!U15),100*ABS($G15-(Data!U15-$K15)/$M15),0)))</f>
        <v>0</v>
      </c>
      <c r="AB15" s="300">
        <f ca="1">IF($H15=0,0,CHOOSE($H15,SUMPRODUCT($O16:$O$55*AB16:AB$55*($E16:$E$55=$D15)),IF(ISNUMBER(Data!V15),100*ABS($G15-(Data!V15-$K15)/$M15),0),IF(ISNUMBER(Data!V15),100*ABS($G15-(Data!V15-$K15)/$M15),0)))</f>
        <v>0</v>
      </c>
      <c r="AC15" s="301">
        <f>IF($H15=0,0,CHOOSE($H15,SUMPRODUCT($O16:$O$55*AC16:AC$55*($E16:$E$55=$D15)),IF(ISNUMBER(Data!W15),100*ABS($G15-(Data!W15-$K15)/$M15),0),IF(ISNUMBER(Data!W15),100*ABS($G15-(Data!W15-$K15)/$M15),0)))</f>
        <v>0</v>
      </c>
      <c r="AD15" s="300">
        <f>IF($H15=0,0,CHOOSE($H15,SUMPRODUCT($O16:$O$55*AD16:AD$55*($E16:$E$55=$D15)),IF(ISNUMBER(Data!X15),100*ABS($G15-(Data!X15-$K15)/$M15),0),IF(ISNUMBER(Data!X15),100*ABS($G15-(Data!X15-$K15)/$M15),0)))</f>
        <v>0</v>
      </c>
      <c r="AE15" s="301">
        <f>IF($H15=0,0,CHOOSE($H15,SUMPRODUCT($O16:$O$55*AE16:AE$55*($E16:$E$55=$D15)),IF(ISNUMBER(Data!Y15),100*ABS($G15-(Data!Y15-$K15)/$M15),0),IF(ISNUMBER(Data!Y15),100*ABS($G15-(Data!Y15-$K15)/$M15),0)))</f>
        <v>0</v>
      </c>
      <c r="AF15" s="300">
        <f>IF($H15=0,0,CHOOSE($H15,SUMPRODUCT($O16:$O$55*AF16:AF$55*($E16:$E$55=$D15)),IF(ISNUMBER(Data!Z15),100*ABS($G15-(Data!Z15-$K15)/$M15),0),IF(ISNUMBER(Data!Z15),100*ABS($G15-(Data!Z15-$K15)/$M15),0)))</f>
        <v>0</v>
      </c>
      <c r="AG15" s="301">
        <f>IF($H15=0,0,CHOOSE($H15,SUMPRODUCT($O16:$O$55*AG16:AG$55*($E16:$E$55=$D15)),IF(ISNUMBER(Data!AA15),100*ABS($G15-(Data!AA15-$K15)/$M15),0),IF(ISNUMBER(Data!AA15),100*ABS($G15-(Data!AA15-$K15)/$M15),0)))</f>
        <v>0</v>
      </c>
      <c r="AH15" s="300">
        <f>IF($H15=0,0,CHOOSE($H15,SUMPRODUCT($O16:$O$55*AH16:AH$55*($E16:$E$55=$D15)),IF(ISNUMBER(Data!AB15),100*ABS($G15-(Data!AB15-$K15)/$M15),0),IF(ISNUMBER(Data!AB15),100*ABS($G15-(Data!AB15-$K15)/$M15),0)))</f>
        <v>0</v>
      </c>
      <c r="AI15" s="301">
        <f>IF($H15=0,0,CHOOSE($H15,SUMPRODUCT($O16:$O$55*AI16:AI$55*($E16:$E$55=$D15)),IF(ISNUMBER(Data!AC15),100*ABS($G15-(Data!AC15-$K15)/$M15),0),IF(ISNUMBER(Data!AC15),100*ABS($G15-(Data!AC15-$K15)/$M15),0)))</f>
        <v>0</v>
      </c>
      <c r="AJ15" s="300">
        <f>IF($H15=0,0,CHOOSE($H15,SUMPRODUCT($O16:$O$55*AJ16:AJ$55*($E16:$E$55=$D15)),IF(ISNUMBER(Data!AD15),100*ABS($G15-(Data!AD15-$K15)/$M15),0),IF(ISNUMBER(Data!AD15),100*ABS($G15-(Data!AD15-$K15)/$M15),0)))</f>
        <v>0</v>
      </c>
      <c r="AK15" s="301">
        <f>IF($H15=0,0,CHOOSE($H15,SUMPRODUCT($O16:$O$55*AK16:AK$55*($E16:$E$55=$D15)),IF(ISNUMBER(Data!AE15),100*ABS($G15-(Data!AE15-$K15)/$M15),0),IF(ISNUMBER(Data!AE15),100*ABS($G15-(Data!AE15-$K15)/$M15),0)))</f>
        <v>0</v>
      </c>
    </row>
    <row r="16" spans="1:86" s="78" customFormat="1" ht="30">
      <c r="A16" s="580">
        <f t="shared" si="3"/>
        <v>16</v>
      </c>
      <c r="B16" s="297">
        <f>tblIndicators!A13</f>
        <v>12</v>
      </c>
      <c r="C16" s="297">
        <f>tblIndicators!B13</f>
        <v>0</v>
      </c>
      <c r="D16" s="297" t="str">
        <f>tblIndicators!D13</f>
        <v>NORM1.2.4</v>
      </c>
      <c r="E16" s="297" t="str">
        <f>tblIndicators!E13</f>
        <v>NORM1.2</v>
      </c>
      <c r="F16" s="297">
        <f>tblIndicators!F13</f>
        <v>3</v>
      </c>
      <c r="G16" s="297">
        <f>tblIndicators!Y13</f>
        <v>0</v>
      </c>
      <c r="H16" s="297">
        <f>tblIndicators!Z13</f>
        <v>3</v>
      </c>
      <c r="I16" s="298">
        <f>tblIndicators!AA13</f>
        <v>0</v>
      </c>
      <c r="J16" s="297">
        <f>tblIndicators!AB13</f>
        <v>2</v>
      </c>
      <c r="K16" s="297">
        <f t="shared" ca="1" si="1"/>
        <v>0</v>
      </c>
      <c r="L16" s="299">
        <f t="shared" ca="1" si="2"/>
        <v>2</v>
      </c>
      <c r="M16" s="297">
        <f t="shared" ca="1" si="4"/>
        <v>2</v>
      </c>
      <c r="N16" s="426" t="str">
        <f>REPT(" ",F16)&amp;tblIndicators!AE13</f>
        <v xml:space="preserve">   1.2.4) 8.¿Cuál es el grado de transparencia e inclusión en los procesos de licitación para el reciclaje?</v>
      </c>
      <c r="O16" s="302">
        <f>tblIndicators!AD13</f>
        <v>0.125</v>
      </c>
      <c r="P16" s="300">
        <f ca="1">IF($H16=0,0,CHOOSE($H16,SUMPRODUCT($O17:$O$55*P17:P$55*($E17:$E$55=$D16)),IF(ISNUMBER(Data!J16),100*ABS($G16-(Data!J16-$K16)/$M16),0),IF(ISNUMBER(Data!J16),100*ABS($G16-(Data!J16-$K16)/$M16),0)))</f>
        <v>50</v>
      </c>
      <c r="Q16" s="301">
        <f ca="1">IF($H16=0,0,CHOOSE($H16,SUMPRODUCT($O17:$O$55*Q17:Q$55*($E17:$E$55=$D16)),IF(ISNUMBER(Data!K16),100*ABS($G16-(Data!K16-$K16)/$M16),0),IF(ISNUMBER(Data!K16),100*ABS($G16-(Data!K16-$K16)/$M16),0)))</f>
        <v>50</v>
      </c>
      <c r="R16" s="300">
        <f ca="1">IF($H16=0,0,CHOOSE($H16,SUMPRODUCT($O17:$O$55*R17:R$55*($E17:$E$55=$D16)),IF(ISNUMBER(Data!L16),100*ABS($G16-(Data!L16-$K16)/$M16),0),IF(ISNUMBER(Data!L16),100*ABS($G16-(Data!L16-$K16)/$M16),0)))</f>
        <v>50</v>
      </c>
      <c r="S16" s="301">
        <f ca="1">IF($H16=0,0,CHOOSE($H16,SUMPRODUCT($O17:$O$55*S17:S$55*($E17:$E$55=$D16)),IF(ISNUMBER(Data!M16),100*ABS($G16-(Data!M16-$K16)/$M16),0),IF(ISNUMBER(Data!M16),100*ABS($G16-(Data!M16-$K16)/$M16),0)))</f>
        <v>0</v>
      </c>
      <c r="T16" s="300">
        <f ca="1">IF($H16=0,0,CHOOSE($H16,SUMPRODUCT($O17:$O$55*T17:T$55*($E17:$E$55=$D16)),IF(ISNUMBER(Data!N16),100*ABS($G16-(Data!N16-$K16)/$M16),0),IF(ISNUMBER(Data!N16),100*ABS($G16-(Data!N16-$K16)/$M16),0)))</f>
        <v>0</v>
      </c>
      <c r="U16" s="301">
        <f ca="1">IF($H16=0,0,CHOOSE($H16,SUMPRODUCT($O17:$O$55*U17:U$55*($E17:$E$55=$D16)),IF(ISNUMBER(Data!O16),100*ABS($G16-(Data!O16-$K16)/$M16),0),IF(ISNUMBER(Data!O16),100*ABS($G16-(Data!O16-$K16)/$M16),0)))</f>
        <v>50</v>
      </c>
      <c r="V16" s="300">
        <f ca="1">IF($H16=0,0,CHOOSE($H16,SUMPRODUCT($O17:$O$55*V17:V$55*($E17:$E$55=$D16)),IF(ISNUMBER(Data!P16),100*ABS($G16-(Data!P16-$K16)/$M16),0),IF(ISNUMBER(Data!P16),100*ABS($G16-(Data!P16-$K16)/$M16),0)))</f>
        <v>0</v>
      </c>
      <c r="W16" s="301">
        <f ca="1">IF($H16=0,0,CHOOSE($H16,SUMPRODUCT($O17:$O$55*W17:W$55*($E17:$E$55=$D16)),IF(ISNUMBER(Data!Q16),100*ABS($G16-(Data!Q16-$K16)/$M16),0),IF(ISNUMBER(Data!Q16),100*ABS($G16-(Data!Q16-$K16)/$M16),0)))</f>
        <v>0</v>
      </c>
      <c r="X16" s="300">
        <f ca="1">IF($H16=0,0,CHOOSE($H16,SUMPRODUCT($O17:$O$55*X17:X$55*($E17:$E$55=$D16)),IF(ISNUMBER(Data!R16),100*ABS($G16-(Data!R16-$K16)/$M16),0),IF(ISNUMBER(Data!R16),100*ABS($G16-(Data!R16-$K16)/$M16),0)))</f>
        <v>0</v>
      </c>
      <c r="Y16" s="301">
        <f ca="1">IF($H16=0,0,CHOOSE($H16,SUMPRODUCT($O17:$O$55*Y17:Y$55*($E17:$E$55=$D16)),IF(ISNUMBER(Data!S16),100*ABS($G16-(Data!S16-$K16)/$M16),0),IF(ISNUMBER(Data!S16),100*ABS($G16-(Data!S16-$K16)/$M16),0)))</f>
        <v>50</v>
      </c>
      <c r="Z16" s="300">
        <f ca="1">IF($H16=0,0,CHOOSE($H16,SUMPRODUCT($O17:$O$55*Z17:Z$55*($E17:$E$55=$D16)),IF(ISNUMBER(Data!T16),100*ABS($G16-(Data!T16-$K16)/$M16),0),IF(ISNUMBER(Data!T16),100*ABS($G16-(Data!T16-$K16)/$M16),0)))</f>
        <v>50</v>
      </c>
      <c r="AA16" s="301">
        <f ca="1">IF($H16=0,0,CHOOSE($H16,SUMPRODUCT($O17:$O$55*AA17:AA$55*($E17:$E$55=$D16)),IF(ISNUMBER(Data!U16),100*ABS($G16-(Data!U16-$K16)/$M16),0),IF(ISNUMBER(Data!U16),100*ABS($G16-(Data!U16-$K16)/$M16),0)))</f>
        <v>0</v>
      </c>
      <c r="AB16" s="300">
        <f ca="1">IF($H16=0,0,CHOOSE($H16,SUMPRODUCT($O17:$O$55*AB17:AB$55*($E17:$E$55=$D16)),IF(ISNUMBER(Data!V16),100*ABS($G16-(Data!V16-$K16)/$M16),0),IF(ISNUMBER(Data!V16),100*ABS($G16-(Data!V16-$K16)/$M16),0)))</f>
        <v>50</v>
      </c>
      <c r="AC16" s="301">
        <f>IF($H16=0,0,CHOOSE($H16,SUMPRODUCT($O17:$O$55*AC17:AC$55*($E17:$E$55=$D16)),IF(ISNUMBER(Data!W16),100*ABS($G16-(Data!W16-$K16)/$M16),0),IF(ISNUMBER(Data!W16),100*ABS($G16-(Data!W16-$K16)/$M16),0)))</f>
        <v>0</v>
      </c>
      <c r="AD16" s="300">
        <f>IF($H16=0,0,CHOOSE($H16,SUMPRODUCT($O17:$O$55*AD17:AD$55*($E17:$E$55=$D16)),IF(ISNUMBER(Data!X16),100*ABS($G16-(Data!X16-$K16)/$M16),0),IF(ISNUMBER(Data!X16),100*ABS($G16-(Data!X16-$K16)/$M16),0)))</f>
        <v>0</v>
      </c>
      <c r="AE16" s="301">
        <f>IF($H16=0,0,CHOOSE($H16,SUMPRODUCT($O17:$O$55*AE17:AE$55*($E17:$E$55=$D16)),IF(ISNUMBER(Data!Y16),100*ABS($G16-(Data!Y16-$K16)/$M16),0),IF(ISNUMBER(Data!Y16),100*ABS($G16-(Data!Y16-$K16)/$M16),0)))</f>
        <v>0</v>
      </c>
      <c r="AF16" s="300">
        <f>IF($H16=0,0,CHOOSE($H16,SUMPRODUCT($O17:$O$55*AF17:AF$55*($E17:$E$55=$D16)),IF(ISNUMBER(Data!Z16),100*ABS($G16-(Data!Z16-$K16)/$M16),0),IF(ISNUMBER(Data!Z16),100*ABS($G16-(Data!Z16-$K16)/$M16),0)))</f>
        <v>0</v>
      </c>
      <c r="AG16" s="301">
        <f>IF($H16=0,0,CHOOSE($H16,SUMPRODUCT($O17:$O$55*AG17:AG$55*($E17:$E$55=$D16)),IF(ISNUMBER(Data!AA16),100*ABS($G16-(Data!AA16-$K16)/$M16),0),IF(ISNUMBER(Data!AA16),100*ABS($G16-(Data!AA16-$K16)/$M16),0)))</f>
        <v>0</v>
      </c>
      <c r="AH16" s="300">
        <f>IF($H16=0,0,CHOOSE($H16,SUMPRODUCT($O17:$O$55*AH17:AH$55*($E17:$E$55=$D16)),IF(ISNUMBER(Data!AB16),100*ABS($G16-(Data!AB16-$K16)/$M16),0),IF(ISNUMBER(Data!AB16),100*ABS($G16-(Data!AB16-$K16)/$M16),0)))</f>
        <v>0</v>
      </c>
      <c r="AI16" s="301">
        <f>IF($H16=0,0,CHOOSE($H16,SUMPRODUCT($O17:$O$55*AI17:AI$55*($E17:$E$55=$D16)),IF(ISNUMBER(Data!AC16),100*ABS($G16-(Data!AC16-$K16)/$M16),0),IF(ISNUMBER(Data!AC16),100*ABS($G16-(Data!AC16-$K16)/$M16),0)))</f>
        <v>0</v>
      </c>
      <c r="AJ16" s="300">
        <f>IF($H16=0,0,CHOOSE($H16,SUMPRODUCT($O17:$O$55*AJ17:AJ$55*($E17:$E$55=$D16)),IF(ISNUMBER(Data!AD16),100*ABS($G16-(Data!AD16-$K16)/$M16),0),IF(ISNUMBER(Data!AD16),100*ABS($G16-(Data!AD16-$K16)/$M16),0)))</f>
        <v>0</v>
      </c>
      <c r="AK16" s="301">
        <f>IF($H16=0,0,CHOOSE($H16,SUMPRODUCT($O17:$O$55*AK17:AK$55*($E17:$E$55=$D16)),IF(ISNUMBER(Data!AE16),100*ABS($G16-(Data!AE16-$K16)/$M16),0),IF(ISNUMBER(Data!AE16),100*ABS($G16-(Data!AE16-$K16)/$M16),0)))</f>
        <v>0</v>
      </c>
    </row>
    <row r="17" spans="1:37" s="78" customFormat="1" ht="30">
      <c r="A17" s="580">
        <f t="shared" si="3"/>
        <v>17</v>
      </c>
      <c r="B17" s="297">
        <f>tblIndicators!A14</f>
        <v>13</v>
      </c>
      <c r="C17" s="297">
        <f>tblIndicators!B14</f>
        <v>0</v>
      </c>
      <c r="D17" s="297" t="str">
        <f>tblIndicators!D14</f>
        <v>NORM1.2.5</v>
      </c>
      <c r="E17" s="297" t="str">
        <f>tblIndicators!E14</f>
        <v>NORM1.2</v>
      </c>
      <c r="F17" s="297">
        <f>tblIndicators!F14</f>
        <v>3</v>
      </c>
      <c r="G17" s="297">
        <f>tblIndicators!Y14</f>
        <v>0</v>
      </c>
      <c r="H17" s="297">
        <f>tblIndicators!Z14</f>
        <v>3</v>
      </c>
      <c r="I17" s="298">
        <f>tblIndicators!AA14</f>
        <v>0</v>
      </c>
      <c r="J17" s="297">
        <f>tblIndicators!AB14</f>
        <v>2</v>
      </c>
      <c r="K17" s="297">
        <f t="shared" ca="1" si="1"/>
        <v>0</v>
      </c>
      <c r="L17" s="299">
        <f t="shared" ca="1" si="2"/>
        <v>2</v>
      </c>
      <c r="M17" s="297">
        <f t="shared" ca="1" si="4"/>
        <v>2</v>
      </c>
      <c r="N17" s="426" t="str">
        <f>REPT(" ",F17)&amp;tblIndicators!AE14</f>
        <v xml:space="preserve">   1.2.5) 9.¿La normativa/ estrategia municipal de residuos sólidos: fue desarrollada de manera participativa?</v>
      </c>
      <c r="O17" s="302">
        <f>tblIndicators!AD14</f>
        <v>0.125</v>
      </c>
      <c r="P17" s="300">
        <f ca="1">IF($H17=0,0,CHOOSE($H17,SUMPRODUCT($O18:$O$55*P18:P$55*($E18:$E$55=$D17)),IF(ISNUMBER(Data!J17),100*ABS($G17-(Data!J17-$K17)/$M17),0),IF(ISNUMBER(Data!J17),100*ABS($G17-(Data!J17-$K17)/$M17),0)))</f>
        <v>100</v>
      </c>
      <c r="Q17" s="301">
        <f ca="1">IF($H17=0,0,CHOOSE($H17,SUMPRODUCT($O18:$O$55*Q18:Q$55*($E18:$E$55=$D17)),IF(ISNUMBER(Data!K17),100*ABS($G17-(Data!K17-$K17)/$M17),0),IF(ISNUMBER(Data!K17),100*ABS($G17-(Data!K17-$K17)/$M17),0)))</f>
        <v>50</v>
      </c>
      <c r="R17" s="300">
        <f ca="1">IF($H17=0,0,CHOOSE($H17,SUMPRODUCT($O18:$O$55*R18:R$55*($E18:$E$55=$D17)),IF(ISNUMBER(Data!L17),100*ABS($G17-(Data!L17-$K17)/$M17),0),IF(ISNUMBER(Data!L17),100*ABS($G17-(Data!L17-$K17)/$M17),0)))</f>
        <v>100</v>
      </c>
      <c r="S17" s="301">
        <f ca="1">IF($H17=0,0,CHOOSE($H17,SUMPRODUCT($O18:$O$55*S18:S$55*($E18:$E$55=$D17)),IF(ISNUMBER(Data!M17),100*ABS($G17-(Data!M17-$K17)/$M17),0),IF(ISNUMBER(Data!M17),100*ABS($G17-(Data!M17-$K17)/$M17),0)))</f>
        <v>0</v>
      </c>
      <c r="T17" s="300">
        <f ca="1">IF($H17=0,0,CHOOSE($H17,SUMPRODUCT($O18:$O$55*T18:T$55*($E18:$E$55=$D17)),IF(ISNUMBER(Data!N17),100*ABS($G17-(Data!N17-$K17)/$M17),0),IF(ISNUMBER(Data!N17),100*ABS($G17-(Data!N17-$K17)/$M17),0)))</f>
        <v>0</v>
      </c>
      <c r="U17" s="301">
        <f ca="1">IF($H17=0,0,CHOOSE($H17,SUMPRODUCT($O18:$O$55*U18:U$55*($E18:$E$55=$D17)),IF(ISNUMBER(Data!O17),100*ABS($G17-(Data!O17-$K17)/$M17),0),IF(ISNUMBER(Data!O17),100*ABS($G17-(Data!O17-$K17)/$M17),0)))</f>
        <v>50</v>
      </c>
      <c r="V17" s="300">
        <f ca="1">IF($H17=0,0,CHOOSE($H17,SUMPRODUCT($O18:$O$55*V18:V$55*($E18:$E$55=$D17)),IF(ISNUMBER(Data!P17),100*ABS($G17-(Data!P17-$K17)/$M17),0),IF(ISNUMBER(Data!P17),100*ABS($G17-(Data!P17-$K17)/$M17),0)))</f>
        <v>50</v>
      </c>
      <c r="W17" s="301">
        <f ca="1">IF($H17=0,0,CHOOSE($H17,SUMPRODUCT($O18:$O$55*W18:W$55*($E18:$E$55=$D17)),IF(ISNUMBER(Data!Q17),100*ABS($G17-(Data!Q17-$K17)/$M17),0),IF(ISNUMBER(Data!Q17),100*ABS($G17-(Data!Q17-$K17)/$M17),0)))</f>
        <v>50</v>
      </c>
      <c r="X17" s="300">
        <f ca="1">IF($H17=0,0,CHOOSE($H17,SUMPRODUCT($O18:$O$55*X18:X$55*($E18:$E$55=$D17)),IF(ISNUMBER(Data!R17),100*ABS($G17-(Data!R17-$K17)/$M17),0),IF(ISNUMBER(Data!R17),100*ABS($G17-(Data!R17-$K17)/$M17),0)))</f>
        <v>0</v>
      </c>
      <c r="Y17" s="301">
        <f ca="1">IF($H17=0,0,CHOOSE($H17,SUMPRODUCT($O18:$O$55*Y18:Y$55*($E18:$E$55=$D17)),IF(ISNUMBER(Data!S17),100*ABS($G17-(Data!S17-$K17)/$M17),0),IF(ISNUMBER(Data!S17),100*ABS($G17-(Data!S17-$K17)/$M17),0)))</f>
        <v>100</v>
      </c>
      <c r="Z17" s="300">
        <f ca="1">IF($H17=0,0,CHOOSE($H17,SUMPRODUCT($O18:$O$55*Z18:Z$55*($E18:$E$55=$D17)),IF(ISNUMBER(Data!T17),100*ABS($G17-(Data!T17-$K17)/$M17),0),IF(ISNUMBER(Data!T17),100*ABS($G17-(Data!T17-$K17)/$M17),0)))</f>
        <v>0</v>
      </c>
      <c r="AA17" s="301">
        <f ca="1">IF($H17=0,0,CHOOSE($H17,SUMPRODUCT($O18:$O$55*AA18:AA$55*($E18:$E$55=$D17)),IF(ISNUMBER(Data!U17),100*ABS($G17-(Data!U17-$K17)/$M17),0),IF(ISNUMBER(Data!U17),100*ABS($G17-(Data!U17-$K17)/$M17),0)))</f>
        <v>50</v>
      </c>
      <c r="AB17" s="300">
        <f ca="1">IF($H17=0,0,CHOOSE($H17,SUMPRODUCT($O18:$O$55*AB18:AB$55*($E18:$E$55=$D17)),IF(ISNUMBER(Data!V17),100*ABS($G17-(Data!V17-$K17)/$M17),0),IF(ISNUMBER(Data!V17),100*ABS($G17-(Data!V17-$K17)/$M17),0)))</f>
        <v>0</v>
      </c>
      <c r="AC17" s="301">
        <f>IF($H17=0,0,CHOOSE($H17,SUMPRODUCT($O18:$O$55*AC18:AC$55*($E18:$E$55=$D17)),IF(ISNUMBER(Data!W17),100*ABS($G17-(Data!W17-$K17)/$M17),0),IF(ISNUMBER(Data!W17),100*ABS($G17-(Data!W17-$K17)/$M17),0)))</f>
        <v>0</v>
      </c>
      <c r="AD17" s="300">
        <f>IF($H17=0,0,CHOOSE($H17,SUMPRODUCT($O18:$O$55*AD18:AD$55*($E18:$E$55=$D17)),IF(ISNUMBER(Data!X17),100*ABS($G17-(Data!X17-$K17)/$M17),0),IF(ISNUMBER(Data!X17),100*ABS($G17-(Data!X17-$K17)/$M17),0)))</f>
        <v>0</v>
      </c>
      <c r="AE17" s="301">
        <f>IF($H17=0,0,CHOOSE($H17,SUMPRODUCT($O18:$O$55*AE18:AE$55*($E18:$E$55=$D17)),IF(ISNUMBER(Data!Y17),100*ABS($G17-(Data!Y17-$K17)/$M17),0),IF(ISNUMBER(Data!Y17),100*ABS($G17-(Data!Y17-$K17)/$M17),0)))</f>
        <v>0</v>
      </c>
      <c r="AF17" s="300">
        <f>IF($H17=0,0,CHOOSE($H17,SUMPRODUCT($O18:$O$55*AF18:AF$55*($E18:$E$55=$D17)),IF(ISNUMBER(Data!Z17),100*ABS($G17-(Data!Z17-$K17)/$M17),0),IF(ISNUMBER(Data!Z17),100*ABS($G17-(Data!Z17-$K17)/$M17),0)))</f>
        <v>0</v>
      </c>
      <c r="AG17" s="301">
        <f>IF($H17=0,0,CHOOSE($H17,SUMPRODUCT($O18:$O$55*AG18:AG$55*($E18:$E$55=$D17)),IF(ISNUMBER(Data!AA17),100*ABS($G17-(Data!AA17-$K17)/$M17),0),IF(ISNUMBER(Data!AA17),100*ABS($G17-(Data!AA17-$K17)/$M17),0)))</f>
        <v>0</v>
      </c>
      <c r="AH17" s="300">
        <f>IF($H17=0,0,CHOOSE($H17,SUMPRODUCT($O18:$O$55*AH18:AH$55*($E18:$E$55=$D17)),IF(ISNUMBER(Data!AB17),100*ABS($G17-(Data!AB17-$K17)/$M17),0),IF(ISNUMBER(Data!AB17),100*ABS($G17-(Data!AB17-$K17)/$M17),0)))</f>
        <v>0</v>
      </c>
      <c r="AI17" s="301">
        <f>IF($H17=0,0,CHOOSE($H17,SUMPRODUCT($O18:$O$55*AI18:AI$55*($E18:$E$55=$D17)),IF(ISNUMBER(Data!AC17),100*ABS($G17-(Data!AC17-$K17)/$M17),0),IF(ISNUMBER(Data!AC17),100*ABS($G17-(Data!AC17-$K17)/$M17),0)))</f>
        <v>0</v>
      </c>
      <c r="AJ17" s="300">
        <f>IF($H17=0,0,CHOOSE($H17,SUMPRODUCT($O18:$O$55*AJ18:AJ$55*($E18:$E$55=$D17)),IF(ISNUMBER(Data!AD17),100*ABS($G17-(Data!AD17-$K17)/$M17),0),IF(ISNUMBER(Data!AD17),100*ABS($G17-(Data!AD17-$K17)/$M17),0)))</f>
        <v>0</v>
      </c>
      <c r="AK17" s="301">
        <f>IF($H17=0,0,CHOOSE($H17,SUMPRODUCT($O18:$O$55*AK18:AK$55*($E18:$E$55=$D17)),IF(ISNUMBER(Data!AE17),100*ABS($G17-(Data!AE17-$K17)/$M17),0),IF(ISNUMBER(Data!AE17),100*ABS($G17-(Data!AE17-$K17)/$M17),0)))</f>
        <v>0</v>
      </c>
    </row>
    <row r="18" spans="1:37" s="78" customFormat="1" ht="30">
      <c r="A18" s="580">
        <f t="shared" si="3"/>
        <v>18</v>
      </c>
      <c r="B18" s="297">
        <f>tblIndicators!A15</f>
        <v>14</v>
      </c>
      <c r="C18" s="297">
        <f>tblIndicators!B15</f>
        <v>0</v>
      </c>
      <c r="D18" s="297" t="str">
        <f>tblIndicators!D15</f>
        <v>NORM1.2.6</v>
      </c>
      <c r="E18" s="297" t="str">
        <f>tblIndicators!E15</f>
        <v>NORM1.2</v>
      </c>
      <c r="F18" s="297">
        <f>tblIndicators!F15</f>
        <v>3</v>
      </c>
      <c r="G18" s="297">
        <f>tblIndicators!Y15</f>
        <v>0</v>
      </c>
      <c r="H18" s="297">
        <f>tblIndicators!Z15</f>
        <v>3</v>
      </c>
      <c r="I18" s="298">
        <f>tblIndicators!AA15</f>
        <v>0</v>
      </c>
      <c r="J18" s="297">
        <f>tblIndicators!AB15</f>
        <v>3</v>
      </c>
      <c r="K18" s="297">
        <f t="shared" ca="1" si="1"/>
        <v>0</v>
      </c>
      <c r="L18" s="299">
        <f t="shared" ca="1" si="2"/>
        <v>3</v>
      </c>
      <c r="M18" s="297">
        <f t="shared" ca="1" si="4"/>
        <v>3</v>
      </c>
      <c r="N18" s="426" t="str">
        <f>REPT(" ",F18)&amp;tblIndicators!AE15</f>
        <v xml:space="preserve">   1.2.6) 10.¿Hay programas de formación/capacitación a nivel municipal?</v>
      </c>
      <c r="O18" s="302">
        <f>tblIndicators!AD15</f>
        <v>0.125</v>
      </c>
      <c r="P18" s="300">
        <f ca="1">IF($H18=0,0,CHOOSE($H18,SUMPRODUCT($O19:$O$55*P19:P$55*($E19:$E$55=$D18)),IF(ISNUMBER(Data!J18),100*ABS($G18-(Data!J18-$K18)/$M18),0),IF(ISNUMBER(Data!J18),100*ABS($G18-(Data!J18-$K18)/$M18),0)))</f>
        <v>0</v>
      </c>
      <c r="Q18" s="301">
        <f ca="1">IF($H18=0,0,CHOOSE($H18,SUMPRODUCT($O19:$O$55*Q19:Q$55*($E19:$E$55=$D18)),IF(ISNUMBER(Data!K18),100*ABS($G18-(Data!K18-$K18)/$M18),0),IF(ISNUMBER(Data!K18),100*ABS($G18-(Data!K18-$K18)/$M18),0)))</f>
        <v>100</v>
      </c>
      <c r="R18" s="300">
        <f ca="1">IF($H18=0,0,CHOOSE($H18,SUMPRODUCT($O19:$O$55*R19:R$55*($E19:$E$55=$D18)),IF(ISNUMBER(Data!L18),100*ABS($G18-(Data!L18-$K18)/$M18),0),IF(ISNUMBER(Data!L18),100*ABS($G18-(Data!L18-$K18)/$M18),0)))</f>
        <v>33.333333333333329</v>
      </c>
      <c r="S18" s="301">
        <f ca="1">IF($H18=0,0,CHOOSE($H18,SUMPRODUCT($O19:$O$55*S19:S$55*($E19:$E$55=$D18)),IF(ISNUMBER(Data!M18),100*ABS($G18-(Data!M18-$K18)/$M18),0),IF(ISNUMBER(Data!M18),100*ABS($G18-(Data!M18-$K18)/$M18),0)))</f>
        <v>0</v>
      </c>
      <c r="T18" s="300">
        <f ca="1">IF($H18=0,0,CHOOSE($H18,SUMPRODUCT($O19:$O$55*T19:T$55*($E19:$E$55=$D18)),IF(ISNUMBER(Data!N18),100*ABS($G18-(Data!N18-$K18)/$M18),0),IF(ISNUMBER(Data!N18),100*ABS($G18-(Data!N18-$K18)/$M18),0)))</f>
        <v>33.333333333333329</v>
      </c>
      <c r="U18" s="301">
        <f ca="1">IF($H18=0,0,CHOOSE($H18,SUMPRODUCT($O19:$O$55*U19:U$55*($E19:$E$55=$D18)),IF(ISNUMBER(Data!O18),100*ABS($G18-(Data!O18-$K18)/$M18),0),IF(ISNUMBER(Data!O18),100*ABS($G18-(Data!O18-$K18)/$M18),0)))</f>
        <v>100</v>
      </c>
      <c r="V18" s="300">
        <f ca="1">IF($H18=0,0,CHOOSE($H18,SUMPRODUCT($O19:$O$55*V19:V$55*($E19:$E$55=$D18)),IF(ISNUMBER(Data!P18),100*ABS($G18-(Data!P18-$K18)/$M18),0),IF(ISNUMBER(Data!P18),100*ABS($G18-(Data!P18-$K18)/$M18),0)))</f>
        <v>33.333333333333329</v>
      </c>
      <c r="W18" s="301">
        <f ca="1">IF($H18=0,0,CHOOSE($H18,SUMPRODUCT($O19:$O$55*W19:W$55*($E19:$E$55=$D18)),IF(ISNUMBER(Data!Q18),100*ABS($G18-(Data!Q18-$K18)/$M18),0),IF(ISNUMBER(Data!Q18),100*ABS($G18-(Data!Q18-$K18)/$M18),0)))</f>
        <v>0</v>
      </c>
      <c r="X18" s="300">
        <f ca="1">IF($H18=0,0,CHOOSE($H18,SUMPRODUCT($O19:$O$55*X19:X$55*($E19:$E$55=$D18)),IF(ISNUMBER(Data!R18),100*ABS($G18-(Data!R18-$K18)/$M18),0),IF(ISNUMBER(Data!R18),100*ABS($G18-(Data!R18-$K18)/$M18),0)))</f>
        <v>33.333333333333329</v>
      </c>
      <c r="Y18" s="301">
        <f ca="1">IF($H18=0,0,CHOOSE($H18,SUMPRODUCT($O19:$O$55*Y19:Y$55*($E19:$E$55=$D18)),IF(ISNUMBER(Data!S18),100*ABS($G18-(Data!S18-$K18)/$M18),0),IF(ISNUMBER(Data!S18),100*ABS($G18-(Data!S18-$K18)/$M18),0)))</f>
        <v>100</v>
      </c>
      <c r="Z18" s="300">
        <f ca="1">IF($H18=0,0,CHOOSE($H18,SUMPRODUCT($O19:$O$55*Z19:Z$55*($E19:$E$55=$D18)),IF(ISNUMBER(Data!T18),100*ABS($G18-(Data!T18-$K18)/$M18),0),IF(ISNUMBER(Data!T18),100*ABS($G18-(Data!T18-$K18)/$M18),0)))</f>
        <v>66.666666666666657</v>
      </c>
      <c r="AA18" s="301">
        <f ca="1">IF($H18=0,0,CHOOSE($H18,SUMPRODUCT($O19:$O$55*AA19:AA$55*($E19:$E$55=$D18)),IF(ISNUMBER(Data!U18),100*ABS($G18-(Data!U18-$K18)/$M18),0),IF(ISNUMBER(Data!U18),100*ABS($G18-(Data!U18-$K18)/$M18),0)))</f>
        <v>100</v>
      </c>
      <c r="AB18" s="300">
        <f ca="1">IF($H18=0,0,CHOOSE($H18,SUMPRODUCT($O19:$O$55*AB19:AB$55*($E19:$E$55=$D18)),IF(ISNUMBER(Data!V18),100*ABS($G18-(Data!V18-$K18)/$M18),0),IF(ISNUMBER(Data!V18),100*ABS($G18-(Data!V18-$K18)/$M18),0)))</f>
        <v>0</v>
      </c>
      <c r="AC18" s="301">
        <f>IF($H18=0,0,CHOOSE($H18,SUMPRODUCT($O19:$O$55*AC19:AC$55*($E19:$E$55=$D18)),IF(ISNUMBER(Data!W18),100*ABS($G18-(Data!W18-$K18)/$M18),0),IF(ISNUMBER(Data!W18),100*ABS($G18-(Data!W18-$K18)/$M18),0)))</f>
        <v>0</v>
      </c>
      <c r="AD18" s="300">
        <f>IF($H18=0,0,CHOOSE($H18,SUMPRODUCT($O19:$O$55*AD19:AD$55*($E19:$E$55=$D18)),IF(ISNUMBER(Data!X18),100*ABS($G18-(Data!X18-$K18)/$M18),0),IF(ISNUMBER(Data!X18),100*ABS($G18-(Data!X18-$K18)/$M18),0)))</f>
        <v>0</v>
      </c>
      <c r="AE18" s="301">
        <f>IF($H18=0,0,CHOOSE($H18,SUMPRODUCT($O19:$O$55*AE19:AE$55*($E19:$E$55=$D18)),IF(ISNUMBER(Data!Y18),100*ABS($G18-(Data!Y18-$K18)/$M18),0),IF(ISNUMBER(Data!Y18),100*ABS($G18-(Data!Y18-$K18)/$M18),0)))</f>
        <v>0</v>
      </c>
      <c r="AF18" s="300">
        <f>IF($H18=0,0,CHOOSE($H18,SUMPRODUCT($O19:$O$55*AF19:AF$55*($E19:$E$55=$D18)),IF(ISNUMBER(Data!Z18),100*ABS($G18-(Data!Z18-$K18)/$M18),0),IF(ISNUMBER(Data!Z18),100*ABS($G18-(Data!Z18-$K18)/$M18),0)))</f>
        <v>0</v>
      </c>
      <c r="AG18" s="301">
        <f>IF($H18=0,0,CHOOSE($H18,SUMPRODUCT($O19:$O$55*AG19:AG$55*($E19:$E$55=$D18)),IF(ISNUMBER(Data!AA18),100*ABS($G18-(Data!AA18-$K18)/$M18),0),IF(ISNUMBER(Data!AA18),100*ABS($G18-(Data!AA18-$K18)/$M18),0)))</f>
        <v>0</v>
      </c>
      <c r="AH18" s="300">
        <f>IF($H18=0,0,CHOOSE($H18,SUMPRODUCT($O19:$O$55*AH19:AH$55*($E19:$E$55=$D18)),IF(ISNUMBER(Data!AB18),100*ABS($G18-(Data!AB18-$K18)/$M18),0),IF(ISNUMBER(Data!AB18),100*ABS($G18-(Data!AB18-$K18)/$M18),0)))</f>
        <v>0</v>
      </c>
      <c r="AI18" s="301">
        <f>IF($H18=0,0,CHOOSE($H18,SUMPRODUCT($O19:$O$55*AI19:AI$55*($E19:$E$55=$D18)),IF(ISNUMBER(Data!AC18),100*ABS($G18-(Data!AC18-$K18)/$M18),0),IF(ISNUMBER(Data!AC18),100*ABS($G18-(Data!AC18-$K18)/$M18),0)))</f>
        <v>0</v>
      </c>
      <c r="AJ18" s="300">
        <f>IF($H18=0,0,CHOOSE($H18,SUMPRODUCT($O19:$O$55*AJ19:AJ$55*($E19:$E$55=$D18)),IF(ISNUMBER(Data!AD18),100*ABS($G18-(Data!AD18-$K18)/$M18),0),IF(ISNUMBER(Data!AD18),100*ABS($G18-(Data!AD18-$K18)/$M18),0)))</f>
        <v>0</v>
      </c>
      <c r="AK18" s="301">
        <f>IF($H18=0,0,CHOOSE($H18,SUMPRODUCT($O19:$O$55*AK19:AK$55*($E19:$E$55=$D18)),IF(ISNUMBER(Data!AE18),100*ABS($G18-(Data!AE18-$K18)/$M18),0),IF(ISNUMBER(Data!AE18),100*ABS($G18-(Data!AE18-$K18)/$M18),0)))</f>
        <v>0</v>
      </c>
    </row>
    <row r="19" spans="1:37" s="78" customFormat="1" ht="30">
      <c r="A19" s="580">
        <f t="shared" si="3"/>
        <v>19</v>
      </c>
      <c r="B19" s="297">
        <f>tblIndicators!A16</f>
        <v>15</v>
      </c>
      <c r="C19" s="297">
        <f>tblIndicators!B16</f>
        <v>0</v>
      </c>
      <c r="D19" s="297" t="str">
        <f>tblIndicators!D16</f>
        <v>NORM1.2.7</v>
      </c>
      <c r="E19" s="297" t="str">
        <f>tblIndicators!E16</f>
        <v>NORM1.2</v>
      </c>
      <c r="F19" s="297">
        <f>tblIndicators!F16</f>
        <v>3</v>
      </c>
      <c r="G19" s="297">
        <f>tblIndicators!Y16</f>
        <v>0</v>
      </c>
      <c r="H19" s="297">
        <f>tblIndicators!Z16</f>
        <v>3</v>
      </c>
      <c r="I19" s="298">
        <f>tblIndicators!AA16</f>
        <v>0</v>
      </c>
      <c r="J19" s="297">
        <f>tblIndicators!AB16</f>
        <v>2</v>
      </c>
      <c r="K19" s="297">
        <f t="shared" ca="1" si="1"/>
        <v>0</v>
      </c>
      <c r="L19" s="299">
        <f t="shared" ca="1" si="2"/>
        <v>2</v>
      </c>
      <c r="M19" s="297">
        <f t="shared" ca="1" si="4"/>
        <v>2</v>
      </c>
      <c r="N19" s="426" t="str">
        <f>REPT(" ",F19)&amp;tblIndicators!AE16</f>
        <v xml:space="preserve">   1.2.7) 11.¿Existen incentivos, programas y/o acciones concretas para el fortalecimiento de la ocupación del reciclador de base?</v>
      </c>
      <c r="O19" s="302">
        <f>tblIndicators!AD16</f>
        <v>0.125</v>
      </c>
      <c r="P19" s="300">
        <f ca="1">IF($H19=0,0,CHOOSE($H19,SUMPRODUCT($O20:$O$55*P20:P$55*($E20:$E$55=$D19)),IF(ISNUMBER(Data!J19),100*ABS($G19-(Data!J19-$K19)/$M19),0),IF(ISNUMBER(Data!J19),100*ABS($G19-(Data!J19-$K19)/$M19),0)))</f>
        <v>50</v>
      </c>
      <c r="Q19" s="301">
        <f ca="1">IF($H19=0,0,CHOOSE($H19,SUMPRODUCT($O20:$O$55*Q20:Q$55*($E20:$E$55=$D19)),IF(ISNUMBER(Data!K19),100*ABS($G19-(Data!K19-$K19)/$M19),0),IF(ISNUMBER(Data!K19),100*ABS($G19-(Data!K19-$K19)/$M19),0)))</f>
        <v>50</v>
      </c>
      <c r="R19" s="300">
        <f ca="1">IF($H19=0,0,CHOOSE($H19,SUMPRODUCT($O20:$O$55*R20:R$55*($E20:$E$55=$D19)),IF(ISNUMBER(Data!L19),100*ABS($G19-(Data!L19-$K19)/$M19),0),IF(ISNUMBER(Data!L19),100*ABS($G19-(Data!L19-$K19)/$M19),0)))</f>
        <v>100</v>
      </c>
      <c r="S19" s="301">
        <f ca="1">IF($H19=0,0,CHOOSE($H19,SUMPRODUCT($O20:$O$55*S20:S$55*($E20:$E$55=$D19)),IF(ISNUMBER(Data!M19),100*ABS($G19-(Data!M19-$K19)/$M19),0),IF(ISNUMBER(Data!M19),100*ABS($G19-(Data!M19-$K19)/$M19),0)))</f>
        <v>50</v>
      </c>
      <c r="T19" s="300">
        <f ca="1">IF($H19=0,0,CHOOSE($H19,SUMPRODUCT($O20:$O$55*T20:T$55*($E20:$E$55=$D19)),IF(ISNUMBER(Data!N19),100*ABS($G19-(Data!N19-$K19)/$M19),0),IF(ISNUMBER(Data!N19),100*ABS($G19-(Data!N19-$K19)/$M19),0)))</f>
        <v>0</v>
      </c>
      <c r="U19" s="301">
        <f ca="1">IF($H19=0,0,CHOOSE($H19,SUMPRODUCT($O20:$O$55*U20:U$55*($E20:$E$55=$D19)),IF(ISNUMBER(Data!O19),100*ABS($G19-(Data!O19-$K19)/$M19),0),IF(ISNUMBER(Data!O19),100*ABS($G19-(Data!O19-$K19)/$M19),0)))</f>
        <v>100</v>
      </c>
      <c r="V19" s="300">
        <f ca="1">IF($H19=0,0,CHOOSE($H19,SUMPRODUCT($O20:$O$55*V20:V$55*($E20:$E$55=$D19)),IF(ISNUMBER(Data!P19),100*ABS($G19-(Data!P19-$K19)/$M19),0),IF(ISNUMBER(Data!P19),100*ABS($G19-(Data!P19-$K19)/$M19),0)))</f>
        <v>50</v>
      </c>
      <c r="W19" s="301">
        <f ca="1">IF($H19=0,0,CHOOSE($H19,SUMPRODUCT($O20:$O$55*W20:W$55*($E20:$E$55=$D19)),IF(ISNUMBER(Data!Q19),100*ABS($G19-(Data!Q19-$K19)/$M19),0),IF(ISNUMBER(Data!Q19),100*ABS($G19-(Data!Q19-$K19)/$M19),0)))</f>
        <v>50</v>
      </c>
      <c r="X19" s="300">
        <f ca="1">IF($H19=0,0,CHOOSE($H19,SUMPRODUCT($O20:$O$55*X20:X$55*($E20:$E$55=$D19)),IF(ISNUMBER(Data!R19),100*ABS($G19-(Data!R19-$K19)/$M19),0),IF(ISNUMBER(Data!R19),100*ABS($G19-(Data!R19-$K19)/$M19),0)))</f>
        <v>0</v>
      </c>
      <c r="Y19" s="301">
        <f ca="1">IF($H19=0,0,CHOOSE($H19,SUMPRODUCT($O20:$O$55*Y20:Y$55*($E20:$E$55=$D19)),IF(ISNUMBER(Data!S19),100*ABS($G19-(Data!S19-$K19)/$M19),0),IF(ISNUMBER(Data!S19),100*ABS($G19-(Data!S19-$K19)/$M19),0)))</f>
        <v>100</v>
      </c>
      <c r="Z19" s="300">
        <f ca="1">IF($H19=0,0,CHOOSE($H19,SUMPRODUCT($O20:$O$55*Z20:Z$55*($E20:$E$55=$D19)),IF(ISNUMBER(Data!T19),100*ABS($G19-(Data!T19-$K19)/$M19),0),IF(ISNUMBER(Data!T19),100*ABS($G19-(Data!T19-$K19)/$M19),0)))</f>
        <v>100</v>
      </c>
      <c r="AA19" s="301">
        <f ca="1">IF($H19=0,0,CHOOSE($H19,SUMPRODUCT($O20:$O$55*AA20:AA$55*($E20:$E$55=$D19)),IF(ISNUMBER(Data!U19),100*ABS($G19-(Data!U19-$K19)/$M19),0),IF(ISNUMBER(Data!U19),100*ABS($G19-(Data!U19-$K19)/$M19),0)))</f>
        <v>50</v>
      </c>
      <c r="AB19" s="300">
        <f ca="1">IF($H19=0,0,CHOOSE($H19,SUMPRODUCT($O20:$O$55*AB20:AB$55*($E20:$E$55=$D19)),IF(ISNUMBER(Data!V19),100*ABS($G19-(Data!V19-$K19)/$M19),0),IF(ISNUMBER(Data!V19),100*ABS($G19-(Data!V19-$K19)/$M19),0)))</f>
        <v>0</v>
      </c>
      <c r="AC19" s="301">
        <f>IF($H19=0,0,CHOOSE($H19,SUMPRODUCT($O20:$O$55*AC20:AC$55*($E20:$E$55=$D19)),IF(ISNUMBER(Data!W19),100*ABS($G19-(Data!W19-$K19)/$M19),0),IF(ISNUMBER(Data!W19),100*ABS($G19-(Data!W19-$K19)/$M19),0)))</f>
        <v>0</v>
      </c>
      <c r="AD19" s="300">
        <f>IF($H19=0,0,CHOOSE($H19,SUMPRODUCT($O20:$O$55*AD20:AD$55*($E20:$E$55=$D19)),IF(ISNUMBER(Data!X19),100*ABS($G19-(Data!X19-$K19)/$M19),0),IF(ISNUMBER(Data!X19),100*ABS($G19-(Data!X19-$K19)/$M19),0)))</f>
        <v>0</v>
      </c>
      <c r="AE19" s="301">
        <f>IF($H19=0,0,CHOOSE($H19,SUMPRODUCT($O20:$O$55*AE20:AE$55*($E20:$E$55=$D19)),IF(ISNUMBER(Data!Y19),100*ABS($G19-(Data!Y19-$K19)/$M19),0),IF(ISNUMBER(Data!Y19),100*ABS($G19-(Data!Y19-$K19)/$M19),0)))</f>
        <v>0</v>
      </c>
      <c r="AF19" s="300">
        <f>IF($H19=0,0,CHOOSE($H19,SUMPRODUCT($O20:$O$55*AF20:AF$55*($E20:$E$55=$D19)),IF(ISNUMBER(Data!Z19),100*ABS($G19-(Data!Z19-$K19)/$M19),0),IF(ISNUMBER(Data!Z19),100*ABS($G19-(Data!Z19-$K19)/$M19),0)))</f>
        <v>0</v>
      </c>
      <c r="AG19" s="301">
        <f>IF($H19=0,0,CHOOSE($H19,SUMPRODUCT($O20:$O$55*AG20:AG$55*($E20:$E$55=$D19)),IF(ISNUMBER(Data!AA19),100*ABS($G19-(Data!AA19-$K19)/$M19),0),IF(ISNUMBER(Data!AA19),100*ABS($G19-(Data!AA19-$K19)/$M19),0)))</f>
        <v>0</v>
      </c>
      <c r="AH19" s="300">
        <f>IF($H19=0,0,CHOOSE($H19,SUMPRODUCT($O20:$O$55*AH20:AH$55*($E20:$E$55=$D19)),IF(ISNUMBER(Data!AB19),100*ABS($G19-(Data!AB19-$K19)/$M19),0),IF(ISNUMBER(Data!AB19),100*ABS($G19-(Data!AB19-$K19)/$M19),0)))</f>
        <v>0</v>
      </c>
      <c r="AI19" s="301">
        <f>IF($H19=0,0,CHOOSE($H19,SUMPRODUCT($O20:$O$55*AI20:AI$55*($E20:$E$55=$D19)),IF(ISNUMBER(Data!AC19),100*ABS($G19-(Data!AC19-$K19)/$M19),0),IF(ISNUMBER(Data!AC19),100*ABS($G19-(Data!AC19-$K19)/$M19),0)))</f>
        <v>0</v>
      </c>
      <c r="AJ19" s="300">
        <f>IF($H19=0,0,CHOOSE($H19,SUMPRODUCT($O20:$O$55*AJ20:AJ$55*($E20:$E$55=$D19)),IF(ISNUMBER(Data!AD19),100*ABS($G19-(Data!AD19-$K19)/$M19),0),IF(ISNUMBER(Data!AD19),100*ABS($G19-(Data!AD19-$K19)/$M19),0)))</f>
        <v>0</v>
      </c>
      <c r="AK19" s="301">
        <f>IF($H19=0,0,CHOOSE($H19,SUMPRODUCT($O20:$O$55*AK20:AK$55*($E20:$E$55=$D19)),IF(ISNUMBER(Data!AE19),100*ABS($G19-(Data!AE19-$K19)/$M19),0),IF(ISNUMBER(Data!AE19),100*ABS($G19-(Data!AE19-$K19)/$M19),0)))</f>
        <v>0</v>
      </c>
    </row>
    <row r="20" spans="1:37" s="78" customFormat="1" ht="15">
      <c r="A20" s="580">
        <f t="shared" si="3"/>
        <v>20</v>
      </c>
      <c r="B20" s="297">
        <f>tblIndicators!A17</f>
        <v>16</v>
      </c>
      <c r="C20" s="297">
        <f>tblIndicators!B17</f>
        <v>0</v>
      </c>
      <c r="D20" s="297" t="str">
        <f>tblIndicators!D17</f>
        <v>NORM1.2.8</v>
      </c>
      <c r="E20" s="297" t="str">
        <f>tblIndicators!E17</f>
        <v>NORM1.2</v>
      </c>
      <c r="F20" s="297">
        <f>tblIndicators!F17</f>
        <v>3</v>
      </c>
      <c r="G20" s="297">
        <f>tblIndicators!Y17</f>
        <v>0</v>
      </c>
      <c r="H20" s="297">
        <f>tblIndicators!Z17</f>
        <v>3</v>
      </c>
      <c r="I20" s="298">
        <f>tblIndicators!AA17</f>
        <v>0</v>
      </c>
      <c r="J20" s="297">
        <f>tblIndicators!AB17</f>
        <v>2</v>
      </c>
      <c r="K20" s="297">
        <f t="shared" ca="1" si="1"/>
        <v>0</v>
      </c>
      <c r="L20" s="299">
        <f t="shared" ca="1" si="2"/>
        <v>2</v>
      </c>
      <c r="M20" s="297">
        <f t="shared" ca="1" si="4"/>
        <v>2</v>
      </c>
      <c r="N20" s="426" t="str">
        <f>REPT(" ",F20)&amp;tblIndicators!AE17</f>
        <v xml:space="preserve">   1.2.8) 12.¿Existen incentivos de reciclaje para los usuarios? </v>
      </c>
      <c r="O20" s="302">
        <f>tblIndicators!AD17</f>
        <v>0.125</v>
      </c>
      <c r="P20" s="300">
        <f ca="1">IF($H20=0,0,CHOOSE($H20,SUMPRODUCT($O21:$O$55*P21:P$55*($E21:$E$55=$D20)),IF(ISNUMBER(Data!J20),100*ABS($G20-(Data!J20-$K20)/$M20),0),IF(ISNUMBER(Data!J20),100*ABS($G20-(Data!J20-$K20)/$M20),0)))</f>
        <v>0</v>
      </c>
      <c r="Q20" s="301">
        <f ca="1">IF($H20=0,0,CHOOSE($H20,SUMPRODUCT($O21:$O$55*Q21:Q$55*($E21:$E$55=$D20)),IF(ISNUMBER(Data!K20),100*ABS($G20-(Data!K20-$K20)/$M20),0),IF(ISNUMBER(Data!K20),100*ABS($G20-(Data!K20-$K20)/$M20),0)))</f>
        <v>50</v>
      </c>
      <c r="R20" s="300">
        <f ca="1">IF($H20=0,0,CHOOSE($H20,SUMPRODUCT($O21:$O$55*R21:R$55*($E21:$E$55=$D20)),IF(ISNUMBER(Data!L20),100*ABS($G20-(Data!L20-$K20)/$M20),0),IF(ISNUMBER(Data!L20),100*ABS($G20-(Data!L20-$K20)/$M20),0)))</f>
        <v>0</v>
      </c>
      <c r="S20" s="301">
        <f ca="1">IF($H20=0,0,CHOOSE($H20,SUMPRODUCT($O21:$O$55*S21:S$55*($E21:$E$55=$D20)),IF(ISNUMBER(Data!M20),100*ABS($G20-(Data!M20-$K20)/$M20),0),IF(ISNUMBER(Data!M20),100*ABS($G20-(Data!M20-$K20)/$M20),0)))</f>
        <v>50</v>
      </c>
      <c r="T20" s="300">
        <f ca="1">IF($H20=0,0,CHOOSE($H20,SUMPRODUCT($O21:$O$55*T21:T$55*($E21:$E$55=$D20)),IF(ISNUMBER(Data!N20),100*ABS($G20-(Data!N20-$K20)/$M20),0),IF(ISNUMBER(Data!N20),100*ABS($G20-(Data!N20-$K20)/$M20),0)))</f>
        <v>50</v>
      </c>
      <c r="U20" s="301">
        <f ca="1">IF($H20=0,0,CHOOSE($H20,SUMPRODUCT($O21:$O$55*U21:U$55*($E21:$E$55=$D20)),IF(ISNUMBER(Data!O20),100*ABS($G20-(Data!O20-$K20)/$M20),0),IF(ISNUMBER(Data!O20),100*ABS($G20-(Data!O20-$K20)/$M20),0)))</f>
        <v>50</v>
      </c>
      <c r="V20" s="300">
        <f ca="1">IF($H20=0,0,CHOOSE($H20,SUMPRODUCT($O21:$O$55*V21:V$55*($E21:$E$55=$D20)),IF(ISNUMBER(Data!P20),100*ABS($G20-(Data!P20-$K20)/$M20),0),IF(ISNUMBER(Data!P20),100*ABS($G20-(Data!P20-$K20)/$M20),0)))</f>
        <v>0</v>
      </c>
      <c r="W20" s="301">
        <f ca="1">IF($H20=0,0,CHOOSE($H20,SUMPRODUCT($O21:$O$55*W21:W$55*($E21:$E$55=$D20)),IF(ISNUMBER(Data!Q20),100*ABS($G20-(Data!Q20-$K20)/$M20),0),IF(ISNUMBER(Data!Q20),100*ABS($G20-(Data!Q20-$K20)/$M20),0)))</f>
        <v>0</v>
      </c>
      <c r="X20" s="300">
        <f ca="1">IF($H20=0,0,CHOOSE($H20,SUMPRODUCT($O21:$O$55*X21:X$55*($E21:$E$55=$D20)),IF(ISNUMBER(Data!R20),100*ABS($G20-(Data!R20-$K20)/$M20),0),IF(ISNUMBER(Data!R20),100*ABS($G20-(Data!R20-$K20)/$M20),0)))</f>
        <v>0</v>
      </c>
      <c r="Y20" s="301">
        <f ca="1">IF($H20=0,0,CHOOSE($H20,SUMPRODUCT($O21:$O$55*Y21:Y$55*($E21:$E$55=$D20)),IF(ISNUMBER(Data!S20),100*ABS($G20-(Data!S20-$K20)/$M20),0),IF(ISNUMBER(Data!S20),100*ABS($G20-(Data!S20-$K20)/$M20),0)))</f>
        <v>0</v>
      </c>
      <c r="Z20" s="300">
        <f ca="1">IF($H20=0,0,CHOOSE($H20,SUMPRODUCT($O21:$O$55*Z21:Z$55*($E21:$E$55=$D20)),IF(ISNUMBER(Data!T20),100*ABS($G20-(Data!T20-$K20)/$M20),0),IF(ISNUMBER(Data!T20),100*ABS($G20-(Data!T20-$K20)/$M20),0)))</f>
        <v>0</v>
      </c>
      <c r="AA20" s="301">
        <f ca="1">IF($H20=0,0,CHOOSE($H20,SUMPRODUCT($O21:$O$55*AA21:AA$55*($E21:$E$55=$D20)),IF(ISNUMBER(Data!U20),100*ABS($G20-(Data!U20-$K20)/$M20),0),IF(ISNUMBER(Data!U20),100*ABS($G20-(Data!U20-$K20)/$M20),0)))</f>
        <v>50</v>
      </c>
      <c r="AB20" s="300">
        <f ca="1">IF($H20=0,0,CHOOSE($H20,SUMPRODUCT($O21:$O$55*AB21:AB$55*($E21:$E$55=$D20)),IF(ISNUMBER(Data!V20),100*ABS($G20-(Data!V20-$K20)/$M20),0),IF(ISNUMBER(Data!V20),100*ABS($G20-(Data!V20-$K20)/$M20),0)))</f>
        <v>0</v>
      </c>
      <c r="AC20" s="301">
        <f>IF($H20=0,0,CHOOSE($H20,SUMPRODUCT($O21:$O$55*AC21:AC$55*($E21:$E$55=$D20)),IF(ISNUMBER(Data!W20),100*ABS($G20-(Data!W20-$K20)/$M20),0),IF(ISNUMBER(Data!W20),100*ABS($G20-(Data!W20-$K20)/$M20),0)))</f>
        <v>0</v>
      </c>
      <c r="AD20" s="300">
        <f>IF($H20=0,0,CHOOSE($H20,SUMPRODUCT($O21:$O$55*AD21:AD$55*($E21:$E$55=$D20)),IF(ISNUMBER(Data!X20),100*ABS($G20-(Data!X20-$K20)/$M20),0),IF(ISNUMBER(Data!X20),100*ABS($G20-(Data!X20-$K20)/$M20),0)))</f>
        <v>0</v>
      </c>
      <c r="AE20" s="301">
        <f>IF($H20=0,0,CHOOSE($H20,SUMPRODUCT($O21:$O$55*AE21:AE$55*($E21:$E$55=$D20)),IF(ISNUMBER(Data!Y20),100*ABS($G20-(Data!Y20-$K20)/$M20),0),IF(ISNUMBER(Data!Y20),100*ABS($G20-(Data!Y20-$K20)/$M20),0)))</f>
        <v>0</v>
      </c>
      <c r="AF20" s="300">
        <f>IF($H20=0,0,CHOOSE($H20,SUMPRODUCT($O21:$O$55*AF21:AF$55*($E21:$E$55=$D20)),IF(ISNUMBER(Data!Z20),100*ABS($G20-(Data!Z20-$K20)/$M20),0),IF(ISNUMBER(Data!Z20),100*ABS($G20-(Data!Z20-$K20)/$M20),0)))</f>
        <v>0</v>
      </c>
      <c r="AG20" s="301">
        <f>IF($H20=0,0,CHOOSE($H20,SUMPRODUCT($O21:$O$55*AG21:AG$55*($E21:$E$55=$D20)),IF(ISNUMBER(Data!AA20),100*ABS($G20-(Data!AA20-$K20)/$M20),0),IF(ISNUMBER(Data!AA20),100*ABS($G20-(Data!AA20-$K20)/$M20),0)))</f>
        <v>0</v>
      </c>
      <c r="AH20" s="300">
        <f>IF($H20=0,0,CHOOSE($H20,SUMPRODUCT($O21:$O$55*AH21:AH$55*($E21:$E$55=$D20)),IF(ISNUMBER(Data!AB20),100*ABS($G20-(Data!AB20-$K20)/$M20),0),IF(ISNUMBER(Data!AB20),100*ABS($G20-(Data!AB20-$K20)/$M20),0)))</f>
        <v>0</v>
      </c>
      <c r="AI20" s="301">
        <f>IF($H20=0,0,CHOOSE($H20,SUMPRODUCT($O21:$O$55*AI21:AI$55*($E21:$E$55=$D20)),IF(ISNUMBER(Data!AC20),100*ABS($G20-(Data!AC20-$K20)/$M20),0),IF(ISNUMBER(Data!AC20),100*ABS($G20-(Data!AC20-$K20)/$M20),0)))</f>
        <v>0</v>
      </c>
      <c r="AJ20" s="300">
        <f>IF($H20=0,0,CHOOSE($H20,SUMPRODUCT($O21:$O$55*AJ21:AJ$55*($E21:$E$55=$D20)),IF(ISNUMBER(Data!AD20),100*ABS($G20-(Data!AD20-$K20)/$M20),0),IF(ISNUMBER(Data!AD20),100*ABS($G20-(Data!AD20-$K20)/$M20),0)))</f>
        <v>0</v>
      </c>
      <c r="AK20" s="301">
        <f>IF($H20=0,0,CHOOSE($H20,SUMPRODUCT($O21:$O$55*AK21:AK$55*($E21:$E$55=$D20)),IF(ISNUMBER(Data!AE20),100*ABS($G20-(Data!AE20-$K20)/$M20),0),IF(ISNUMBER(Data!AE20),100*ABS($G20-(Data!AE20-$K20)/$M20),0)))</f>
        <v>0</v>
      </c>
    </row>
    <row r="21" spans="1:37" s="78" customFormat="1" ht="15">
      <c r="A21" s="580">
        <f t="shared" si="3"/>
        <v>21</v>
      </c>
      <c r="B21" s="297">
        <f>tblIndicators!A18</f>
        <v>17</v>
      </c>
      <c r="C21" s="297">
        <f>tblIndicators!B18</f>
        <v>0</v>
      </c>
      <c r="D21" s="297" t="str">
        <f>tblIndicators!D18</f>
        <v>NORM1.3</v>
      </c>
      <c r="E21" s="297" t="str">
        <f>tblIndicators!E18</f>
        <v>NORM</v>
      </c>
      <c r="F21" s="297">
        <f>tblIndicators!F18</f>
        <v>2</v>
      </c>
      <c r="G21" s="297" t="str">
        <f>tblIndicators!Y18</f>
        <v/>
      </c>
      <c r="H21" s="297">
        <f>tblIndicators!Z18</f>
        <v>1</v>
      </c>
      <c r="I21" s="298" t="str">
        <f>tblIndicators!AA18</f>
        <v/>
      </c>
      <c r="J21" s="297">
        <f>tblIndicators!AB18</f>
        <v>0</v>
      </c>
      <c r="K21" s="297" t="str">
        <f t="shared" ca="1" si="1"/>
        <v>-</v>
      </c>
      <c r="L21" s="299" t="str">
        <f t="shared" ca="1" si="2"/>
        <v>-</v>
      </c>
      <c r="M21" s="297" t="str">
        <f t="shared" si="4"/>
        <v>-</v>
      </c>
      <c r="N21" s="426" t="str">
        <f>REPT(" ",F21)&amp;tblIndicators!AE18</f>
        <v xml:space="preserve">  1.3) Generación de información</v>
      </c>
      <c r="O21" s="302">
        <f>tblIndicators!AD18</f>
        <v>0.25</v>
      </c>
      <c r="P21" s="300">
        <f ca="1">IF($H21=0,0,CHOOSE($H21,SUMPRODUCT($O22:$O$55*P22:P$55*($E22:$E$55=$D21)),IF(ISNUMBER(Data!J21),100*ABS($G21-(Data!J21-$K21)/$M21),0),IF(ISNUMBER(Data!J21),100*ABS($G21-(Data!J21-$K21)/$M21),0)))</f>
        <v>25</v>
      </c>
      <c r="Q21" s="301">
        <f ca="1">IF($H21=0,0,CHOOSE($H21,SUMPRODUCT($O22:$O$55*Q22:Q$55*($E22:$E$55=$D21)),IF(ISNUMBER(Data!K21),100*ABS($G21-(Data!K21-$K21)/$M21),0),IF(ISNUMBER(Data!K21),100*ABS($G21-(Data!K21-$K21)/$M21),0)))</f>
        <v>50</v>
      </c>
      <c r="R21" s="300">
        <f ca="1">IF($H21=0,0,CHOOSE($H21,SUMPRODUCT($O22:$O$55*R22:R$55*($E22:$E$55=$D21)),IF(ISNUMBER(Data!L21),100*ABS($G21-(Data!L21-$K21)/$M21),0),IF(ISNUMBER(Data!L21),100*ABS($G21-(Data!L21-$K21)/$M21),0)))</f>
        <v>25</v>
      </c>
      <c r="S21" s="301">
        <f ca="1">IF($H21=0,0,CHOOSE($H21,SUMPRODUCT($O22:$O$55*S22:S$55*($E22:$E$55=$D21)),IF(ISNUMBER(Data!M21),100*ABS($G21-(Data!M21-$K21)/$M21),0),IF(ISNUMBER(Data!M21),100*ABS($G21-(Data!M21-$K21)/$M21),0)))</f>
        <v>0</v>
      </c>
      <c r="T21" s="300">
        <f ca="1">IF($H21=0,0,CHOOSE($H21,SUMPRODUCT($O22:$O$55*T22:T$55*($E22:$E$55=$D21)),IF(ISNUMBER(Data!N21),100*ABS($G21-(Data!N21-$K21)/$M21),0),IF(ISNUMBER(Data!N21),100*ABS($G21-(Data!N21-$K21)/$M21),0)))</f>
        <v>25</v>
      </c>
      <c r="U21" s="301">
        <f ca="1">IF($H21=0,0,CHOOSE($H21,SUMPRODUCT($O22:$O$55*U22:U$55*($E22:$E$55=$D21)),IF(ISNUMBER(Data!O21),100*ABS($G21-(Data!O21-$K21)/$M21),0),IF(ISNUMBER(Data!O21),100*ABS($G21-(Data!O21-$K21)/$M21),0)))</f>
        <v>50</v>
      </c>
      <c r="V21" s="300">
        <f ca="1">IF($H21=0,0,CHOOSE($H21,SUMPRODUCT($O22:$O$55*V22:V$55*($E22:$E$55=$D21)),IF(ISNUMBER(Data!P21),100*ABS($G21-(Data!P21-$K21)/$M21),0),IF(ISNUMBER(Data!P21),100*ABS($G21-(Data!P21-$K21)/$M21),0)))</f>
        <v>25</v>
      </c>
      <c r="W21" s="301">
        <f ca="1">IF($H21=0,0,CHOOSE($H21,SUMPRODUCT($O22:$O$55*W22:W$55*($E22:$E$55=$D21)),IF(ISNUMBER(Data!Q21),100*ABS($G21-(Data!Q21-$K21)/$M21),0),IF(ISNUMBER(Data!Q21),100*ABS($G21-(Data!Q21-$K21)/$M21),0)))</f>
        <v>25</v>
      </c>
      <c r="X21" s="300">
        <f ca="1">IF($H21=0,0,CHOOSE($H21,SUMPRODUCT($O22:$O$55*X22:X$55*($E22:$E$55=$D21)),IF(ISNUMBER(Data!R21),100*ABS($G21-(Data!R21-$K21)/$M21),0),IF(ISNUMBER(Data!R21),100*ABS($G21-(Data!R21-$K21)/$M21),0)))</f>
        <v>25</v>
      </c>
      <c r="Y21" s="301">
        <f ca="1">IF($H21=0,0,CHOOSE($H21,SUMPRODUCT($O22:$O$55*Y22:Y$55*($E22:$E$55=$D21)),IF(ISNUMBER(Data!S21),100*ABS($G21-(Data!S21-$K21)/$M21),0),IF(ISNUMBER(Data!S21),100*ABS($G21-(Data!S21-$K21)/$M21),0)))</f>
        <v>50</v>
      </c>
      <c r="Z21" s="300">
        <f ca="1">IF($H21=0,0,CHOOSE($H21,SUMPRODUCT($O22:$O$55*Z22:Z$55*($E22:$E$55=$D21)),IF(ISNUMBER(Data!T21),100*ABS($G21-(Data!T21-$K21)/$M21),0),IF(ISNUMBER(Data!T21),100*ABS($G21-(Data!T21-$K21)/$M21),0)))</f>
        <v>50</v>
      </c>
      <c r="AA21" s="301">
        <f ca="1">IF($H21=0,0,CHOOSE($H21,SUMPRODUCT($O22:$O$55*AA22:AA$55*($E22:$E$55=$D21)),IF(ISNUMBER(Data!U21),100*ABS($G21-(Data!U21-$K21)/$M21),0),IF(ISNUMBER(Data!U21),100*ABS($G21-(Data!U21-$K21)/$M21),0)))</f>
        <v>25</v>
      </c>
      <c r="AB21" s="300">
        <f ca="1">IF($H21=0,0,CHOOSE($H21,SUMPRODUCT($O22:$O$55*AB22:AB$55*($E22:$E$55=$D21)),IF(ISNUMBER(Data!V21),100*ABS($G21-(Data!V21-$K21)/$M21),0),IF(ISNUMBER(Data!V21),100*ABS($G21-(Data!V21-$K21)/$M21),0)))</f>
        <v>0</v>
      </c>
      <c r="AC21" s="301">
        <f>IF($H21=0,0,CHOOSE($H21,SUMPRODUCT($O22:$O$55*AC22:AC$55*($E22:$E$55=$D21)),IF(ISNUMBER(Data!W21),100*ABS($G21-(Data!W21-$K21)/$M21),0),IF(ISNUMBER(Data!W21),100*ABS($G21-(Data!W21-$K21)/$M21),0)))</f>
        <v>0</v>
      </c>
      <c r="AD21" s="300">
        <f>IF($H21=0,0,CHOOSE($H21,SUMPRODUCT($O22:$O$55*AD22:AD$55*($E22:$E$55=$D21)),IF(ISNUMBER(Data!X21),100*ABS($G21-(Data!X21-$K21)/$M21),0),IF(ISNUMBER(Data!X21),100*ABS($G21-(Data!X21-$K21)/$M21),0)))</f>
        <v>0</v>
      </c>
      <c r="AE21" s="301">
        <f>IF($H21=0,0,CHOOSE($H21,SUMPRODUCT($O22:$O$55*AE22:AE$55*($E22:$E$55=$D21)),IF(ISNUMBER(Data!Y21),100*ABS($G21-(Data!Y21-$K21)/$M21),0),IF(ISNUMBER(Data!Y21),100*ABS($G21-(Data!Y21-$K21)/$M21),0)))</f>
        <v>0</v>
      </c>
      <c r="AF21" s="300">
        <f>IF($H21=0,0,CHOOSE($H21,SUMPRODUCT($O22:$O$55*AF22:AF$55*($E22:$E$55=$D21)),IF(ISNUMBER(Data!Z21),100*ABS($G21-(Data!Z21-$K21)/$M21),0),IF(ISNUMBER(Data!Z21),100*ABS($G21-(Data!Z21-$K21)/$M21),0)))</f>
        <v>0</v>
      </c>
      <c r="AG21" s="301">
        <f>IF($H21=0,0,CHOOSE($H21,SUMPRODUCT($O22:$O$55*AG22:AG$55*($E22:$E$55=$D21)),IF(ISNUMBER(Data!AA21),100*ABS($G21-(Data!AA21-$K21)/$M21),0),IF(ISNUMBER(Data!AA21),100*ABS($G21-(Data!AA21-$K21)/$M21),0)))</f>
        <v>0</v>
      </c>
      <c r="AH21" s="300">
        <f>IF($H21=0,0,CHOOSE($H21,SUMPRODUCT($O22:$O$55*AH22:AH$55*($E22:$E$55=$D21)),IF(ISNUMBER(Data!AB21),100*ABS($G21-(Data!AB21-$K21)/$M21),0),IF(ISNUMBER(Data!AB21),100*ABS($G21-(Data!AB21-$K21)/$M21),0)))</f>
        <v>0</v>
      </c>
      <c r="AI21" s="301">
        <f>IF($H21=0,0,CHOOSE($H21,SUMPRODUCT($O22:$O$55*AI22:AI$55*($E22:$E$55=$D21)),IF(ISNUMBER(Data!AC21),100*ABS($G21-(Data!AC21-$K21)/$M21),0),IF(ISNUMBER(Data!AC21),100*ABS($G21-(Data!AC21-$K21)/$M21),0)))</f>
        <v>0</v>
      </c>
      <c r="AJ21" s="300">
        <f>IF($H21=0,0,CHOOSE($H21,SUMPRODUCT($O22:$O$55*AJ22:AJ$55*($E22:$E$55=$D21)),IF(ISNUMBER(Data!AD21),100*ABS($G21-(Data!AD21-$K21)/$M21),0),IF(ISNUMBER(Data!AD21),100*ABS($G21-(Data!AD21-$K21)/$M21),0)))</f>
        <v>0</v>
      </c>
      <c r="AK21" s="301">
        <f>IF($H21=0,0,CHOOSE($H21,SUMPRODUCT($O22:$O$55*AK22:AK$55*($E22:$E$55=$D21)),IF(ISNUMBER(Data!AE21),100*ABS($G21-(Data!AE21-$K21)/$M21),0),IF(ISNUMBER(Data!AE21),100*ABS($G21-(Data!AE21-$K21)/$M21),0)))</f>
        <v>0</v>
      </c>
    </row>
    <row r="22" spans="1:37" s="78" customFormat="1" ht="30">
      <c r="A22" s="580">
        <f t="shared" si="3"/>
        <v>22</v>
      </c>
      <c r="B22" s="297">
        <f>tblIndicators!A19</f>
        <v>18</v>
      </c>
      <c r="C22" s="297">
        <f>tblIndicators!B19</f>
        <v>0</v>
      </c>
      <c r="D22" s="297" t="str">
        <f>tblIndicators!D19</f>
        <v>NORM1.3.1</v>
      </c>
      <c r="E22" s="297" t="str">
        <f>tblIndicators!E19</f>
        <v>NORM1.3</v>
      </c>
      <c r="F22" s="297">
        <f>tblIndicators!F19</f>
        <v>3</v>
      </c>
      <c r="G22" s="297">
        <f>tblIndicators!Y19</f>
        <v>0</v>
      </c>
      <c r="H22" s="297">
        <f>tblIndicators!Z19</f>
        <v>3</v>
      </c>
      <c r="I22" s="298">
        <f>tblIndicators!AA19</f>
        <v>0</v>
      </c>
      <c r="J22" s="297">
        <f>tblIndicators!AB19</f>
        <v>2</v>
      </c>
      <c r="K22" s="297">
        <f t="shared" ca="1" si="1"/>
        <v>0</v>
      </c>
      <c r="L22" s="299">
        <f t="shared" ca="1" si="2"/>
        <v>2</v>
      </c>
      <c r="M22" s="297">
        <f t="shared" ca="1" si="4"/>
        <v>2</v>
      </c>
      <c r="N22" s="426" t="str">
        <f>REPT(" ",F22)&amp;tblIndicators!AE19</f>
        <v xml:space="preserve">   1.3.1) 13.¿Hay un sistema municipal de recolección de información de reciclaje inclusivo?</v>
      </c>
      <c r="O22" s="302">
        <f>tblIndicators!AD19</f>
        <v>0.5</v>
      </c>
      <c r="P22" s="300">
        <f ca="1">IF($H22=0,0,CHOOSE($H22,SUMPRODUCT($O23:$O$55*P23:P$55*($E23:$E$55=$D22)),IF(ISNUMBER(Data!J22),100*ABS($G22-(Data!J22-$K22)/$M22),0),IF(ISNUMBER(Data!J22),100*ABS($G22-(Data!J22-$K22)/$M22),0)))</f>
        <v>0</v>
      </c>
      <c r="Q22" s="301">
        <f ca="1">IF($H22=0,0,CHOOSE($H22,SUMPRODUCT($O23:$O$55*Q23:Q$55*($E23:$E$55=$D22)),IF(ISNUMBER(Data!K22),100*ABS($G22-(Data!K22-$K22)/$M22),0),IF(ISNUMBER(Data!K22),100*ABS($G22-(Data!K22-$K22)/$M22),0)))</f>
        <v>50</v>
      </c>
      <c r="R22" s="300">
        <f ca="1">IF($H22=0,0,CHOOSE($H22,SUMPRODUCT($O23:$O$55*R23:R$55*($E23:$E$55=$D22)),IF(ISNUMBER(Data!L22),100*ABS($G22-(Data!L22-$K22)/$M22),0),IF(ISNUMBER(Data!L22),100*ABS($G22-(Data!L22-$K22)/$M22),0)))</f>
        <v>0</v>
      </c>
      <c r="S22" s="301">
        <f ca="1">IF($H22=0,0,CHOOSE($H22,SUMPRODUCT($O23:$O$55*S23:S$55*($E23:$E$55=$D22)),IF(ISNUMBER(Data!M22),100*ABS($G22-(Data!M22-$K22)/$M22),0),IF(ISNUMBER(Data!M22),100*ABS($G22-(Data!M22-$K22)/$M22),0)))</f>
        <v>0</v>
      </c>
      <c r="T22" s="300">
        <f ca="1">IF($H22=0,0,CHOOSE($H22,SUMPRODUCT($O23:$O$55*T23:T$55*($E23:$E$55=$D22)),IF(ISNUMBER(Data!N22),100*ABS($G22-(Data!N22-$K22)/$M22),0),IF(ISNUMBER(Data!N22),100*ABS($G22-(Data!N22-$K22)/$M22),0)))</f>
        <v>0</v>
      </c>
      <c r="U22" s="301">
        <f ca="1">IF($H22=0,0,CHOOSE($H22,SUMPRODUCT($O23:$O$55*U23:U$55*($E23:$E$55=$D22)),IF(ISNUMBER(Data!O22),100*ABS($G22-(Data!O22-$K22)/$M22),0),IF(ISNUMBER(Data!O22),100*ABS($G22-(Data!O22-$K22)/$M22),0)))</f>
        <v>50</v>
      </c>
      <c r="V22" s="300">
        <f ca="1">IF($H22=0,0,CHOOSE($H22,SUMPRODUCT($O23:$O$55*V23:V$55*($E23:$E$55=$D22)),IF(ISNUMBER(Data!P22),100*ABS($G22-(Data!P22-$K22)/$M22),0),IF(ISNUMBER(Data!P22),100*ABS($G22-(Data!P22-$K22)/$M22),0)))</f>
        <v>0</v>
      </c>
      <c r="W22" s="301">
        <f ca="1">IF($H22=0,0,CHOOSE($H22,SUMPRODUCT($O23:$O$55*W23:W$55*($E23:$E$55=$D22)),IF(ISNUMBER(Data!Q22),100*ABS($G22-(Data!Q22-$K22)/$M22),0),IF(ISNUMBER(Data!Q22),100*ABS($G22-(Data!Q22-$K22)/$M22),0)))</f>
        <v>0</v>
      </c>
      <c r="X22" s="300">
        <f ca="1">IF($H22=0,0,CHOOSE($H22,SUMPRODUCT($O23:$O$55*X23:X$55*($E23:$E$55=$D22)),IF(ISNUMBER(Data!R22),100*ABS($G22-(Data!R22-$K22)/$M22),0),IF(ISNUMBER(Data!R22),100*ABS($G22-(Data!R22-$K22)/$M22),0)))</f>
        <v>0</v>
      </c>
      <c r="Y22" s="301">
        <f ca="1">IF($H22=0,0,CHOOSE($H22,SUMPRODUCT($O23:$O$55*Y23:Y$55*($E23:$E$55=$D22)),IF(ISNUMBER(Data!S22),100*ABS($G22-(Data!S22-$K22)/$M22),0),IF(ISNUMBER(Data!S22),100*ABS($G22-(Data!S22-$K22)/$M22),0)))</f>
        <v>50</v>
      </c>
      <c r="Z22" s="300">
        <f ca="1">IF($H22=0,0,CHOOSE($H22,SUMPRODUCT($O23:$O$55*Z23:Z$55*($E23:$E$55=$D22)),IF(ISNUMBER(Data!T22),100*ABS($G22-(Data!T22-$K22)/$M22),0),IF(ISNUMBER(Data!T22),100*ABS($G22-(Data!T22-$K22)/$M22),0)))</f>
        <v>0</v>
      </c>
      <c r="AA22" s="301">
        <f ca="1">IF($H22=0,0,CHOOSE($H22,SUMPRODUCT($O23:$O$55*AA23:AA$55*($E23:$E$55=$D22)),IF(ISNUMBER(Data!U22),100*ABS($G22-(Data!U22-$K22)/$M22),0),IF(ISNUMBER(Data!U22),100*ABS($G22-(Data!U22-$K22)/$M22),0)))</f>
        <v>0</v>
      </c>
      <c r="AB22" s="300">
        <f ca="1">IF($H22=0,0,CHOOSE($H22,SUMPRODUCT($O23:$O$55*AB23:AB$55*($E23:$E$55=$D22)),IF(ISNUMBER(Data!V22),100*ABS($G22-(Data!V22-$K22)/$M22),0),IF(ISNUMBER(Data!V22),100*ABS($G22-(Data!V22-$K22)/$M22),0)))</f>
        <v>0</v>
      </c>
      <c r="AC22" s="301">
        <f>IF($H22=0,0,CHOOSE($H22,SUMPRODUCT($O23:$O$55*AC23:AC$55*($E23:$E$55=$D22)),IF(ISNUMBER(Data!W22),100*ABS($G22-(Data!W22-$K22)/$M22),0),IF(ISNUMBER(Data!W22),100*ABS($G22-(Data!W22-$K22)/$M22),0)))</f>
        <v>0</v>
      </c>
      <c r="AD22" s="300">
        <f>IF($H22=0,0,CHOOSE($H22,SUMPRODUCT($O23:$O$55*AD23:AD$55*($E23:$E$55=$D22)),IF(ISNUMBER(Data!X22),100*ABS($G22-(Data!X22-$K22)/$M22),0),IF(ISNUMBER(Data!X22),100*ABS($G22-(Data!X22-$K22)/$M22),0)))</f>
        <v>0</v>
      </c>
      <c r="AE22" s="301">
        <f>IF($H22=0,0,CHOOSE($H22,SUMPRODUCT($O23:$O$55*AE23:AE$55*($E23:$E$55=$D22)),IF(ISNUMBER(Data!Y22),100*ABS($G22-(Data!Y22-$K22)/$M22),0),IF(ISNUMBER(Data!Y22),100*ABS($G22-(Data!Y22-$K22)/$M22),0)))</f>
        <v>0</v>
      </c>
      <c r="AF22" s="300">
        <f>IF($H22=0,0,CHOOSE($H22,SUMPRODUCT($O23:$O$55*AF23:AF$55*($E23:$E$55=$D22)),IF(ISNUMBER(Data!Z22),100*ABS($G22-(Data!Z22-$K22)/$M22),0),IF(ISNUMBER(Data!Z22),100*ABS($G22-(Data!Z22-$K22)/$M22),0)))</f>
        <v>0</v>
      </c>
      <c r="AG22" s="301">
        <f>IF($H22=0,0,CHOOSE($H22,SUMPRODUCT($O23:$O$55*AG23:AG$55*($E23:$E$55=$D22)),IF(ISNUMBER(Data!AA22),100*ABS($G22-(Data!AA22-$K22)/$M22),0),IF(ISNUMBER(Data!AA22),100*ABS($G22-(Data!AA22-$K22)/$M22),0)))</f>
        <v>0</v>
      </c>
      <c r="AH22" s="300">
        <f>IF($H22=0,0,CHOOSE($H22,SUMPRODUCT($O23:$O$55*AH23:AH$55*($E23:$E$55=$D22)),IF(ISNUMBER(Data!AB22),100*ABS($G22-(Data!AB22-$K22)/$M22),0),IF(ISNUMBER(Data!AB22),100*ABS($G22-(Data!AB22-$K22)/$M22),0)))</f>
        <v>0</v>
      </c>
      <c r="AI22" s="301">
        <f>IF($H22=0,0,CHOOSE($H22,SUMPRODUCT($O23:$O$55*AI23:AI$55*($E23:$E$55=$D22)),IF(ISNUMBER(Data!AC22),100*ABS($G22-(Data!AC22-$K22)/$M22),0),IF(ISNUMBER(Data!AC22),100*ABS($G22-(Data!AC22-$K22)/$M22),0)))</f>
        <v>0</v>
      </c>
      <c r="AJ22" s="300">
        <f>IF($H22=0,0,CHOOSE($H22,SUMPRODUCT($O23:$O$55*AJ23:AJ$55*($E23:$E$55=$D22)),IF(ISNUMBER(Data!AD22),100*ABS($G22-(Data!AD22-$K22)/$M22),0),IF(ISNUMBER(Data!AD22),100*ABS($G22-(Data!AD22-$K22)/$M22),0)))</f>
        <v>0</v>
      </c>
      <c r="AK22" s="301">
        <f>IF($H22=0,0,CHOOSE($H22,SUMPRODUCT($O23:$O$55*AK23:AK$55*($E23:$E$55=$D22)),IF(ISNUMBER(Data!AE22),100*ABS($G22-(Data!AE22-$K22)/$M22),0),IF(ISNUMBER(Data!AE22),100*ABS($G22-(Data!AE22-$K22)/$M22),0)))</f>
        <v>0</v>
      </c>
    </row>
    <row r="23" spans="1:37" s="78" customFormat="1" ht="30">
      <c r="A23" s="580">
        <f t="shared" si="3"/>
        <v>23</v>
      </c>
      <c r="B23" s="297">
        <f>tblIndicators!A20</f>
        <v>19</v>
      </c>
      <c r="C23" s="297">
        <f>tblIndicators!B20</f>
        <v>0</v>
      </c>
      <c r="D23" s="297" t="str">
        <f>tblIndicators!D20</f>
        <v>NORM1.3.2</v>
      </c>
      <c r="E23" s="297" t="str">
        <f>tblIndicators!E20</f>
        <v>NORM1.3</v>
      </c>
      <c r="F23" s="297">
        <f>tblIndicators!F20</f>
        <v>3</v>
      </c>
      <c r="G23" s="297">
        <f>tblIndicators!Y20</f>
        <v>0</v>
      </c>
      <c r="H23" s="297">
        <f>tblIndicators!Z20</f>
        <v>3</v>
      </c>
      <c r="I23" s="298">
        <f>tblIndicators!AA20</f>
        <v>0</v>
      </c>
      <c r="J23" s="297">
        <f>tblIndicators!AB20</f>
        <v>2</v>
      </c>
      <c r="K23" s="297">
        <f t="shared" ca="1" si="1"/>
        <v>0</v>
      </c>
      <c r="L23" s="299">
        <f t="shared" ca="1" si="2"/>
        <v>2</v>
      </c>
      <c r="M23" s="297">
        <f t="shared" ca="1" si="4"/>
        <v>2</v>
      </c>
      <c r="N23" s="426" t="str">
        <f>REPT(" ",F23)&amp;tblIndicators!AE20</f>
        <v xml:space="preserve">   1.3.2) 14.¿Hay campañas de comunicación para fomentar el reciclaje inclusivo con difusión en el municipio?</v>
      </c>
      <c r="O23" s="302">
        <f>tblIndicators!AD20</f>
        <v>0.5</v>
      </c>
      <c r="P23" s="300">
        <f ca="1">IF($H23=0,0,CHOOSE($H23,SUMPRODUCT($O24:$O$55*P24:P$55*($E24:$E$55=$D23)),IF(ISNUMBER(Data!J23),100*ABS($G23-(Data!J23-$K23)/$M23),0),IF(ISNUMBER(Data!J23),100*ABS($G23-(Data!J23-$K23)/$M23),0)))</f>
        <v>50</v>
      </c>
      <c r="Q23" s="301">
        <f ca="1">IF($H23=0,0,CHOOSE($H23,SUMPRODUCT($O24:$O$55*Q24:Q$55*($E24:$E$55=$D23)),IF(ISNUMBER(Data!K23),100*ABS($G23-(Data!K23-$K23)/$M23),0),IF(ISNUMBER(Data!K23),100*ABS($G23-(Data!K23-$K23)/$M23),0)))</f>
        <v>50</v>
      </c>
      <c r="R23" s="300">
        <f ca="1">IF($H23=0,0,CHOOSE($H23,SUMPRODUCT($O24:$O$55*R24:R$55*($E24:$E$55=$D23)),IF(ISNUMBER(Data!L23),100*ABS($G23-(Data!L23-$K23)/$M23),0),IF(ISNUMBER(Data!L23),100*ABS($G23-(Data!L23-$K23)/$M23),0)))</f>
        <v>50</v>
      </c>
      <c r="S23" s="301">
        <f ca="1">IF($H23=0,0,CHOOSE($H23,SUMPRODUCT($O24:$O$55*S24:S$55*($E24:$E$55=$D23)),IF(ISNUMBER(Data!M23),100*ABS($G23-(Data!M23-$K23)/$M23),0),IF(ISNUMBER(Data!M23),100*ABS($G23-(Data!M23-$K23)/$M23),0)))</f>
        <v>0</v>
      </c>
      <c r="T23" s="300">
        <f ca="1">IF($H23=0,0,CHOOSE($H23,SUMPRODUCT($O24:$O$55*T24:T$55*($E24:$E$55=$D23)),IF(ISNUMBER(Data!N23),100*ABS($G23-(Data!N23-$K23)/$M23),0),IF(ISNUMBER(Data!N23),100*ABS($G23-(Data!N23-$K23)/$M23),0)))</f>
        <v>50</v>
      </c>
      <c r="U23" s="301">
        <f ca="1">IF($H23=0,0,CHOOSE($H23,SUMPRODUCT($O24:$O$55*U24:U$55*($E24:$E$55=$D23)),IF(ISNUMBER(Data!O23),100*ABS($G23-(Data!O23-$K23)/$M23),0),IF(ISNUMBER(Data!O23),100*ABS($G23-(Data!O23-$K23)/$M23),0)))</f>
        <v>50</v>
      </c>
      <c r="V23" s="300">
        <f ca="1">IF($H23=0,0,CHOOSE($H23,SUMPRODUCT($O24:$O$55*V24:V$55*($E24:$E$55=$D23)),IF(ISNUMBER(Data!P23),100*ABS($G23-(Data!P23-$K23)/$M23),0),IF(ISNUMBER(Data!P23),100*ABS($G23-(Data!P23-$K23)/$M23),0)))</f>
        <v>50</v>
      </c>
      <c r="W23" s="301">
        <f ca="1">IF($H23=0,0,CHOOSE($H23,SUMPRODUCT($O24:$O$55*W24:W$55*($E24:$E$55=$D23)),IF(ISNUMBER(Data!Q23),100*ABS($G23-(Data!Q23-$K23)/$M23),0),IF(ISNUMBER(Data!Q23),100*ABS($G23-(Data!Q23-$K23)/$M23),0)))</f>
        <v>50</v>
      </c>
      <c r="X23" s="300">
        <f ca="1">IF($H23=0,0,CHOOSE($H23,SUMPRODUCT($O24:$O$55*X24:X$55*($E24:$E$55=$D23)),IF(ISNUMBER(Data!R23),100*ABS($G23-(Data!R23-$K23)/$M23),0),IF(ISNUMBER(Data!R23),100*ABS($G23-(Data!R23-$K23)/$M23),0)))</f>
        <v>50</v>
      </c>
      <c r="Y23" s="301">
        <f ca="1">IF($H23=0,0,CHOOSE($H23,SUMPRODUCT($O24:$O$55*Y24:Y$55*($E24:$E$55=$D23)),IF(ISNUMBER(Data!S23),100*ABS($G23-(Data!S23-$K23)/$M23),0),IF(ISNUMBER(Data!S23),100*ABS($G23-(Data!S23-$K23)/$M23),0)))</f>
        <v>50</v>
      </c>
      <c r="Z23" s="300">
        <f ca="1">IF($H23=0,0,CHOOSE($H23,SUMPRODUCT($O24:$O$55*Z24:Z$55*($E24:$E$55=$D23)),IF(ISNUMBER(Data!T23),100*ABS($G23-(Data!T23-$K23)/$M23),0),IF(ISNUMBER(Data!T23),100*ABS($G23-(Data!T23-$K23)/$M23),0)))</f>
        <v>100</v>
      </c>
      <c r="AA23" s="301">
        <f ca="1">IF($H23=0,0,CHOOSE($H23,SUMPRODUCT($O24:$O$55*AA24:AA$55*($E24:$E$55=$D23)),IF(ISNUMBER(Data!U23),100*ABS($G23-(Data!U23-$K23)/$M23),0),IF(ISNUMBER(Data!U23),100*ABS($G23-(Data!U23-$K23)/$M23),0)))</f>
        <v>50</v>
      </c>
      <c r="AB23" s="300">
        <f ca="1">IF($H23=0,0,CHOOSE($H23,SUMPRODUCT($O24:$O$55*AB24:AB$55*($E24:$E$55=$D23)),IF(ISNUMBER(Data!V23),100*ABS($G23-(Data!V23-$K23)/$M23),0),IF(ISNUMBER(Data!V23),100*ABS($G23-(Data!V23-$K23)/$M23),0)))</f>
        <v>0</v>
      </c>
      <c r="AC23" s="301">
        <f>IF($H23=0,0,CHOOSE($H23,SUMPRODUCT($O24:$O$55*AC24:AC$55*($E24:$E$55=$D23)),IF(ISNUMBER(Data!W23),100*ABS($G23-(Data!W23-$K23)/$M23),0),IF(ISNUMBER(Data!W23),100*ABS($G23-(Data!W23-$K23)/$M23),0)))</f>
        <v>0</v>
      </c>
      <c r="AD23" s="300">
        <f>IF($H23=0,0,CHOOSE($H23,SUMPRODUCT($O24:$O$55*AD24:AD$55*($E24:$E$55=$D23)),IF(ISNUMBER(Data!X23),100*ABS($G23-(Data!X23-$K23)/$M23),0),IF(ISNUMBER(Data!X23),100*ABS($G23-(Data!X23-$K23)/$M23),0)))</f>
        <v>0</v>
      </c>
      <c r="AE23" s="301">
        <f>IF($H23=0,0,CHOOSE($H23,SUMPRODUCT($O24:$O$55*AE24:AE$55*($E24:$E$55=$D23)),IF(ISNUMBER(Data!Y23),100*ABS($G23-(Data!Y23-$K23)/$M23),0),IF(ISNUMBER(Data!Y23),100*ABS($G23-(Data!Y23-$K23)/$M23),0)))</f>
        <v>0</v>
      </c>
      <c r="AF23" s="300">
        <f>IF($H23=0,0,CHOOSE($H23,SUMPRODUCT($O24:$O$55*AF24:AF$55*($E24:$E$55=$D23)),IF(ISNUMBER(Data!Z23),100*ABS($G23-(Data!Z23-$K23)/$M23),0),IF(ISNUMBER(Data!Z23),100*ABS($G23-(Data!Z23-$K23)/$M23),0)))</f>
        <v>0</v>
      </c>
      <c r="AG23" s="301">
        <f>IF($H23=0,0,CHOOSE($H23,SUMPRODUCT($O24:$O$55*AG24:AG$55*($E24:$E$55=$D23)),IF(ISNUMBER(Data!AA23),100*ABS($G23-(Data!AA23-$K23)/$M23),0),IF(ISNUMBER(Data!AA23),100*ABS($G23-(Data!AA23-$K23)/$M23),0)))</f>
        <v>0</v>
      </c>
      <c r="AH23" s="300">
        <f>IF($H23=0,0,CHOOSE($H23,SUMPRODUCT($O24:$O$55*AH24:AH$55*($E24:$E$55=$D23)),IF(ISNUMBER(Data!AB23),100*ABS($G23-(Data!AB23-$K23)/$M23),0),IF(ISNUMBER(Data!AB23),100*ABS($G23-(Data!AB23-$K23)/$M23),0)))</f>
        <v>0</v>
      </c>
      <c r="AI23" s="301">
        <f>IF($H23=0,0,CHOOSE($H23,SUMPRODUCT($O24:$O$55*AI24:AI$55*($E24:$E$55=$D23)),IF(ISNUMBER(Data!AC23),100*ABS($G23-(Data!AC23-$K23)/$M23),0),IF(ISNUMBER(Data!AC23),100*ABS($G23-(Data!AC23-$K23)/$M23),0)))</f>
        <v>0</v>
      </c>
      <c r="AJ23" s="300">
        <f>IF($H23=0,0,CHOOSE($H23,SUMPRODUCT($O24:$O$55*AJ24:AJ$55*($E24:$E$55=$D23)),IF(ISNUMBER(Data!AD23),100*ABS($G23-(Data!AD23-$K23)/$M23),0),IF(ISNUMBER(Data!AD23),100*ABS($G23-(Data!AD23-$K23)/$M23),0)))</f>
        <v>0</v>
      </c>
      <c r="AK23" s="301">
        <f>IF($H23=0,0,CHOOSE($H23,SUMPRODUCT($O24:$O$55*AK24:AK$55*($E24:$E$55=$D23)),IF(ISNUMBER(Data!AE23),100*ABS($G23-(Data!AE23-$K23)/$M23),0),IF(ISNUMBER(Data!AE23),100*ABS($G23-(Data!AE23-$K23)/$M23),0)))</f>
        <v>0</v>
      </c>
    </row>
    <row r="24" spans="1:37" s="78" customFormat="1" ht="15">
      <c r="A24" s="580">
        <f t="shared" si="3"/>
        <v>24</v>
      </c>
      <c r="B24" s="297">
        <f>tblIndicators!A21</f>
        <v>20</v>
      </c>
      <c r="C24" s="297">
        <f>tblIndicators!B21</f>
        <v>0</v>
      </c>
      <c r="D24" s="297" t="str">
        <f>tblIndicators!D21</f>
        <v>NORM1.4</v>
      </c>
      <c r="E24" s="297" t="str">
        <f>tblIndicators!E21</f>
        <v>NORM</v>
      </c>
      <c r="F24" s="297">
        <f>tblIndicators!F21</f>
        <v>2</v>
      </c>
      <c r="G24" s="297" t="str">
        <f>tblIndicators!Y21</f>
        <v/>
      </c>
      <c r="H24" s="297">
        <f>tblIndicators!Z21</f>
        <v>1</v>
      </c>
      <c r="I24" s="298" t="str">
        <f>tblIndicators!AA21</f>
        <v/>
      </c>
      <c r="J24" s="297">
        <f>tblIndicators!AB21</f>
        <v>0</v>
      </c>
      <c r="K24" s="297" t="str">
        <f t="shared" ca="1" si="1"/>
        <v>-</v>
      </c>
      <c r="L24" s="299" t="str">
        <f t="shared" ca="1" si="2"/>
        <v>-</v>
      </c>
      <c r="M24" s="297" t="str">
        <f t="shared" si="4"/>
        <v>-</v>
      </c>
      <c r="N24" s="426" t="str">
        <f>REPT(" ",F24)&amp;tblIndicators!AE21</f>
        <v xml:space="preserve">  1.4) Salud pública y el medioambiente</v>
      </c>
      <c r="O24" s="302">
        <f>tblIndicators!AD21</f>
        <v>0.25</v>
      </c>
      <c r="P24" s="300">
        <f ca="1">IF($H24=0,0,CHOOSE($H24,SUMPRODUCT($O25:$O$55*P25:P$55*($E25:$E$55=$D24)),IF(ISNUMBER(Data!J24),100*ABS($G24-(Data!J24-$K24)/$M24),0),IF(ISNUMBER(Data!J24),100*ABS($G24-(Data!J24-$K24)/$M24),0)))</f>
        <v>50</v>
      </c>
      <c r="Q24" s="301">
        <f ca="1">IF($H24=0,0,CHOOSE($H24,SUMPRODUCT($O25:$O$55*Q25:Q$55*($E25:$E$55=$D24)),IF(ISNUMBER(Data!K24),100*ABS($G24-(Data!K24-$K24)/$M24),0),IF(ISNUMBER(Data!K24),100*ABS($G24-(Data!K24-$K24)/$M24),0)))</f>
        <v>50</v>
      </c>
      <c r="R24" s="300">
        <f ca="1">IF($H24=0,0,CHOOSE($H24,SUMPRODUCT($O25:$O$55*R25:R$55*($E25:$E$55=$D24)),IF(ISNUMBER(Data!L24),100*ABS($G24-(Data!L24-$K24)/$M24),0),IF(ISNUMBER(Data!L24),100*ABS($G24-(Data!L24-$K24)/$M24),0)))</f>
        <v>100</v>
      </c>
      <c r="S24" s="301">
        <f ca="1">IF($H24=0,0,CHOOSE($H24,SUMPRODUCT($O25:$O$55*S25:S$55*($E25:$E$55=$D24)),IF(ISNUMBER(Data!M24),100*ABS($G24-(Data!M24-$K24)/$M24),0),IF(ISNUMBER(Data!M24),100*ABS($G24-(Data!M24-$K24)/$M24),0)))</f>
        <v>50</v>
      </c>
      <c r="T24" s="300">
        <f ca="1">IF($H24=0,0,CHOOSE($H24,SUMPRODUCT($O25:$O$55*T25:T$55*($E25:$E$55=$D24)),IF(ISNUMBER(Data!N24),100*ABS($G24-(Data!N24-$K24)/$M24),0),IF(ISNUMBER(Data!N24),100*ABS($G24-(Data!N24-$K24)/$M24),0)))</f>
        <v>100</v>
      </c>
      <c r="U24" s="301">
        <f ca="1">IF($H24=0,0,CHOOSE($H24,SUMPRODUCT($O25:$O$55*U25:U$55*($E25:$E$55=$D24)),IF(ISNUMBER(Data!O24),100*ABS($G24-(Data!O24-$K24)/$M24),0),IF(ISNUMBER(Data!O24),100*ABS($G24-(Data!O24-$K24)/$M24),0)))</f>
        <v>50</v>
      </c>
      <c r="V24" s="300">
        <f ca="1">IF($H24=0,0,CHOOSE($H24,SUMPRODUCT($O25:$O$55*V25:V$55*($E25:$E$55=$D24)),IF(ISNUMBER(Data!P24),100*ABS($G24-(Data!P24-$K24)/$M24),0),IF(ISNUMBER(Data!P24),100*ABS($G24-(Data!P24-$K24)/$M24),0)))</f>
        <v>100</v>
      </c>
      <c r="W24" s="301">
        <f ca="1">IF($H24=0,0,CHOOSE($H24,SUMPRODUCT($O25:$O$55*W25:W$55*($E25:$E$55=$D24)),IF(ISNUMBER(Data!Q24),100*ABS($G24-(Data!Q24-$K24)/$M24),0),IF(ISNUMBER(Data!Q24),100*ABS($G24-(Data!Q24-$K24)/$M24),0)))</f>
        <v>50</v>
      </c>
      <c r="X24" s="300">
        <f ca="1">IF($H24=0,0,CHOOSE($H24,SUMPRODUCT($O25:$O$55*X25:X$55*($E25:$E$55=$D24)),IF(ISNUMBER(Data!R24),100*ABS($G24-(Data!R24-$K24)/$M24),0),IF(ISNUMBER(Data!R24),100*ABS($G24-(Data!R24-$K24)/$M24),0)))</f>
        <v>50</v>
      </c>
      <c r="Y24" s="301">
        <f ca="1">IF($H24=0,0,CHOOSE($H24,SUMPRODUCT($O25:$O$55*Y25:Y$55*($E25:$E$55=$D24)),IF(ISNUMBER(Data!S24),100*ABS($G24-(Data!S24-$K24)/$M24),0),IF(ISNUMBER(Data!S24),100*ABS($G24-(Data!S24-$K24)/$M24),0)))</f>
        <v>50</v>
      </c>
      <c r="Z24" s="300">
        <f ca="1">IF($H24=0,0,CHOOSE($H24,SUMPRODUCT($O25:$O$55*Z25:Z$55*($E25:$E$55=$D24)),IF(ISNUMBER(Data!T24),100*ABS($G24-(Data!T24-$K24)/$M24),0),IF(ISNUMBER(Data!T24),100*ABS($G24-(Data!T24-$K24)/$M24),0)))</f>
        <v>100</v>
      </c>
      <c r="AA24" s="301">
        <f ca="1">IF($H24=0,0,CHOOSE($H24,SUMPRODUCT($O25:$O$55*AA25:AA$55*($E25:$E$55=$D24)),IF(ISNUMBER(Data!U24),100*ABS($G24-(Data!U24-$K24)/$M24),0),IF(ISNUMBER(Data!U24),100*ABS($G24-(Data!U24-$K24)/$M24),0)))</f>
        <v>50</v>
      </c>
      <c r="AB24" s="300">
        <f ca="1">IF($H24=0,0,CHOOSE($H24,SUMPRODUCT($O25:$O$55*AB25:AB$55*($E25:$E$55=$D24)),IF(ISNUMBER(Data!V24),100*ABS($G24-(Data!V24-$K24)/$M24),0),IF(ISNUMBER(Data!V24),100*ABS($G24-(Data!V24-$K24)/$M24),0)))</f>
        <v>0</v>
      </c>
      <c r="AC24" s="301">
        <f>IF($H24=0,0,CHOOSE($H24,SUMPRODUCT($O25:$O$55*AC25:AC$55*($E25:$E$55=$D24)),IF(ISNUMBER(Data!W24),100*ABS($G24-(Data!W24-$K24)/$M24),0),IF(ISNUMBER(Data!W24),100*ABS($G24-(Data!W24-$K24)/$M24),0)))</f>
        <v>0</v>
      </c>
      <c r="AD24" s="300">
        <f>IF($H24=0,0,CHOOSE($H24,SUMPRODUCT($O25:$O$55*AD25:AD$55*($E25:$E$55=$D24)),IF(ISNUMBER(Data!X24),100*ABS($G24-(Data!X24-$K24)/$M24),0),IF(ISNUMBER(Data!X24),100*ABS($G24-(Data!X24-$K24)/$M24),0)))</f>
        <v>0</v>
      </c>
      <c r="AE24" s="301">
        <f>IF($H24=0,0,CHOOSE($H24,SUMPRODUCT($O25:$O$55*AE25:AE$55*($E25:$E$55=$D24)),IF(ISNUMBER(Data!Y24),100*ABS($G24-(Data!Y24-$K24)/$M24),0),IF(ISNUMBER(Data!Y24),100*ABS($G24-(Data!Y24-$K24)/$M24),0)))</f>
        <v>0</v>
      </c>
      <c r="AF24" s="300">
        <f>IF($H24=0,0,CHOOSE($H24,SUMPRODUCT($O25:$O$55*AF25:AF$55*($E25:$E$55=$D24)),IF(ISNUMBER(Data!Z24),100*ABS($G24-(Data!Z24-$K24)/$M24),0),IF(ISNUMBER(Data!Z24),100*ABS($G24-(Data!Z24-$K24)/$M24),0)))</f>
        <v>0</v>
      </c>
      <c r="AG24" s="301">
        <f>IF($H24=0,0,CHOOSE($H24,SUMPRODUCT($O25:$O$55*AG25:AG$55*($E25:$E$55=$D24)),IF(ISNUMBER(Data!AA24),100*ABS($G24-(Data!AA24-$K24)/$M24),0),IF(ISNUMBER(Data!AA24),100*ABS($G24-(Data!AA24-$K24)/$M24),0)))</f>
        <v>0</v>
      </c>
      <c r="AH24" s="300">
        <f>IF($H24=0,0,CHOOSE($H24,SUMPRODUCT($O25:$O$55*AH25:AH$55*($E25:$E$55=$D24)),IF(ISNUMBER(Data!AB24),100*ABS($G24-(Data!AB24-$K24)/$M24),0),IF(ISNUMBER(Data!AB24),100*ABS($G24-(Data!AB24-$K24)/$M24),0)))</f>
        <v>0</v>
      </c>
      <c r="AI24" s="301">
        <f>IF($H24=0,0,CHOOSE($H24,SUMPRODUCT($O25:$O$55*AI25:AI$55*($E25:$E$55=$D24)),IF(ISNUMBER(Data!AC24),100*ABS($G24-(Data!AC24-$K24)/$M24),0),IF(ISNUMBER(Data!AC24),100*ABS($G24-(Data!AC24-$K24)/$M24),0)))</f>
        <v>0</v>
      </c>
      <c r="AJ24" s="300">
        <f>IF($H24=0,0,CHOOSE($H24,SUMPRODUCT($O25:$O$55*AJ25:AJ$55*($E25:$E$55=$D24)),IF(ISNUMBER(Data!AD24),100*ABS($G24-(Data!AD24-$K24)/$M24),0),IF(ISNUMBER(Data!AD24),100*ABS($G24-(Data!AD24-$K24)/$M24),0)))</f>
        <v>0</v>
      </c>
      <c r="AK24" s="301">
        <f>IF($H24=0,0,CHOOSE($H24,SUMPRODUCT($O25:$O$55*AK25:AK$55*($E25:$E$55=$D24)),IF(ISNUMBER(Data!AE24),100*ABS($G24-(Data!AE24-$K24)/$M24),0),IF(ISNUMBER(Data!AE24),100*ABS($G24-(Data!AE24-$K24)/$M24),0)))</f>
        <v>0</v>
      </c>
    </row>
    <row r="25" spans="1:37" s="78" customFormat="1" ht="45">
      <c r="A25" s="580">
        <f t="shared" si="3"/>
        <v>25</v>
      </c>
      <c r="B25" s="297">
        <f>tblIndicators!A22</f>
        <v>21</v>
      </c>
      <c r="C25" s="297">
        <f>tblIndicators!B22</f>
        <v>0</v>
      </c>
      <c r="D25" s="297" t="str">
        <f>tblIndicators!D22</f>
        <v>NORM1.4.1</v>
      </c>
      <c r="E25" s="297" t="str">
        <f>tblIndicators!E22</f>
        <v>NORM1.4</v>
      </c>
      <c r="F25" s="297">
        <f>tblIndicators!F22</f>
        <v>3</v>
      </c>
      <c r="G25" s="297">
        <f>tblIndicators!Y22</f>
        <v>0</v>
      </c>
      <c r="H25" s="297">
        <f>tblIndicators!Z22</f>
        <v>3</v>
      </c>
      <c r="I25" s="298">
        <f>tblIndicators!AA22</f>
        <v>0</v>
      </c>
      <c r="J25" s="297">
        <f>tblIndicators!AB22</f>
        <v>2</v>
      </c>
      <c r="K25" s="297">
        <f t="shared" ca="1" si="1"/>
        <v>0</v>
      </c>
      <c r="L25" s="299">
        <f t="shared" ca="1" si="2"/>
        <v>2</v>
      </c>
      <c r="M25" s="297">
        <f t="shared" ca="1" si="4"/>
        <v>2</v>
      </c>
      <c r="N25" s="426" t="str">
        <f>REPT(" ",F25)&amp;tblIndicators!AE22</f>
        <v xml:space="preserve">   1.4.1) 15.¿Existe adecuada regulación y control sobre clasificación y manejo de desechos especiales y/o  peligrosos y sobre clasificación en la calle?</v>
      </c>
      <c r="O25" s="302">
        <f>tblIndicators!AD22</f>
        <v>1</v>
      </c>
      <c r="P25" s="300">
        <f ca="1">IF($H25=0,0,CHOOSE($H25,SUMPRODUCT($O26:$O$55*P26:P$55*($E26:$E$55=$D25)),IF(ISNUMBER(Data!J25),100*ABS($G25-(Data!J25-$K25)/$M25),0),IF(ISNUMBER(Data!J25),100*ABS($G25-(Data!J25-$K25)/$M25),0)))</f>
        <v>50</v>
      </c>
      <c r="Q25" s="301">
        <f ca="1">IF($H25=0,0,CHOOSE($H25,SUMPRODUCT($O26:$O$55*Q26:Q$55*($E26:$E$55=$D25)),IF(ISNUMBER(Data!K25),100*ABS($G25-(Data!K25-$K25)/$M25),0),IF(ISNUMBER(Data!K25),100*ABS($G25-(Data!K25-$K25)/$M25),0)))</f>
        <v>50</v>
      </c>
      <c r="R25" s="300">
        <f ca="1">IF($H25=0,0,CHOOSE($H25,SUMPRODUCT($O26:$O$55*R26:R$55*($E26:$E$55=$D25)),IF(ISNUMBER(Data!L25),100*ABS($G25-(Data!L25-$K25)/$M25),0),IF(ISNUMBER(Data!L25),100*ABS($G25-(Data!L25-$K25)/$M25),0)))</f>
        <v>100</v>
      </c>
      <c r="S25" s="301">
        <f ca="1">IF($H25=0,0,CHOOSE($H25,SUMPRODUCT($O26:$O$55*S26:S$55*($E26:$E$55=$D25)),IF(ISNUMBER(Data!M25),100*ABS($G25-(Data!M25-$K25)/$M25),0),IF(ISNUMBER(Data!M25),100*ABS($G25-(Data!M25-$K25)/$M25),0)))</f>
        <v>50</v>
      </c>
      <c r="T25" s="300">
        <f ca="1">IF($H25=0,0,CHOOSE($H25,SUMPRODUCT($O26:$O$55*T26:T$55*($E26:$E$55=$D25)),IF(ISNUMBER(Data!N25),100*ABS($G25-(Data!N25-$K25)/$M25),0),IF(ISNUMBER(Data!N25),100*ABS($G25-(Data!N25-$K25)/$M25),0)))</f>
        <v>100</v>
      </c>
      <c r="U25" s="301">
        <f ca="1">IF($H25=0,0,CHOOSE($H25,SUMPRODUCT($O26:$O$55*U26:U$55*($E26:$E$55=$D25)),IF(ISNUMBER(Data!O25),100*ABS($G25-(Data!O25-$K25)/$M25),0),IF(ISNUMBER(Data!O25),100*ABS($G25-(Data!O25-$K25)/$M25),0)))</f>
        <v>50</v>
      </c>
      <c r="V25" s="300">
        <f ca="1">IF($H25=0,0,CHOOSE($H25,SUMPRODUCT($O26:$O$55*V26:V$55*($E26:$E$55=$D25)),IF(ISNUMBER(Data!P25),100*ABS($G25-(Data!P25-$K25)/$M25),0),IF(ISNUMBER(Data!P25),100*ABS($G25-(Data!P25-$K25)/$M25),0)))</f>
        <v>100</v>
      </c>
      <c r="W25" s="301">
        <f ca="1">IF($H25=0,0,CHOOSE($H25,SUMPRODUCT($O26:$O$55*W26:W$55*($E26:$E$55=$D25)),IF(ISNUMBER(Data!Q25),100*ABS($G25-(Data!Q25-$K25)/$M25),0),IF(ISNUMBER(Data!Q25),100*ABS($G25-(Data!Q25-$K25)/$M25),0)))</f>
        <v>50</v>
      </c>
      <c r="X25" s="300">
        <f ca="1">IF($H25=0,0,CHOOSE($H25,SUMPRODUCT($O26:$O$55*X26:X$55*($E26:$E$55=$D25)),IF(ISNUMBER(Data!R25),100*ABS($G25-(Data!R25-$K25)/$M25),0),IF(ISNUMBER(Data!R25),100*ABS($G25-(Data!R25-$K25)/$M25),0)))</f>
        <v>50</v>
      </c>
      <c r="Y25" s="301">
        <f ca="1">IF($H25=0,0,CHOOSE($H25,SUMPRODUCT($O26:$O$55*Y26:Y$55*($E26:$E$55=$D25)),IF(ISNUMBER(Data!S25),100*ABS($G25-(Data!S25-$K25)/$M25),0),IF(ISNUMBER(Data!S25),100*ABS($G25-(Data!S25-$K25)/$M25),0)))</f>
        <v>50</v>
      </c>
      <c r="Z25" s="300">
        <f ca="1">IF($H25=0,0,CHOOSE($H25,SUMPRODUCT($O26:$O$55*Z26:Z$55*($E26:$E$55=$D25)),IF(ISNUMBER(Data!T25),100*ABS($G25-(Data!T25-$K25)/$M25),0),IF(ISNUMBER(Data!T25),100*ABS($G25-(Data!T25-$K25)/$M25),0)))</f>
        <v>100</v>
      </c>
      <c r="AA25" s="301">
        <f ca="1">IF($H25=0,0,CHOOSE($H25,SUMPRODUCT($O26:$O$55*AA26:AA$55*($E26:$E$55=$D25)),IF(ISNUMBER(Data!U25),100*ABS($G25-(Data!U25-$K25)/$M25),0),IF(ISNUMBER(Data!U25),100*ABS($G25-(Data!U25-$K25)/$M25),0)))</f>
        <v>50</v>
      </c>
      <c r="AB25" s="300">
        <f ca="1">IF($H25=0,0,CHOOSE($H25,SUMPRODUCT($O26:$O$55*AB26:AB$55*($E26:$E$55=$D25)),IF(ISNUMBER(Data!V25),100*ABS($G25-(Data!V25-$K25)/$M25),0),IF(ISNUMBER(Data!V25),100*ABS($G25-(Data!V25-$K25)/$M25),0)))</f>
        <v>0</v>
      </c>
      <c r="AC25" s="301">
        <f>IF($H25=0,0,CHOOSE($H25,SUMPRODUCT($O26:$O$55*AC26:AC$55*($E26:$E$55=$D25)),IF(ISNUMBER(Data!W25),100*ABS($G25-(Data!W25-$K25)/$M25),0),IF(ISNUMBER(Data!W25),100*ABS($G25-(Data!W25-$K25)/$M25),0)))</f>
        <v>0</v>
      </c>
      <c r="AD25" s="300">
        <f>IF($H25=0,0,CHOOSE($H25,SUMPRODUCT($O26:$O$55*AD26:AD$55*($E26:$E$55=$D25)),IF(ISNUMBER(Data!X25),100*ABS($G25-(Data!X25-$K25)/$M25),0),IF(ISNUMBER(Data!X25),100*ABS($G25-(Data!X25-$K25)/$M25),0)))</f>
        <v>0</v>
      </c>
      <c r="AE25" s="301">
        <f>IF($H25=0,0,CHOOSE($H25,SUMPRODUCT($O26:$O$55*AE26:AE$55*($E26:$E$55=$D25)),IF(ISNUMBER(Data!Y25),100*ABS($G25-(Data!Y25-$K25)/$M25),0),IF(ISNUMBER(Data!Y25),100*ABS($G25-(Data!Y25-$K25)/$M25),0)))</f>
        <v>0</v>
      </c>
      <c r="AF25" s="300">
        <f>IF($H25=0,0,CHOOSE($H25,SUMPRODUCT($O26:$O$55*AF26:AF$55*($E26:$E$55=$D25)),IF(ISNUMBER(Data!Z25),100*ABS($G25-(Data!Z25-$K25)/$M25),0),IF(ISNUMBER(Data!Z25),100*ABS($G25-(Data!Z25-$K25)/$M25),0)))</f>
        <v>0</v>
      </c>
      <c r="AG25" s="301">
        <f>IF($H25=0,0,CHOOSE($H25,SUMPRODUCT($O26:$O$55*AG26:AG$55*($E26:$E$55=$D25)),IF(ISNUMBER(Data!AA25),100*ABS($G25-(Data!AA25-$K25)/$M25),0),IF(ISNUMBER(Data!AA25),100*ABS($G25-(Data!AA25-$K25)/$M25),0)))</f>
        <v>0</v>
      </c>
      <c r="AH25" s="300">
        <f>IF($H25=0,0,CHOOSE($H25,SUMPRODUCT($O26:$O$55*AH26:AH$55*($E26:$E$55=$D25)),IF(ISNUMBER(Data!AB25),100*ABS($G25-(Data!AB25-$K25)/$M25),0),IF(ISNUMBER(Data!AB25),100*ABS($G25-(Data!AB25-$K25)/$M25),0)))</f>
        <v>0</v>
      </c>
      <c r="AI25" s="301">
        <f>IF($H25=0,0,CHOOSE($H25,SUMPRODUCT($O26:$O$55*AI26:AI$55*($E26:$E$55=$D25)),IF(ISNUMBER(Data!AC25),100*ABS($G25-(Data!AC25-$K25)/$M25),0),IF(ISNUMBER(Data!AC25),100*ABS($G25-(Data!AC25-$K25)/$M25),0)))</f>
        <v>0</v>
      </c>
      <c r="AJ25" s="300">
        <f>IF($H25=0,0,CHOOSE($H25,SUMPRODUCT($O26:$O$55*AJ26:AJ$55*($E26:$E$55=$D25)),IF(ISNUMBER(Data!AD25),100*ABS($G25-(Data!AD25-$K25)/$M25),0),IF(ISNUMBER(Data!AD25),100*ABS($G25-(Data!AD25-$K25)/$M25),0)))</f>
        <v>0</v>
      </c>
      <c r="AK25" s="301">
        <f>IF($H25=0,0,CHOOSE($H25,SUMPRODUCT($O26:$O$55*AK26:AK$55*($E26:$E$55=$D25)),IF(ISNUMBER(Data!AE25),100*ABS($G25-(Data!AE25-$K25)/$M25),0),IF(ISNUMBER(Data!AE25),100*ABS($G25-(Data!AE25-$K25)/$M25),0)))</f>
        <v>0</v>
      </c>
    </row>
    <row r="26" spans="1:37" s="78" customFormat="1" ht="15">
      <c r="A26" s="580">
        <f t="shared" si="3"/>
        <v>26</v>
      </c>
      <c r="B26" s="297">
        <f>tblIndicators!A23</f>
        <v>22</v>
      </c>
      <c r="C26" s="297">
        <f>tblIndicators!B23</f>
        <v>0</v>
      </c>
      <c r="D26" s="297" t="str">
        <f>tblIndicators!D23</f>
        <v>ORG</v>
      </c>
      <c r="E26" s="297" t="str">
        <f>tblIndicators!E23</f>
        <v>OVERALL</v>
      </c>
      <c r="F26" s="297">
        <f>tblIndicators!F23</f>
        <v>1</v>
      </c>
      <c r="G26" s="297" t="str">
        <f>tblIndicators!Y23</f>
        <v/>
      </c>
      <c r="H26" s="297">
        <f>tblIndicators!Z23</f>
        <v>1</v>
      </c>
      <c r="I26" s="298" t="str">
        <f>tblIndicators!AA23</f>
        <v/>
      </c>
      <c r="J26" s="297">
        <f>tblIndicators!AB23</f>
        <v>0</v>
      </c>
      <c r="K26" s="297" t="str">
        <f t="shared" ca="1" si="1"/>
        <v>-</v>
      </c>
      <c r="L26" s="299" t="str">
        <f t="shared" ca="1" si="2"/>
        <v>-</v>
      </c>
      <c r="M26" s="297" t="str">
        <f t="shared" si="4"/>
        <v>-</v>
      </c>
      <c r="N26" s="426" t="str">
        <f>REPT(" ",F26)&amp;tblIndicators!AE23</f>
        <v xml:space="preserve"> 2) ORGANIZATIVA</v>
      </c>
      <c r="O26" s="540">
        <f>tblIndicators!AD23</f>
        <v>0.33333333333333331</v>
      </c>
      <c r="P26" s="300">
        <f ca="1">IF($H26=0,0,CHOOSE($H26,SUMPRODUCT($O27:$O$55*P27:P$55*($E27:$E$55=$D26)),IF(ISNUMBER(Data!J26),100*ABS($G26-(Data!J26-$K26)/$M26),0),IF(ISNUMBER(Data!J26),100*ABS($G26-(Data!J26-$K26)/$M26),0)))</f>
        <v>28.333333333333332</v>
      </c>
      <c r="Q26" s="301">
        <f ca="1">IF($H26=0,0,CHOOSE($H26,SUMPRODUCT($O27:$O$55*Q27:Q$55*($E27:$E$55=$D26)),IF(ISNUMBER(Data!K26),100*ABS($G26-(Data!K26-$K26)/$M26),0),IF(ISNUMBER(Data!K26),100*ABS($G26-(Data!K26-$K26)/$M26),0)))</f>
        <v>70</v>
      </c>
      <c r="R26" s="300">
        <f ca="1">IF($H26=0,0,CHOOSE($H26,SUMPRODUCT($O27:$O$55*R27:R$55*($E27:$E$55=$D26)),IF(ISNUMBER(Data!L26),100*ABS($G26-(Data!L26-$K26)/$M26),0),IF(ISNUMBER(Data!L26),100*ABS($G26-(Data!L26-$K26)/$M26),0)))</f>
        <v>79.444444444444429</v>
      </c>
      <c r="S26" s="301">
        <f ca="1">IF($H26=0,0,CHOOSE($H26,SUMPRODUCT($O27:$O$55*S27:S$55*($E27:$E$55=$D26)),IF(ISNUMBER(Data!M26),100*ABS($G26-(Data!M26-$K26)/$M26),0),IF(ISNUMBER(Data!M26),100*ABS($G26-(Data!M26-$K26)/$M26),0)))</f>
        <v>0</v>
      </c>
      <c r="T26" s="300">
        <f ca="1">IF($H26=0,0,CHOOSE($H26,SUMPRODUCT($O27:$O$55*T27:T$55*($E27:$E$55=$D26)),IF(ISNUMBER(Data!N26),100*ABS($G26-(Data!N26-$K26)/$M26),0),IF(ISNUMBER(Data!N26),100*ABS($G26-(Data!N26-$K26)/$M26),0)))</f>
        <v>51.666666666666664</v>
      </c>
      <c r="U26" s="301">
        <f ca="1">IF($H26=0,0,CHOOSE($H26,SUMPRODUCT($O27:$O$55*U27:U$55*($E27:$E$55=$D26)),IF(ISNUMBER(Data!O26),100*ABS($G26-(Data!O26-$K26)/$M26),0),IF(ISNUMBER(Data!O26),100*ABS($G26-(Data!O26-$K26)/$M26),0)))</f>
        <v>46.666666666666664</v>
      </c>
      <c r="V26" s="300">
        <f ca="1">IF($H26=0,0,CHOOSE($H26,SUMPRODUCT($O27:$O$55*V27:V$55*($E27:$E$55=$D26)),IF(ISNUMBER(Data!P26),100*ABS($G26-(Data!P26-$K26)/$M26),0),IF(ISNUMBER(Data!P26),100*ABS($G26-(Data!P26-$K26)/$M26),0)))</f>
        <v>33.333333333333329</v>
      </c>
      <c r="W26" s="301">
        <f ca="1">IF($H26=0,0,CHOOSE($H26,SUMPRODUCT($O27:$O$55*W27:W$55*($E27:$E$55=$D26)),IF(ISNUMBER(Data!Q26),100*ABS($G26-(Data!Q26-$K26)/$M26),0),IF(ISNUMBER(Data!Q26),100*ABS($G26-(Data!Q26-$K26)/$M26),0)))</f>
        <v>46.666666666666664</v>
      </c>
      <c r="X26" s="300">
        <f ca="1">IF($H26=0,0,CHOOSE($H26,SUMPRODUCT($O27:$O$55*X27:X$55*($E27:$E$55=$D26)),IF(ISNUMBER(Data!R26),100*ABS($G26-(Data!R26-$K26)/$M26),0),IF(ISNUMBER(Data!R26),100*ABS($G26-(Data!R26-$K26)/$M26),0)))</f>
        <v>0</v>
      </c>
      <c r="Y26" s="301">
        <f ca="1">IF($H26=0,0,CHOOSE($H26,SUMPRODUCT($O27:$O$55*Y27:Y$55*($E27:$E$55=$D26)),IF(ISNUMBER(Data!S26),100*ABS($G26-(Data!S26-$K26)/$M26),0),IF(ISNUMBER(Data!S26),100*ABS($G26-(Data!S26-$K26)/$M26),0)))</f>
        <v>68.888888888888886</v>
      </c>
      <c r="Z26" s="300">
        <f ca="1">IF($H26=0,0,CHOOSE($H26,SUMPRODUCT($O27:$O$55*Z27:Z$55*($E27:$E$55=$D26)),IF(ISNUMBER(Data!T26),100*ABS($G26-(Data!T26-$K26)/$M26),0),IF(ISNUMBER(Data!T26),100*ABS($G26-(Data!T26-$K26)/$M26),0)))</f>
        <v>46.666666666666664</v>
      </c>
      <c r="AA26" s="301">
        <f ca="1">IF($H26=0,0,CHOOSE($H26,SUMPRODUCT($O27:$O$55*AA27:AA$55*($E27:$E$55=$D26)),IF(ISNUMBER(Data!U26),100*ABS($G26-(Data!U26-$K26)/$M26),0),IF(ISNUMBER(Data!U26),100*ABS($G26-(Data!U26-$K26)/$M26),0)))</f>
        <v>34.444444444444443</v>
      </c>
      <c r="AB26" s="300">
        <f ca="1">IF($H26=0,0,CHOOSE($H26,SUMPRODUCT($O27:$O$55*AB27:AB$55*($E27:$E$55=$D26)),IF(ISNUMBER(Data!V26),100*ABS($G26-(Data!V26-$K26)/$M26),0),IF(ISNUMBER(Data!V26),100*ABS($G26-(Data!V26-$K26)/$M26),0)))</f>
        <v>0</v>
      </c>
      <c r="AC26" s="301">
        <f>IF($H26=0,0,CHOOSE($H26,SUMPRODUCT($O27:$O$55*AC27:AC$55*($E27:$E$55=$D26)),IF(ISNUMBER(Data!W26),100*ABS($G26-(Data!W26-$K26)/$M26),0),IF(ISNUMBER(Data!W26),100*ABS($G26-(Data!W26-$K26)/$M26),0)))</f>
        <v>0</v>
      </c>
      <c r="AD26" s="300">
        <f>IF($H26=0,0,CHOOSE($H26,SUMPRODUCT($O27:$O$55*AD27:AD$55*($E27:$E$55=$D26)),IF(ISNUMBER(Data!X26),100*ABS($G26-(Data!X26-$K26)/$M26),0),IF(ISNUMBER(Data!X26),100*ABS($G26-(Data!X26-$K26)/$M26),0)))</f>
        <v>0</v>
      </c>
      <c r="AE26" s="301">
        <f>IF($H26=0,0,CHOOSE($H26,SUMPRODUCT($O27:$O$55*AE27:AE$55*($E27:$E$55=$D26)),IF(ISNUMBER(Data!Y26),100*ABS($G26-(Data!Y26-$K26)/$M26),0),IF(ISNUMBER(Data!Y26),100*ABS($G26-(Data!Y26-$K26)/$M26),0)))</f>
        <v>0</v>
      </c>
      <c r="AF26" s="300">
        <f>IF($H26=0,0,CHOOSE($H26,SUMPRODUCT($O27:$O$55*AF27:AF$55*($E27:$E$55=$D26)),IF(ISNUMBER(Data!Z26),100*ABS($G26-(Data!Z26-$K26)/$M26),0),IF(ISNUMBER(Data!Z26),100*ABS($G26-(Data!Z26-$K26)/$M26),0)))</f>
        <v>0</v>
      </c>
      <c r="AG26" s="301">
        <f>IF($H26=0,0,CHOOSE($H26,SUMPRODUCT($O27:$O$55*AG27:AG$55*($E27:$E$55=$D26)),IF(ISNUMBER(Data!AA26),100*ABS($G26-(Data!AA26-$K26)/$M26),0),IF(ISNUMBER(Data!AA26),100*ABS($G26-(Data!AA26-$K26)/$M26),0)))</f>
        <v>0</v>
      </c>
      <c r="AH26" s="300">
        <f>IF($H26=0,0,CHOOSE($H26,SUMPRODUCT($O27:$O$55*AH27:AH$55*($E27:$E$55=$D26)),IF(ISNUMBER(Data!AB26),100*ABS($G26-(Data!AB26-$K26)/$M26),0),IF(ISNUMBER(Data!AB26),100*ABS($G26-(Data!AB26-$K26)/$M26),0)))</f>
        <v>0</v>
      </c>
      <c r="AI26" s="301">
        <f>IF($H26=0,0,CHOOSE($H26,SUMPRODUCT($O27:$O$55*AI27:AI$55*($E27:$E$55=$D26)),IF(ISNUMBER(Data!AC26),100*ABS($G26-(Data!AC26-$K26)/$M26),0),IF(ISNUMBER(Data!AC26),100*ABS($G26-(Data!AC26-$K26)/$M26),0)))</f>
        <v>0</v>
      </c>
      <c r="AJ26" s="300">
        <f>IF($H26=0,0,CHOOSE($H26,SUMPRODUCT($O27:$O$55*AJ27:AJ$55*($E27:$E$55=$D26)),IF(ISNUMBER(Data!AD26),100*ABS($G26-(Data!AD26-$K26)/$M26),0),IF(ISNUMBER(Data!AD26),100*ABS($G26-(Data!AD26-$K26)/$M26),0)))</f>
        <v>0</v>
      </c>
      <c r="AK26" s="301">
        <f>IF($H26=0,0,CHOOSE($H26,SUMPRODUCT($O27:$O$55*AK27:AK$55*($E27:$E$55=$D26)),IF(ISNUMBER(Data!AE26),100*ABS($G26-(Data!AE26-$K26)/$M26),0),IF(ISNUMBER(Data!AE26),100*ABS($G26-(Data!AE26-$K26)/$M26),0)))</f>
        <v>0</v>
      </c>
    </row>
    <row r="27" spans="1:37" s="78" customFormat="1" ht="15">
      <c r="A27" s="580">
        <f t="shared" si="3"/>
        <v>27</v>
      </c>
      <c r="B27" s="297">
        <f>tblIndicators!A24</f>
        <v>23</v>
      </c>
      <c r="C27" s="297">
        <f>tblIndicators!B24</f>
        <v>0</v>
      </c>
      <c r="D27" s="297" t="str">
        <f>tblIndicators!D24</f>
        <v>ORG2.1</v>
      </c>
      <c r="E27" s="297" t="str">
        <f>tblIndicators!E24</f>
        <v>ORG</v>
      </c>
      <c r="F27" s="297">
        <f>tblIndicators!F24</f>
        <v>2</v>
      </c>
      <c r="G27" s="297" t="str">
        <f>tblIndicators!Y24</f>
        <v/>
      </c>
      <c r="H27" s="297">
        <f>tblIndicators!Z24</f>
        <v>1</v>
      </c>
      <c r="I27" s="298" t="str">
        <f>tblIndicators!AA24</f>
        <v/>
      </c>
      <c r="J27" s="297">
        <f>tblIndicators!AB24</f>
        <v>0</v>
      </c>
      <c r="K27" s="297" t="str">
        <f t="shared" ca="1" si="1"/>
        <v>-</v>
      </c>
      <c r="L27" s="299" t="str">
        <f t="shared" ca="1" si="2"/>
        <v>-</v>
      </c>
      <c r="M27" s="297" t="str">
        <f t="shared" si="4"/>
        <v>-</v>
      </c>
      <c r="N27" s="426" t="str">
        <f>REPT(" ",F27)&amp;tblIndicators!AE24</f>
        <v xml:space="preserve">  2.1) Asociatividad</v>
      </c>
      <c r="O27" s="302">
        <f>tblIndicators!AD24</f>
        <v>0.5</v>
      </c>
      <c r="P27" s="300">
        <f ca="1">IF($H27=0,0,CHOOSE($H27,SUMPRODUCT($O28:$O$55*P28:P$55*($E28:$E$55=$D27)),IF(ISNUMBER(Data!J27),100*ABS($G27-(Data!J27-$K27)/$M27),0),IF(ISNUMBER(Data!J27),100*ABS($G27-(Data!J27-$K27)/$M27),0)))</f>
        <v>40</v>
      </c>
      <c r="Q27" s="301">
        <f ca="1">IF($H27=0,0,CHOOSE($H27,SUMPRODUCT($O28:$O$55*Q28:Q$55*($E28:$E$55=$D27)),IF(ISNUMBER(Data!K27),100*ABS($G27-(Data!K27-$K27)/$M27),0),IF(ISNUMBER(Data!K27),100*ABS($G27-(Data!K27-$K27)/$M27),0)))</f>
        <v>90</v>
      </c>
      <c r="R27" s="300">
        <f ca="1">IF($H27=0,0,CHOOSE($H27,SUMPRODUCT($O28:$O$55*R28:R$55*($E28:$E$55=$D27)),IF(ISNUMBER(Data!L27),100*ABS($G27-(Data!L27-$K27)/$M27),0),IF(ISNUMBER(Data!L27),100*ABS($G27-(Data!L27-$K27)/$M27),0)))</f>
        <v>70</v>
      </c>
      <c r="S27" s="301">
        <f ca="1">IF($H27=0,0,CHOOSE($H27,SUMPRODUCT($O28:$O$55*S28:S$55*($E28:$E$55=$D27)),IF(ISNUMBER(Data!M27),100*ABS($G27-(Data!M27-$K27)/$M27),0),IF(ISNUMBER(Data!M27),100*ABS($G27-(Data!M27-$K27)/$M27),0)))</f>
        <v>0</v>
      </c>
      <c r="T27" s="300">
        <f ca="1">IF($H27=0,0,CHOOSE($H27,SUMPRODUCT($O28:$O$55*T28:T$55*($E28:$E$55=$D27)),IF(ISNUMBER(Data!N27),100*ABS($G27-(Data!N27-$K27)/$M27),0),IF(ISNUMBER(Data!N27),100*ABS($G27-(Data!N27-$K27)/$M27),0)))</f>
        <v>70</v>
      </c>
      <c r="U27" s="301">
        <f ca="1">IF($H27=0,0,CHOOSE($H27,SUMPRODUCT($O28:$O$55*U28:U$55*($E28:$E$55=$D27)),IF(ISNUMBER(Data!O27),100*ABS($G27-(Data!O27-$K27)/$M27),0),IF(ISNUMBER(Data!O27),100*ABS($G27-(Data!O27-$K27)/$M27),0)))</f>
        <v>60</v>
      </c>
      <c r="V27" s="300">
        <f ca="1">IF($H27=0,0,CHOOSE($H27,SUMPRODUCT($O28:$O$55*V28:V$55*($E28:$E$55=$D27)),IF(ISNUMBER(Data!P27),100*ABS($G27-(Data!P27-$K27)/$M27),0),IF(ISNUMBER(Data!P27),100*ABS($G27-(Data!P27-$K27)/$M27),0)))</f>
        <v>50</v>
      </c>
      <c r="W27" s="301">
        <f ca="1">IF($H27=0,0,CHOOSE($H27,SUMPRODUCT($O28:$O$55*W28:W$55*($E28:$E$55=$D27)),IF(ISNUMBER(Data!Q27),100*ABS($G27-(Data!Q27-$K27)/$M27),0),IF(ISNUMBER(Data!Q27),100*ABS($G27-(Data!Q27-$K27)/$M27),0)))</f>
        <v>60</v>
      </c>
      <c r="X27" s="300">
        <f ca="1">IF($H27=0,0,CHOOSE($H27,SUMPRODUCT($O28:$O$55*X28:X$55*($E28:$E$55=$D27)),IF(ISNUMBER(Data!R27),100*ABS($G27-(Data!R27-$K27)/$M27),0),IF(ISNUMBER(Data!R27),100*ABS($G27-(Data!R27-$K27)/$M27),0)))</f>
        <v>0</v>
      </c>
      <c r="Y27" s="301">
        <f ca="1">IF($H27=0,0,CHOOSE($H27,SUMPRODUCT($O28:$O$55*Y28:Y$55*($E28:$E$55=$D27)),IF(ISNUMBER(Data!S27),100*ABS($G27-(Data!S27-$K27)/$M27),0),IF(ISNUMBER(Data!S27),100*ABS($G27-(Data!S27-$K27)/$M27),0)))</f>
        <v>60</v>
      </c>
      <c r="Z27" s="300">
        <f ca="1">IF($H27=0,0,CHOOSE($H27,SUMPRODUCT($O28:$O$55*Z28:Z$55*($E28:$E$55=$D27)),IF(ISNUMBER(Data!T27),100*ABS($G27-(Data!T27-$K27)/$M27),0),IF(ISNUMBER(Data!T27),100*ABS($G27-(Data!T27-$K27)/$M27),0)))</f>
        <v>60</v>
      </c>
      <c r="AA27" s="301">
        <f ca="1">IF($H27=0,0,CHOOSE($H27,SUMPRODUCT($O28:$O$55*AA28:AA$55*($E28:$E$55=$D27)),IF(ISNUMBER(Data!U27),100*ABS($G27-(Data!U27-$K27)/$M27),0),IF(ISNUMBER(Data!U27),100*ABS($G27-(Data!U27-$K27)/$M27),0)))</f>
        <v>30</v>
      </c>
      <c r="AB27" s="300">
        <f ca="1">IF($H27=0,0,CHOOSE($H27,SUMPRODUCT($O28:$O$55*AB28:AB$55*($E28:$E$55=$D27)),IF(ISNUMBER(Data!V27),100*ABS($G27-(Data!V27-$K27)/$M27),0),IF(ISNUMBER(Data!V27),100*ABS($G27-(Data!V27-$K27)/$M27),0)))</f>
        <v>0</v>
      </c>
      <c r="AC27" s="301">
        <f>IF($H27=0,0,CHOOSE($H27,SUMPRODUCT($O28:$O$55*AC28:AC$55*($E28:$E$55=$D27)),IF(ISNUMBER(Data!W27),100*ABS($G27-(Data!W27-$K27)/$M27),0),IF(ISNUMBER(Data!W27),100*ABS($G27-(Data!W27-$K27)/$M27),0)))</f>
        <v>0</v>
      </c>
      <c r="AD27" s="300">
        <f>IF($H27=0,0,CHOOSE($H27,SUMPRODUCT($O28:$O$55*AD28:AD$55*($E28:$E$55=$D27)),IF(ISNUMBER(Data!X27),100*ABS($G27-(Data!X27-$K27)/$M27),0),IF(ISNUMBER(Data!X27),100*ABS($G27-(Data!X27-$K27)/$M27),0)))</f>
        <v>0</v>
      </c>
      <c r="AE27" s="301">
        <f>IF($H27=0,0,CHOOSE($H27,SUMPRODUCT($O28:$O$55*AE28:AE$55*($E28:$E$55=$D27)),IF(ISNUMBER(Data!Y27),100*ABS($G27-(Data!Y27-$K27)/$M27),0),IF(ISNUMBER(Data!Y27),100*ABS($G27-(Data!Y27-$K27)/$M27),0)))</f>
        <v>0</v>
      </c>
      <c r="AF27" s="300">
        <f>IF($H27=0,0,CHOOSE($H27,SUMPRODUCT($O28:$O$55*AF28:AF$55*($E28:$E$55=$D27)),IF(ISNUMBER(Data!Z27),100*ABS($G27-(Data!Z27-$K27)/$M27),0),IF(ISNUMBER(Data!Z27),100*ABS($G27-(Data!Z27-$K27)/$M27),0)))</f>
        <v>0</v>
      </c>
      <c r="AG27" s="301">
        <f>IF($H27=0,0,CHOOSE($H27,SUMPRODUCT($O28:$O$55*AG28:AG$55*($E28:$E$55=$D27)),IF(ISNUMBER(Data!AA27),100*ABS($G27-(Data!AA27-$K27)/$M27),0),IF(ISNUMBER(Data!AA27),100*ABS($G27-(Data!AA27-$K27)/$M27),0)))</f>
        <v>0</v>
      </c>
      <c r="AH27" s="300">
        <f>IF($H27=0,0,CHOOSE($H27,SUMPRODUCT($O28:$O$55*AH28:AH$55*($E28:$E$55=$D27)),IF(ISNUMBER(Data!AB27),100*ABS($G27-(Data!AB27-$K27)/$M27),0),IF(ISNUMBER(Data!AB27),100*ABS($G27-(Data!AB27-$K27)/$M27),0)))</f>
        <v>0</v>
      </c>
      <c r="AI27" s="301">
        <f>IF($H27=0,0,CHOOSE($H27,SUMPRODUCT($O28:$O$55*AI28:AI$55*($E28:$E$55=$D27)),IF(ISNUMBER(Data!AC27),100*ABS($G27-(Data!AC27-$K27)/$M27),0),IF(ISNUMBER(Data!AC27),100*ABS($G27-(Data!AC27-$K27)/$M27),0)))</f>
        <v>0</v>
      </c>
      <c r="AJ27" s="300">
        <f>IF($H27=0,0,CHOOSE($H27,SUMPRODUCT($O28:$O$55*AJ28:AJ$55*($E28:$E$55=$D27)),IF(ISNUMBER(Data!AD27),100*ABS($G27-(Data!AD27-$K27)/$M27),0),IF(ISNUMBER(Data!AD27),100*ABS($G27-(Data!AD27-$K27)/$M27),0)))</f>
        <v>0</v>
      </c>
      <c r="AK27" s="301">
        <f>IF($H27=0,0,CHOOSE($H27,SUMPRODUCT($O28:$O$55*AK28:AK$55*($E28:$E$55=$D27)),IF(ISNUMBER(Data!AE27),100*ABS($G27-(Data!AE27-$K27)/$M27),0),IF(ISNUMBER(Data!AE27),100*ABS($G27-(Data!AE27-$K27)/$M27),0)))</f>
        <v>0</v>
      </c>
    </row>
    <row r="28" spans="1:37" s="78" customFormat="1" ht="15">
      <c r="A28" s="580">
        <f t="shared" si="3"/>
        <v>28</v>
      </c>
      <c r="B28" s="297">
        <f>tblIndicators!A25</f>
        <v>24</v>
      </c>
      <c r="C28" s="297">
        <f>tblIndicators!B25</f>
        <v>0</v>
      </c>
      <c r="D28" s="297" t="str">
        <f>tblIndicators!D25</f>
        <v>ORG2.1.1</v>
      </c>
      <c r="E28" s="297" t="str">
        <f>tblIndicators!E25</f>
        <v>ORG2.1</v>
      </c>
      <c r="F28" s="297">
        <f>tblIndicators!F25</f>
        <v>3</v>
      </c>
      <c r="G28" s="297">
        <f>tblIndicators!Y25</f>
        <v>0</v>
      </c>
      <c r="H28" s="297">
        <f>tblIndicators!Z25</f>
        <v>3</v>
      </c>
      <c r="I28" s="298">
        <f>tblIndicators!AA25</f>
        <v>0</v>
      </c>
      <c r="J28" s="297">
        <f>tblIndicators!AB25</f>
        <v>2</v>
      </c>
      <c r="K28" s="297">
        <f t="shared" ca="1" si="1"/>
        <v>0</v>
      </c>
      <c r="L28" s="299">
        <f t="shared" ca="1" si="2"/>
        <v>2</v>
      </c>
      <c r="M28" s="297">
        <f t="shared" ca="1" si="4"/>
        <v>2</v>
      </c>
      <c r="N28" s="426" t="str">
        <f>REPT(" ",F28)&amp;tblIndicators!AE25</f>
        <v xml:space="preserve">   2.1.1) 16.¿Cuán dinámicas son las asociaciones?</v>
      </c>
      <c r="O28" s="302">
        <f>tblIndicators!AD25</f>
        <v>0.2</v>
      </c>
      <c r="P28" s="300">
        <f ca="1">IF($H28=0,0,CHOOSE($H28,SUMPRODUCT($O29:$O$55*P29:P$55*($E29:$E$55=$D28)),IF(ISNUMBER(Data!J28),100*ABS($G28-(Data!J28-$K28)/$M28),0),IF(ISNUMBER(Data!J28),100*ABS($G28-(Data!J28-$K28)/$M28),0)))</f>
        <v>100</v>
      </c>
      <c r="Q28" s="301">
        <f ca="1">IF($H28=0,0,CHOOSE($H28,SUMPRODUCT($O29:$O$55*Q29:Q$55*($E29:$E$55=$D28)),IF(ISNUMBER(Data!K28),100*ABS($G28-(Data!K28-$K28)/$M28),0),IF(ISNUMBER(Data!K28),100*ABS($G28-(Data!K28-$K28)/$M28),0)))</f>
        <v>50</v>
      </c>
      <c r="R28" s="300">
        <f ca="1">IF($H28=0,0,CHOOSE($H28,SUMPRODUCT($O29:$O$55*R29:R$55*($E29:$E$55=$D28)),IF(ISNUMBER(Data!L28),100*ABS($G28-(Data!L28-$K28)/$M28),0),IF(ISNUMBER(Data!L28),100*ABS($G28-(Data!L28-$K28)/$M28),0)))</f>
        <v>50</v>
      </c>
      <c r="S28" s="301">
        <f ca="1">IF($H28=0,0,CHOOSE($H28,SUMPRODUCT($O29:$O$55*S29:S$55*($E29:$E$55=$D28)),IF(ISNUMBER(Data!M28),100*ABS($G28-(Data!M28-$K28)/$M28),0),IF(ISNUMBER(Data!M28),100*ABS($G28-(Data!M28-$K28)/$M28),0)))</f>
        <v>0</v>
      </c>
      <c r="T28" s="300">
        <f ca="1">IF($H28=0,0,CHOOSE($H28,SUMPRODUCT($O29:$O$55*T29:T$55*($E29:$E$55=$D28)),IF(ISNUMBER(Data!N28),100*ABS($G28-(Data!N28-$K28)/$M28),0),IF(ISNUMBER(Data!N28),100*ABS($G28-(Data!N28-$K28)/$M28),0)))</f>
        <v>100</v>
      </c>
      <c r="U28" s="301">
        <f ca="1">IF($H28=0,0,CHOOSE($H28,SUMPRODUCT($O29:$O$55*U29:U$55*($E29:$E$55=$D28)),IF(ISNUMBER(Data!O28),100*ABS($G28-(Data!O28-$K28)/$M28),0),IF(ISNUMBER(Data!O28),100*ABS($G28-(Data!O28-$K28)/$M28),0)))</f>
        <v>50</v>
      </c>
      <c r="V28" s="300">
        <f ca="1">IF($H28=0,0,CHOOSE($H28,SUMPRODUCT($O29:$O$55*V29:V$55*($E29:$E$55=$D28)),IF(ISNUMBER(Data!P28),100*ABS($G28-(Data!P28-$K28)/$M28),0),IF(ISNUMBER(Data!P28),100*ABS($G28-(Data!P28-$K28)/$M28),0)))</f>
        <v>100</v>
      </c>
      <c r="W28" s="301">
        <f ca="1">IF($H28=0,0,CHOOSE($H28,SUMPRODUCT($O29:$O$55*W29:W$55*($E29:$E$55=$D28)),IF(ISNUMBER(Data!Q28),100*ABS($G28-(Data!Q28-$K28)/$M28),0),IF(ISNUMBER(Data!Q28),100*ABS($G28-(Data!Q28-$K28)/$M28),0)))</f>
        <v>50</v>
      </c>
      <c r="X28" s="300">
        <f ca="1">IF($H28=0,0,CHOOSE($H28,SUMPRODUCT($O29:$O$55*X29:X$55*($E29:$E$55=$D28)),IF(ISNUMBER(Data!R28),100*ABS($G28-(Data!R28-$K28)/$M28),0),IF(ISNUMBER(Data!R28),100*ABS($G28-(Data!R28-$K28)/$M28),0)))</f>
        <v>0</v>
      </c>
      <c r="Y28" s="301">
        <f ca="1">IF($H28=0,0,CHOOSE($H28,SUMPRODUCT($O29:$O$55*Y29:Y$55*($E29:$E$55=$D28)),IF(ISNUMBER(Data!S28),100*ABS($G28-(Data!S28-$K28)/$M28),0),IF(ISNUMBER(Data!S28),100*ABS($G28-(Data!S28-$K28)/$M28),0)))</f>
        <v>0</v>
      </c>
      <c r="Z28" s="300">
        <f ca="1">IF($H28=0,0,CHOOSE($H28,SUMPRODUCT($O29:$O$55*Z29:Z$55*($E29:$E$55=$D28)),IF(ISNUMBER(Data!T28),100*ABS($G28-(Data!T28-$K28)/$M28),0),IF(ISNUMBER(Data!T28),100*ABS($G28-(Data!T28-$K28)/$M28),0)))</f>
        <v>0</v>
      </c>
      <c r="AA28" s="301">
        <f ca="1">IF($H28=0,0,CHOOSE($H28,SUMPRODUCT($O29:$O$55*AA29:AA$55*($E29:$E$55=$D28)),IF(ISNUMBER(Data!U28),100*ABS($G28-(Data!U28-$K28)/$M28),0),IF(ISNUMBER(Data!U28),100*ABS($G28-(Data!U28-$K28)/$M28),0)))</f>
        <v>0</v>
      </c>
      <c r="AB28" s="300">
        <f ca="1">IF($H28=0,0,CHOOSE($H28,SUMPRODUCT($O29:$O$55*AB29:AB$55*($E29:$E$55=$D28)),IF(ISNUMBER(Data!V28),100*ABS($G28-(Data!V28-$K28)/$M28),0),IF(ISNUMBER(Data!V28),100*ABS($G28-(Data!V28-$K28)/$M28),0)))</f>
        <v>0</v>
      </c>
      <c r="AC28" s="301">
        <f>IF($H28=0,0,CHOOSE($H28,SUMPRODUCT($O29:$O$55*AC29:AC$55*($E29:$E$55=$D28)),IF(ISNUMBER(Data!W28),100*ABS($G28-(Data!W28-$K28)/$M28),0),IF(ISNUMBER(Data!W28),100*ABS($G28-(Data!W28-$K28)/$M28),0)))</f>
        <v>0</v>
      </c>
      <c r="AD28" s="300">
        <f>IF($H28=0,0,CHOOSE($H28,SUMPRODUCT($O29:$O$55*AD29:AD$55*($E29:$E$55=$D28)),IF(ISNUMBER(Data!X28),100*ABS($G28-(Data!X28-$K28)/$M28),0),IF(ISNUMBER(Data!X28),100*ABS($G28-(Data!X28-$K28)/$M28),0)))</f>
        <v>0</v>
      </c>
      <c r="AE28" s="301">
        <f>IF($H28=0,0,CHOOSE($H28,SUMPRODUCT($O29:$O$55*AE29:AE$55*($E29:$E$55=$D28)),IF(ISNUMBER(Data!Y28),100*ABS($G28-(Data!Y28-$K28)/$M28),0),IF(ISNUMBER(Data!Y28),100*ABS($G28-(Data!Y28-$K28)/$M28),0)))</f>
        <v>0</v>
      </c>
      <c r="AF28" s="300">
        <f>IF($H28=0,0,CHOOSE($H28,SUMPRODUCT($O29:$O$55*AF29:AF$55*($E29:$E$55=$D28)),IF(ISNUMBER(Data!Z28),100*ABS($G28-(Data!Z28-$K28)/$M28),0),IF(ISNUMBER(Data!Z28),100*ABS($G28-(Data!Z28-$K28)/$M28),0)))</f>
        <v>0</v>
      </c>
      <c r="AG28" s="301">
        <f>IF($H28=0,0,CHOOSE($H28,SUMPRODUCT($O29:$O$55*AG29:AG$55*($E29:$E$55=$D28)),IF(ISNUMBER(Data!AA28),100*ABS($G28-(Data!AA28-$K28)/$M28),0),IF(ISNUMBER(Data!AA28),100*ABS($G28-(Data!AA28-$K28)/$M28),0)))</f>
        <v>0</v>
      </c>
      <c r="AH28" s="300">
        <f>IF($H28=0,0,CHOOSE($H28,SUMPRODUCT($O29:$O$55*AH29:AH$55*($E29:$E$55=$D28)),IF(ISNUMBER(Data!AB28),100*ABS($G28-(Data!AB28-$K28)/$M28),0),IF(ISNUMBER(Data!AB28),100*ABS($G28-(Data!AB28-$K28)/$M28),0)))</f>
        <v>0</v>
      </c>
      <c r="AI28" s="301">
        <f>IF($H28=0,0,CHOOSE($H28,SUMPRODUCT($O29:$O$55*AI29:AI$55*($E29:$E$55=$D28)),IF(ISNUMBER(Data!AC28),100*ABS($G28-(Data!AC28-$K28)/$M28),0),IF(ISNUMBER(Data!AC28),100*ABS($G28-(Data!AC28-$K28)/$M28),0)))</f>
        <v>0</v>
      </c>
      <c r="AJ28" s="300">
        <f>IF($H28=0,0,CHOOSE($H28,SUMPRODUCT($O29:$O$55*AJ29:AJ$55*($E29:$E$55=$D28)),IF(ISNUMBER(Data!AD28),100*ABS($G28-(Data!AD28-$K28)/$M28),0),IF(ISNUMBER(Data!AD28),100*ABS($G28-(Data!AD28-$K28)/$M28),0)))</f>
        <v>0</v>
      </c>
      <c r="AK28" s="301">
        <f>IF($H28=0,0,CHOOSE($H28,SUMPRODUCT($O29:$O$55*AK29:AK$55*($E29:$E$55=$D28)),IF(ISNUMBER(Data!AE28),100*ABS($G28-(Data!AE28-$K28)/$M28),0),IF(ISNUMBER(Data!AE28),100*ABS($G28-(Data!AE28-$K28)/$M28),0)))</f>
        <v>0</v>
      </c>
    </row>
    <row r="29" spans="1:37" s="78" customFormat="1" ht="15">
      <c r="A29" s="580">
        <f t="shared" si="3"/>
        <v>29</v>
      </c>
      <c r="B29" s="297">
        <f>tblIndicators!A26</f>
        <v>25</v>
      </c>
      <c r="C29" s="297">
        <f>tblIndicators!B26</f>
        <v>0</v>
      </c>
      <c r="D29" s="297" t="str">
        <f>tblIndicators!D26</f>
        <v>ORG2.1.2</v>
      </c>
      <c r="E29" s="297" t="str">
        <f>tblIndicators!E26</f>
        <v>ORG2.1</v>
      </c>
      <c r="F29" s="297">
        <f>tblIndicators!F26</f>
        <v>3</v>
      </c>
      <c r="G29" s="297">
        <f>tblIndicators!Y26</f>
        <v>0</v>
      </c>
      <c r="H29" s="297">
        <f>tblIndicators!Z26</f>
        <v>3</v>
      </c>
      <c r="I29" s="298">
        <f>tblIndicators!AA26</f>
        <v>0</v>
      </c>
      <c r="J29" s="297">
        <f>tblIndicators!AB26</f>
        <v>2</v>
      </c>
      <c r="K29" s="297">
        <f t="shared" ca="1" si="1"/>
        <v>0</v>
      </c>
      <c r="L29" s="299">
        <f t="shared" ca="1" si="2"/>
        <v>2</v>
      </c>
      <c r="M29" s="297">
        <f t="shared" ca="1" si="4"/>
        <v>2</v>
      </c>
      <c r="N29" s="426" t="str">
        <f>REPT(" ",F29)&amp;tblIndicators!AE26</f>
        <v xml:space="preserve">   2.1.2) 17.¿Qué nivel de inclusión  presentan estas asociaciones? </v>
      </c>
      <c r="O29" s="302">
        <f>tblIndicators!AD26</f>
        <v>0.2</v>
      </c>
      <c r="P29" s="300">
        <f ca="1">IF($H29=0,0,CHOOSE($H29,SUMPRODUCT($O30:$O$55*P30:P$55*($E30:$E$55=$D29)),IF(ISNUMBER(Data!J29),100*ABS($G29-(Data!J29-$K29)/$M29),0),IF(ISNUMBER(Data!J29),100*ABS($G29-(Data!J29-$K29)/$M29),0)))</f>
        <v>0</v>
      </c>
      <c r="Q29" s="301">
        <f ca="1">IF($H29=0,0,CHOOSE($H29,SUMPRODUCT($O30:$O$55*Q30:Q$55*($E30:$E$55=$D29)),IF(ISNUMBER(Data!K29),100*ABS($G29-(Data!K29-$K29)/$M29),0),IF(ISNUMBER(Data!K29),100*ABS($G29-(Data!K29-$K29)/$M29),0)))</f>
        <v>100</v>
      </c>
      <c r="R29" s="300">
        <f ca="1">IF($H29=0,0,CHOOSE($H29,SUMPRODUCT($O30:$O$55*R30:R$55*($E30:$E$55=$D29)),IF(ISNUMBER(Data!L29),100*ABS($G29-(Data!L29-$K29)/$M29),0),IF(ISNUMBER(Data!L29),100*ABS($G29-(Data!L29-$K29)/$M29),0)))</f>
        <v>50</v>
      </c>
      <c r="S29" s="301">
        <f ca="1">IF($H29=0,0,CHOOSE($H29,SUMPRODUCT($O30:$O$55*S30:S$55*($E30:$E$55=$D29)),IF(ISNUMBER(Data!M29),100*ABS($G29-(Data!M29-$K29)/$M29),0),IF(ISNUMBER(Data!M29),100*ABS($G29-(Data!M29-$K29)/$M29),0)))</f>
        <v>0</v>
      </c>
      <c r="T29" s="300">
        <f ca="1">IF($H29=0,0,CHOOSE($H29,SUMPRODUCT($O30:$O$55*T30:T$55*($E30:$E$55=$D29)),IF(ISNUMBER(Data!N29),100*ABS($G29-(Data!N29-$K29)/$M29),0),IF(ISNUMBER(Data!N29),100*ABS($G29-(Data!N29-$K29)/$M29),0)))</f>
        <v>50</v>
      </c>
      <c r="U29" s="301">
        <f ca="1">IF($H29=0,0,CHOOSE($H29,SUMPRODUCT($O30:$O$55*U30:U$55*($E30:$E$55=$D29)),IF(ISNUMBER(Data!O29),100*ABS($G29-(Data!O29-$K29)/$M29),0),IF(ISNUMBER(Data!O29),100*ABS($G29-(Data!O29-$K29)/$M29),0)))</f>
        <v>50</v>
      </c>
      <c r="V29" s="300">
        <f ca="1">IF($H29=0,0,CHOOSE($H29,SUMPRODUCT($O30:$O$55*V30:V$55*($E30:$E$55=$D29)),IF(ISNUMBER(Data!P29),100*ABS($G29-(Data!P29-$K29)/$M29),0),IF(ISNUMBER(Data!P29),100*ABS($G29-(Data!P29-$K29)/$M29),0)))</f>
        <v>0</v>
      </c>
      <c r="W29" s="301">
        <f ca="1">IF($H29=0,0,CHOOSE($H29,SUMPRODUCT($O30:$O$55*W30:W$55*($E30:$E$55=$D29)),IF(ISNUMBER(Data!Q29),100*ABS($G29-(Data!Q29-$K29)/$M29),0),IF(ISNUMBER(Data!Q29),100*ABS($G29-(Data!Q29-$K29)/$M29),0)))</f>
        <v>50</v>
      </c>
      <c r="X29" s="300">
        <f ca="1">IF($H29=0,0,CHOOSE($H29,SUMPRODUCT($O30:$O$55*X30:X$55*($E30:$E$55=$D29)),IF(ISNUMBER(Data!R29),100*ABS($G29-(Data!R29-$K29)/$M29),0),IF(ISNUMBER(Data!R29),100*ABS($G29-(Data!R29-$K29)/$M29),0)))</f>
        <v>0</v>
      </c>
      <c r="Y29" s="301">
        <f ca="1">IF($H29=0,0,CHOOSE($H29,SUMPRODUCT($O30:$O$55*Y30:Y$55*($E30:$E$55=$D29)),IF(ISNUMBER(Data!S29),100*ABS($G29-(Data!S29-$K29)/$M29),0),IF(ISNUMBER(Data!S29),100*ABS($G29-(Data!S29-$K29)/$M29),0)))</f>
        <v>100</v>
      </c>
      <c r="Z29" s="300">
        <f ca="1">IF($H29=0,0,CHOOSE($H29,SUMPRODUCT($O30:$O$55*Z30:Z$55*($E30:$E$55=$D29)),IF(ISNUMBER(Data!T29),100*ABS($G29-(Data!T29-$K29)/$M29),0),IF(ISNUMBER(Data!T29),100*ABS($G29-(Data!T29-$K29)/$M29),0)))</f>
        <v>50</v>
      </c>
      <c r="AA29" s="301">
        <f ca="1">IF($H29=0,0,CHOOSE($H29,SUMPRODUCT($O30:$O$55*AA30:AA$55*($E30:$E$55=$D29)),IF(ISNUMBER(Data!U29),100*ABS($G29-(Data!U29-$K29)/$M29),0),IF(ISNUMBER(Data!U29),100*ABS($G29-(Data!U29-$K29)/$M29),0)))</f>
        <v>0</v>
      </c>
      <c r="AB29" s="300">
        <f ca="1">IF($H29=0,0,CHOOSE($H29,SUMPRODUCT($O30:$O$55*AB30:AB$55*($E30:$E$55=$D29)),IF(ISNUMBER(Data!V29),100*ABS($G29-(Data!V29-$K29)/$M29),0),IF(ISNUMBER(Data!V29),100*ABS($G29-(Data!V29-$K29)/$M29),0)))</f>
        <v>0</v>
      </c>
      <c r="AC29" s="301">
        <f>IF($H29=0,0,CHOOSE($H29,SUMPRODUCT($O30:$O$55*AC30:AC$55*($E30:$E$55=$D29)),IF(ISNUMBER(Data!W29),100*ABS($G29-(Data!W29-$K29)/$M29),0),IF(ISNUMBER(Data!W29),100*ABS($G29-(Data!W29-$K29)/$M29),0)))</f>
        <v>0</v>
      </c>
      <c r="AD29" s="300">
        <f>IF($H29=0,0,CHOOSE($H29,SUMPRODUCT($O30:$O$55*AD30:AD$55*($E30:$E$55=$D29)),IF(ISNUMBER(Data!X29),100*ABS($G29-(Data!X29-$K29)/$M29),0),IF(ISNUMBER(Data!X29),100*ABS($G29-(Data!X29-$K29)/$M29),0)))</f>
        <v>0</v>
      </c>
      <c r="AE29" s="301">
        <f>IF($H29=0,0,CHOOSE($H29,SUMPRODUCT($O30:$O$55*AE30:AE$55*($E30:$E$55=$D29)),IF(ISNUMBER(Data!Y29),100*ABS($G29-(Data!Y29-$K29)/$M29),0),IF(ISNUMBER(Data!Y29),100*ABS($G29-(Data!Y29-$K29)/$M29),0)))</f>
        <v>0</v>
      </c>
      <c r="AF29" s="300">
        <f>IF($H29=0,0,CHOOSE($H29,SUMPRODUCT($O30:$O$55*AF30:AF$55*($E30:$E$55=$D29)),IF(ISNUMBER(Data!Z29),100*ABS($G29-(Data!Z29-$K29)/$M29),0),IF(ISNUMBER(Data!Z29),100*ABS($G29-(Data!Z29-$K29)/$M29),0)))</f>
        <v>0</v>
      </c>
      <c r="AG29" s="301">
        <f>IF($H29=0,0,CHOOSE($H29,SUMPRODUCT($O30:$O$55*AG30:AG$55*($E30:$E$55=$D29)),IF(ISNUMBER(Data!AA29),100*ABS($G29-(Data!AA29-$K29)/$M29),0),IF(ISNUMBER(Data!AA29),100*ABS($G29-(Data!AA29-$K29)/$M29),0)))</f>
        <v>0</v>
      </c>
      <c r="AH29" s="300">
        <f>IF($H29=0,0,CHOOSE($H29,SUMPRODUCT($O30:$O$55*AH30:AH$55*($E30:$E$55=$D29)),IF(ISNUMBER(Data!AB29),100*ABS($G29-(Data!AB29-$K29)/$M29),0),IF(ISNUMBER(Data!AB29),100*ABS($G29-(Data!AB29-$K29)/$M29),0)))</f>
        <v>0</v>
      </c>
      <c r="AI29" s="301">
        <f>IF($H29=0,0,CHOOSE($H29,SUMPRODUCT($O30:$O$55*AI30:AI$55*($E30:$E$55=$D29)),IF(ISNUMBER(Data!AC29),100*ABS($G29-(Data!AC29-$K29)/$M29),0),IF(ISNUMBER(Data!AC29),100*ABS($G29-(Data!AC29-$K29)/$M29),0)))</f>
        <v>0</v>
      </c>
      <c r="AJ29" s="300">
        <f>IF($H29=0,0,CHOOSE($H29,SUMPRODUCT($O30:$O$55*AJ30:AJ$55*($E30:$E$55=$D29)),IF(ISNUMBER(Data!AD29),100*ABS($G29-(Data!AD29-$K29)/$M29),0),IF(ISNUMBER(Data!AD29),100*ABS($G29-(Data!AD29-$K29)/$M29),0)))</f>
        <v>0</v>
      </c>
      <c r="AK29" s="301">
        <f>IF($H29=0,0,CHOOSE($H29,SUMPRODUCT($O30:$O$55*AK30:AK$55*($E30:$E$55=$D29)),IF(ISNUMBER(Data!AE29),100*ABS($G29-(Data!AE29-$K29)/$M29),0),IF(ISNUMBER(Data!AE29),100*ABS($G29-(Data!AE29-$K29)/$M29),0)))</f>
        <v>0</v>
      </c>
    </row>
    <row r="30" spans="1:37" s="78" customFormat="1" ht="30">
      <c r="A30" s="580">
        <f t="shared" si="3"/>
        <v>30</v>
      </c>
      <c r="B30" s="297">
        <f>tblIndicators!A27</f>
        <v>26</v>
      </c>
      <c r="C30" s="297">
        <f>tblIndicators!B27</f>
        <v>0</v>
      </c>
      <c r="D30" s="297" t="str">
        <f>tblIndicators!D27</f>
        <v>ORG2.1.3</v>
      </c>
      <c r="E30" s="297" t="str">
        <f>tblIndicators!E27</f>
        <v>ORG2.1</v>
      </c>
      <c r="F30" s="297">
        <f>tblIndicators!F27</f>
        <v>3</v>
      </c>
      <c r="G30" s="297">
        <f>tblIndicators!Y27</f>
        <v>0</v>
      </c>
      <c r="H30" s="297">
        <f>tblIndicators!Z27</f>
        <v>3</v>
      </c>
      <c r="I30" s="298">
        <f>tblIndicators!AA27</f>
        <v>0</v>
      </c>
      <c r="J30" s="297">
        <f>tblIndicators!AB27</f>
        <v>2</v>
      </c>
      <c r="K30" s="297">
        <f t="shared" ca="1" si="1"/>
        <v>0</v>
      </c>
      <c r="L30" s="299">
        <f t="shared" ca="1" si="2"/>
        <v>2</v>
      </c>
      <c r="M30" s="297">
        <f t="shared" ca="1" si="4"/>
        <v>2</v>
      </c>
      <c r="N30" s="426" t="str">
        <f>REPT(" ",F30)&amp;tblIndicators!AE27</f>
        <v xml:space="preserve">   2.1.3) 18.¿Las asociaciones: participan en espacios de interlocución o diálogo con pares?</v>
      </c>
      <c r="O30" s="302">
        <f>tblIndicators!AD27</f>
        <v>0.2</v>
      </c>
      <c r="P30" s="300">
        <f ca="1">IF($H30=0,0,CHOOSE($H30,SUMPRODUCT($O31:$O$55*P31:P$55*($E31:$E$55=$D30)),IF(ISNUMBER(Data!J30),100*ABS($G30-(Data!J30-$K30)/$M30),0),IF(ISNUMBER(Data!J30),100*ABS($G30-(Data!J30-$K30)/$M30),0)))</f>
        <v>50</v>
      </c>
      <c r="Q30" s="301">
        <f ca="1">IF($H30=0,0,CHOOSE($H30,SUMPRODUCT($O31:$O$55*Q31:Q$55*($E31:$E$55=$D30)),IF(ISNUMBER(Data!K30),100*ABS($G30-(Data!K30-$K30)/$M30),0),IF(ISNUMBER(Data!K30),100*ABS($G30-(Data!K30-$K30)/$M30),0)))</f>
        <v>100</v>
      </c>
      <c r="R30" s="300">
        <f ca="1">IF($H30=0,0,CHOOSE($H30,SUMPRODUCT($O31:$O$55*R31:R$55*($E31:$E$55=$D30)),IF(ISNUMBER(Data!L30),100*ABS($G30-(Data!L30-$K30)/$M30),0),IF(ISNUMBER(Data!L30),100*ABS($G30-(Data!L30-$K30)/$M30),0)))</f>
        <v>100</v>
      </c>
      <c r="S30" s="301">
        <f ca="1">IF($H30=0,0,CHOOSE($H30,SUMPRODUCT($O31:$O$55*S31:S$55*($E31:$E$55=$D30)),IF(ISNUMBER(Data!M30),100*ABS($G30-(Data!M30-$K30)/$M30),0),IF(ISNUMBER(Data!M30),100*ABS($G30-(Data!M30-$K30)/$M30),0)))</f>
        <v>0</v>
      </c>
      <c r="T30" s="300">
        <f ca="1">IF($H30=0,0,CHOOSE($H30,SUMPRODUCT($O31:$O$55*T31:T$55*($E31:$E$55=$D30)),IF(ISNUMBER(Data!N30),100*ABS($G30-(Data!N30-$K30)/$M30),0),IF(ISNUMBER(Data!N30),100*ABS($G30-(Data!N30-$K30)/$M30),0)))</f>
        <v>50</v>
      </c>
      <c r="U30" s="301">
        <f ca="1">IF($H30=0,0,CHOOSE($H30,SUMPRODUCT($O31:$O$55*U31:U$55*($E31:$E$55=$D30)),IF(ISNUMBER(Data!O30),100*ABS($G30-(Data!O30-$K30)/$M30),0),IF(ISNUMBER(Data!O30),100*ABS($G30-(Data!O30-$K30)/$M30),0)))</f>
        <v>100</v>
      </c>
      <c r="V30" s="300">
        <f ca="1">IF($H30=0,0,CHOOSE($H30,SUMPRODUCT($O31:$O$55*V31:V$55*($E31:$E$55=$D30)),IF(ISNUMBER(Data!P30),100*ABS($G30-(Data!P30-$K30)/$M30),0),IF(ISNUMBER(Data!P30),100*ABS($G30-(Data!P30-$K30)/$M30),0)))</f>
        <v>100</v>
      </c>
      <c r="W30" s="301">
        <f ca="1">IF($H30=0,0,CHOOSE($H30,SUMPRODUCT($O31:$O$55*W31:W$55*($E31:$E$55=$D30)),IF(ISNUMBER(Data!Q30),100*ABS($G30-(Data!Q30-$K30)/$M30),0),IF(ISNUMBER(Data!Q30),100*ABS($G30-(Data!Q30-$K30)/$M30),0)))</f>
        <v>100</v>
      </c>
      <c r="X30" s="300">
        <f ca="1">IF($H30=0,0,CHOOSE($H30,SUMPRODUCT($O31:$O$55*X31:X$55*($E31:$E$55=$D30)),IF(ISNUMBER(Data!R30),100*ABS($G30-(Data!R30-$K30)/$M30),0),IF(ISNUMBER(Data!R30),100*ABS($G30-(Data!R30-$K30)/$M30),0)))</f>
        <v>0</v>
      </c>
      <c r="Y30" s="301">
        <f ca="1">IF($H30=0,0,CHOOSE($H30,SUMPRODUCT($O31:$O$55*Y31:Y$55*($E31:$E$55=$D30)),IF(ISNUMBER(Data!S30),100*ABS($G30-(Data!S30-$K30)/$M30),0),IF(ISNUMBER(Data!S30),100*ABS($G30-(Data!S30-$K30)/$M30),0)))</f>
        <v>100</v>
      </c>
      <c r="Z30" s="300">
        <f ca="1">IF($H30=0,0,CHOOSE($H30,SUMPRODUCT($O31:$O$55*Z31:Z$55*($E31:$E$55=$D30)),IF(ISNUMBER(Data!T30),100*ABS($G30-(Data!T30-$K30)/$M30),0),IF(ISNUMBER(Data!T30),100*ABS($G30-(Data!T30-$K30)/$M30),0)))</f>
        <v>100</v>
      </c>
      <c r="AA30" s="301">
        <f ca="1">IF($H30=0,0,CHOOSE($H30,SUMPRODUCT($O31:$O$55*AA31:AA$55*($E31:$E$55=$D30)),IF(ISNUMBER(Data!U30),100*ABS($G30-(Data!U30-$K30)/$M30),0),IF(ISNUMBER(Data!U30),100*ABS($G30-(Data!U30-$K30)/$M30),0)))</f>
        <v>50</v>
      </c>
      <c r="AB30" s="300">
        <f ca="1">IF($H30=0,0,CHOOSE($H30,SUMPRODUCT($O31:$O$55*AB31:AB$55*($E31:$E$55=$D30)),IF(ISNUMBER(Data!V30),100*ABS($G30-(Data!V30-$K30)/$M30),0),IF(ISNUMBER(Data!V30),100*ABS($G30-(Data!V30-$K30)/$M30),0)))</f>
        <v>0</v>
      </c>
      <c r="AC30" s="301">
        <f>IF($H30=0,0,CHOOSE($H30,SUMPRODUCT($O31:$O$55*AC31:AC$55*($E31:$E$55=$D30)),IF(ISNUMBER(Data!W30),100*ABS($G30-(Data!W30-$K30)/$M30),0),IF(ISNUMBER(Data!W30),100*ABS($G30-(Data!W30-$K30)/$M30),0)))</f>
        <v>0</v>
      </c>
      <c r="AD30" s="300">
        <f>IF($H30=0,0,CHOOSE($H30,SUMPRODUCT($O31:$O$55*AD31:AD$55*($E31:$E$55=$D30)),IF(ISNUMBER(Data!X30),100*ABS($G30-(Data!X30-$K30)/$M30),0),IF(ISNUMBER(Data!X30),100*ABS($G30-(Data!X30-$K30)/$M30),0)))</f>
        <v>0</v>
      </c>
      <c r="AE30" s="301">
        <f>IF($H30=0,0,CHOOSE($H30,SUMPRODUCT($O31:$O$55*AE31:AE$55*($E31:$E$55=$D30)),IF(ISNUMBER(Data!Y30),100*ABS($G30-(Data!Y30-$K30)/$M30),0),IF(ISNUMBER(Data!Y30),100*ABS($G30-(Data!Y30-$K30)/$M30),0)))</f>
        <v>0</v>
      </c>
      <c r="AF30" s="300">
        <f>IF($H30=0,0,CHOOSE($H30,SUMPRODUCT($O31:$O$55*AF31:AF$55*($E31:$E$55=$D30)),IF(ISNUMBER(Data!Z30),100*ABS($G30-(Data!Z30-$K30)/$M30),0),IF(ISNUMBER(Data!Z30),100*ABS($G30-(Data!Z30-$K30)/$M30),0)))</f>
        <v>0</v>
      </c>
      <c r="AG30" s="301">
        <f>IF($H30=0,0,CHOOSE($H30,SUMPRODUCT($O31:$O$55*AG31:AG$55*($E31:$E$55=$D30)),IF(ISNUMBER(Data!AA30),100*ABS($G30-(Data!AA30-$K30)/$M30),0),IF(ISNUMBER(Data!AA30),100*ABS($G30-(Data!AA30-$K30)/$M30),0)))</f>
        <v>0</v>
      </c>
      <c r="AH30" s="300">
        <f>IF($H30=0,0,CHOOSE($H30,SUMPRODUCT($O31:$O$55*AH31:AH$55*($E31:$E$55=$D30)),IF(ISNUMBER(Data!AB30),100*ABS($G30-(Data!AB30-$K30)/$M30),0),IF(ISNUMBER(Data!AB30),100*ABS($G30-(Data!AB30-$K30)/$M30),0)))</f>
        <v>0</v>
      </c>
      <c r="AI30" s="301">
        <f>IF($H30=0,0,CHOOSE($H30,SUMPRODUCT($O31:$O$55*AI31:AI$55*($E31:$E$55=$D30)),IF(ISNUMBER(Data!AC30),100*ABS($G30-(Data!AC30-$K30)/$M30),0),IF(ISNUMBER(Data!AC30),100*ABS($G30-(Data!AC30-$K30)/$M30),0)))</f>
        <v>0</v>
      </c>
      <c r="AJ30" s="300">
        <f>IF($H30=0,0,CHOOSE($H30,SUMPRODUCT($O31:$O$55*AJ31:AJ$55*($E31:$E$55=$D30)),IF(ISNUMBER(Data!AD30),100*ABS($G30-(Data!AD30-$K30)/$M30),0),IF(ISNUMBER(Data!AD30),100*ABS($G30-(Data!AD30-$K30)/$M30),0)))</f>
        <v>0</v>
      </c>
      <c r="AK30" s="301">
        <f>IF($H30=0,0,CHOOSE($H30,SUMPRODUCT($O31:$O$55*AK31:AK$55*($E31:$E$55=$D30)),IF(ISNUMBER(Data!AE30),100*ABS($G30-(Data!AE30-$K30)/$M30),0),IF(ISNUMBER(Data!AE30),100*ABS($G30-(Data!AE30-$K30)/$M30),0)))</f>
        <v>0</v>
      </c>
    </row>
    <row r="31" spans="1:37" s="78" customFormat="1" ht="30">
      <c r="A31" s="580">
        <f t="shared" si="3"/>
        <v>31</v>
      </c>
      <c r="B31" s="297">
        <f>tblIndicators!A28</f>
        <v>27</v>
      </c>
      <c r="C31" s="297">
        <f>tblIndicators!B28</f>
        <v>0</v>
      </c>
      <c r="D31" s="297" t="str">
        <f>tblIndicators!D28</f>
        <v>ORG2.1.4</v>
      </c>
      <c r="E31" s="297" t="str">
        <f>tblIndicators!E28</f>
        <v>ORG2.1</v>
      </c>
      <c r="F31" s="297">
        <f>tblIndicators!F28</f>
        <v>3</v>
      </c>
      <c r="G31" s="297">
        <f>tblIndicators!Y28</f>
        <v>0</v>
      </c>
      <c r="H31" s="297">
        <f>tblIndicators!Z28</f>
        <v>3</v>
      </c>
      <c r="I31" s="298">
        <f>tblIndicators!AA28</f>
        <v>0</v>
      </c>
      <c r="J31" s="297">
        <f>tblIndicators!AB28</f>
        <v>2</v>
      </c>
      <c r="K31" s="297">
        <f t="shared" ca="1" si="1"/>
        <v>0</v>
      </c>
      <c r="L31" s="299">
        <f t="shared" ca="1" si="2"/>
        <v>2</v>
      </c>
      <c r="M31" s="297">
        <f t="shared" ca="1" si="4"/>
        <v>2</v>
      </c>
      <c r="N31" s="426" t="str">
        <f>REPT(" ",F31)&amp;tblIndicators!AE28</f>
        <v xml:space="preserve">   2.1.4) 19.¿Existen espacios de diálogo y coordinación entre diferentes actores de la cadena de valor del reciclaje?</v>
      </c>
      <c r="O31" s="302">
        <f>tblIndicators!AD28</f>
        <v>0.2</v>
      </c>
      <c r="P31" s="300">
        <f ca="1">IF($H31=0,0,CHOOSE($H31,SUMPRODUCT($O32:$O$55*P32:P$55*($E32:$E$55=$D31)),IF(ISNUMBER(Data!J31),100*ABS($G31-(Data!J31-$K31)/$M31),0),IF(ISNUMBER(Data!J31),100*ABS($G31-(Data!J31-$K31)/$M31),0)))</f>
        <v>0</v>
      </c>
      <c r="Q31" s="301">
        <f ca="1">IF($H31=0,0,CHOOSE($H31,SUMPRODUCT($O32:$O$55*Q32:Q$55*($E32:$E$55=$D31)),IF(ISNUMBER(Data!K31),100*ABS($G31-(Data!K31-$K31)/$M31),0),IF(ISNUMBER(Data!K31),100*ABS($G31-(Data!K31-$K31)/$M31),0)))</f>
        <v>100</v>
      </c>
      <c r="R31" s="300">
        <f ca="1">IF($H31=0,0,CHOOSE($H31,SUMPRODUCT($O32:$O$55*R32:R$55*($E32:$E$55=$D31)),IF(ISNUMBER(Data!L31),100*ABS($G31-(Data!L31-$K31)/$M31),0),IF(ISNUMBER(Data!L31),100*ABS($G31-(Data!L31-$K31)/$M31),0)))</f>
        <v>100</v>
      </c>
      <c r="S31" s="301">
        <f ca="1">IF($H31=0,0,CHOOSE($H31,SUMPRODUCT($O32:$O$55*S32:S$55*($E32:$E$55=$D31)),IF(ISNUMBER(Data!M31),100*ABS($G31-(Data!M31-$K31)/$M31),0),IF(ISNUMBER(Data!M31),100*ABS($G31-(Data!M31-$K31)/$M31),0)))</f>
        <v>0</v>
      </c>
      <c r="T31" s="300">
        <f ca="1">IF($H31=0,0,CHOOSE($H31,SUMPRODUCT($O32:$O$55*T32:T$55*($E32:$E$55=$D31)),IF(ISNUMBER(Data!N31),100*ABS($G31-(Data!N31-$K31)/$M31),0),IF(ISNUMBER(Data!N31),100*ABS($G31-(Data!N31-$K31)/$M31),0)))</f>
        <v>100</v>
      </c>
      <c r="U31" s="301">
        <f ca="1">IF($H31=0,0,CHOOSE($H31,SUMPRODUCT($O32:$O$55*U32:U$55*($E32:$E$55=$D31)),IF(ISNUMBER(Data!O31),100*ABS($G31-(Data!O31-$K31)/$M31),0),IF(ISNUMBER(Data!O31),100*ABS($G31-(Data!O31-$K31)/$M31),0)))</f>
        <v>100</v>
      </c>
      <c r="V31" s="300">
        <f ca="1">IF($H31=0,0,CHOOSE($H31,SUMPRODUCT($O32:$O$55*V32:V$55*($E32:$E$55=$D31)),IF(ISNUMBER(Data!P31),100*ABS($G31-(Data!P31-$K31)/$M31),0),IF(ISNUMBER(Data!P31),100*ABS($G31-(Data!P31-$K31)/$M31),0)))</f>
        <v>0</v>
      </c>
      <c r="W31" s="301">
        <f ca="1">IF($H31=0,0,CHOOSE($H31,SUMPRODUCT($O32:$O$55*W32:W$55*($E32:$E$55=$D31)),IF(ISNUMBER(Data!Q31),100*ABS($G31-(Data!Q31-$K31)/$M31),0),IF(ISNUMBER(Data!Q31),100*ABS($G31-(Data!Q31-$K31)/$M31),0)))</f>
        <v>0</v>
      </c>
      <c r="X31" s="300">
        <f ca="1">IF($H31=0,0,CHOOSE($H31,SUMPRODUCT($O32:$O$55*X32:X$55*($E32:$E$55=$D31)),IF(ISNUMBER(Data!R31),100*ABS($G31-(Data!R31-$K31)/$M31),0),IF(ISNUMBER(Data!R31),100*ABS($G31-(Data!R31-$K31)/$M31),0)))</f>
        <v>0</v>
      </c>
      <c r="Y31" s="301">
        <f ca="1">IF($H31=0,0,CHOOSE($H31,SUMPRODUCT($O32:$O$55*Y32:Y$55*($E32:$E$55=$D31)),IF(ISNUMBER(Data!S31),100*ABS($G31-(Data!S31-$K31)/$M31),0),IF(ISNUMBER(Data!S31),100*ABS($G31-(Data!S31-$K31)/$M31),0)))</f>
        <v>0</v>
      </c>
      <c r="Z31" s="300">
        <f ca="1">IF($H31=0,0,CHOOSE($H31,SUMPRODUCT($O32:$O$55*Z32:Z$55*($E32:$E$55=$D31)),IF(ISNUMBER(Data!T31),100*ABS($G31-(Data!T31-$K31)/$M31),0),IF(ISNUMBER(Data!T31),100*ABS($G31-(Data!T31-$K31)/$M31),0)))</f>
        <v>50</v>
      </c>
      <c r="AA31" s="301">
        <f ca="1">IF($H31=0,0,CHOOSE($H31,SUMPRODUCT($O32:$O$55*AA32:AA$55*($E32:$E$55=$D31)),IF(ISNUMBER(Data!U31),100*ABS($G31-(Data!U31-$K31)/$M31),0),IF(ISNUMBER(Data!U31),100*ABS($G31-(Data!U31-$K31)/$M31),0)))</f>
        <v>100</v>
      </c>
      <c r="AB31" s="300">
        <f ca="1">IF($H31=0,0,CHOOSE($H31,SUMPRODUCT($O32:$O$55*AB32:AB$55*($E32:$E$55=$D31)),IF(ISNUMBER(Data!V31),100*ABS($G31-(Data!V31-$K31)/$M31),0),IF(ISNUMBER(Data!V31),100*ABS($G31-(Data!V31-$K31)/$M31),0)))</f>
        <v>0</v>
      </c>
      <c r="AC31" s="301">
        <f>IF($H31=0,0,CHOOSE($H31,SUMPRODUCT($O32:$O$55*AC32:AC$55*($E32:$E$55=$D31)),IF(ISNUMBER(Data!W31),100*ABS($G31-(Data!W31-$K31)/$M31),0),IF(ISNUMBER(Data!W31),100*ABS($G31-(Data!W31-$K31)/$M31),0)))</f>
        <v>0</v>
      </c>
      <c r="AD31" s="300">
        <f>IF($H31=0,0,CHOOSE($H31,SUMPRODUCT($O32:$O$55*AD32:AD$55*($E32:$E$55=$D31)),IF(ISNUMBER(Data!X31),100*ABS($G31-(Data!X31-$K31)/$M31),0),IF(ISNUMBER(Data!X31),100*ABS($G31-(Data!X31-$K31)/$M31),0)))</f>
        <v>0</v>
      </c>
      <c r="AE31" s="301">
        <f>IF($H31=0,0,CHOOSE($H31,SUMPRODUCT($O32:$O$55*AE32:AE$55*($E32:$E$55=$D31)),IF(ISNUMBER(Data!Y31),100*ABS($G31-(Data!Y31-$K31)/$M31),0),IF(ISNUMBER(Data!Y31),100*ABS($G31-(Data!Y31-$K31)/$M31),0)))</f>
        <v>0</v>
      </c>
      <c r="AF31" s="300">
        <f>IF($H31=0,0,CHOOSE($H31,SUMPRODUCT($O32:$O$55*AF32:AF$55*($E32:$E$55=$D31)),IF(ISNUMBER(Data!Z31),100*ABS($G31-(Data!Z31-$K31)/$M31),0),IF(ISNUMBER(Data!Z31),100*ABS($G31-(Data!Z31-$K31)/$M31),0)))</f>
        <v>0</v>
      </c>
      <c r="AG31" s="301">
        <f>IF($H31=0,0,CHOOSE($H31,SUMPRODUCT($O32:$O$55*AG32:AG$55*($E32:$E$55=$D31)),IF(ISNUMBER(Data!AA31),100*ABS($G31-(Data!AA31-$K31)/$M31),0),IF(ISNUMBER(Data!AA31),100*ABS($G31-(Data!AA31-$K31)/$M31),0)))</f>
        <v>0</v>
      </c>
      <c r="AH31" s="300">
        <f>IF($H31=0,0,CHOOSE($H31,SUMPRODUCT($O32:$O$55*AH32:AH$55*($E32:$E$55=$D31)),IF(ISNUMBER(Data!AB31),100*ABS($G31-(Data!AB31-$K31)/$M31),0),IF(ISNUMBER(Data!AB31),100*ABS($G31-(Data!AB31-$K31)/$M31),0)))</f>
        <v>0</v>
      </c>
      <c r="AI31" s="301">
        <f>IF($H31=0,0,CHOOSE($H31,SUMPRODUCT($O32:$O$55*AI32:AI$55*($E32:$E$55=$D31)),IF(ISNUMBER(Data!AC31),100*ABS($G31-(Data!AC31-$K31)/$M31),0),IF(ISNUMBER(Data!AC31),100*ABS($G31-(Data!AC31-$K31)/$M31),0)))</f>
        <v>0</v>
      </c>
      <c r="AJ31" s="300">
        <f>IF($H31=0,0,CHOOSE($H31,SUMPRODUCT($O32:$O$55*AJ32:AJ$55*($E32:$E$55=$D31)),IF(ISNUMBER(Data!AD31),100*ABS($G31-(Data!AD31-$K31)/$M31),0),IF(ISNUMBER(Data!AD31),100*ABS($G31-(Data!AD31-$K31)/$M31),0)))</f>
        <v>0</v>
      </c>
      <c r="AK31" s="301">
        <f>IF($H31=0,0,CHOOSE($H31,SUMPRODUCT($O32:$O$55*AK32:AK$55*($E32:$E$55=$D31)),IF(ISNUMBER(Data!AE31),100*ABS($G31-(Data!AE31-$K31)/$M31),0),IF(ISNUMBER(Data!AE31),100*ABS($G31-(Data!AE31-$K31)/$M31),0)))</f>
        <v>0</v>
      </c>
    </row>
    <row r="32" spans="1:37" s="78" customFormat="1" ht="30">
      <c r="A32" s="580">
        <f t="shared" si="3"/>
        <v>32</v>
      </c>
      <c r="B32" s="297">
        <f>tblIndicators!A29</f>
        <v>28</v>
      </c>
      <c r="C32" s="297">
        <f>tblIndicators!B29</f>
        <v>0</v>
      </c>
      <c r="D32" s="297" t="str">
        <f>tblIndicators!D29</f>
        <v>ORG2.1.5</v>
      </c>
      <c r="E32" s="297" t="str">
        <f>tblIndicators!E29</f>
        <v>ORG2.1</v>
      </c>
      <c r="F32" s="297">
        <f>tblIndicators!F29</f>
        <v>3</v>
      </c>
      <c r="G32" s="297">
        <f>tblIndicators!Y29</f>
        <v>0</v>
      </c>
      <c r="H32" s="297">
        <f>tblIndicators!Z29</f>
        <v>3</v>
      </c>
      <c r="I32" s="298">
        <f>tblIndicators!AA29</f>
        <v>0</v>
      </c>
      <c r="J32" s="297">
        <f>tblIndicators!AB29</f>
        <v>2</v>
      </c>
      <c r="K32" s="297">
        <f t="shared" ca="1" si="1"/>
        <v>0</v>
      </c>
      <c r="L32" s="299">
        <f t="shared" ca="1" si="2"/>
        <v>2</v>
      </c>
      <c r="M32" s="297">
        <f t="shared" ca="1" si="4"/>
        <v>2</v>
      </c>
      <c r="N32" s="426" t="str">
        <f>REPT(" ",F32)&amp;tblIndicators!AE29</f>
        <v xml:space="preserve">   2.1.5) 20.¿Cuál es el nivel de representación de las mujeres en las asociaciones?</v>
      </c>
      <c r="O32" s="302">
        <f>tblIndicators!AD29</f>
        <v>0.2</v>
      </c>
      <c r="P32" s="300">
        <f ca="1">IF($H32=0,0,CHOOSE($H32,SUMPRODUCT($O33:$O$55*P33:P$55*($E33:$E$55=$D32)),IF(ISNUMBER(Data!J32),100*ABS($G32-(Data!J32-$K32)/$M32),0),IF(ISNUMBER(Data!J32),100*ABS($G32-(Data!J32-$K32)/$M32),0)))</f>
        <v>50</v>
      </c>
      <c r="Q32" s="301">
        <f ca="1">IF($H32=0,0,CHOOSE($H32,SUMPRODUCT($O33:$O$55*Q33:Q$55*($E33:$E$55=$D32)),IF(ISNUMBER(Data!K32),100*ABS($G32-(Data!K32-$K32)/$M32),0),IF(ISNUMBER(Data!K32),100*ABS($G32-(Data!K32-$K32)/$M32),0)))</f>
        <v>100</v>
      </c>
      <c r="R32" s="300">
        <f ca="1">IF($H32=0,0,CHOOSE($H32,SUMPRODUCT($O33:$O$55*R33:R$55*($E33:$E$55=$D32)),IF(ISNUMBER(Data!L32),100*ABS($G32-(Data!L32-$K32)/$M32),0),IF(ISNUMBER(Data!L32),100*ABS($G32-(Data!L32-$K32)/$M32),0)))</f>
        <v>50</v>
      </c>
      <c r="S32" s="301">
        <f ca="1">IF($H32=0,0,CHOOSE($H32,SUMPRODUCT($O33:$O$55*S33:S$55*($E33:$E$55=$D32)),IF(ISNUMBER(Data!M32),100*ABS($G32-(Data!M32-$K32)/$M32),0),IF(ISNUMBER(Data!M32),100*ABS($G32-(Data!M32-$K32)/$M32),0)))</f>
        <v>0</v>
      </c>
      <c r="T32" s="300">
        <f ca="1">IF($H32=0,0,CHOOSE($H32,SUMPRODUCT($O33:$O$55*T33:T$55*($E33:$E$55=$D32)),IF(ISNUMBER(Data!N32),100*ABS($G32-(Data!N32-$K32)/$M32),0),IF(ISNUMBER(Data!N32),100*ABS($G32-(Data!N32-$K32)/$M32),0)))</f>
        <v>50</v>
      </c>
      <c r="U32" s="301">
        <f ca="1">IF($H32=0,0,CHOOSE($H32,SUMPRODUCT($O33:$O$55*U33:U$55*($E33:$E$55=$D32)),IF(ISNUMBER(Data!O32),100*ABS($G32-(Data!O32-$K32)/$M32),0),IF(ISNUMBER(Data!O32),100*ABS($G32-(Data!O32-$K32)/$M32),0)))</f>
        <v>0</v>
      </c>
      <c r="V32" s="300">
        <f ca="1">IF($H32=0,0,CHOOSE($H32,SUMPRODUCT($O33:$O$55*V33:V$55*($E33:$E$55=$D32)),IF(ISNUMBER(Data!P32),100*ABS($G32-(Data!P32-$K32)/$M32),0),IF(ISNUMBER(Data!P32),100*ABS($G32-(Data!P32-$K32)/$M32),0)))</f>
        <v>50</v>
      </c>
      <c r="W32" s="301">
        <f ca="1">IF($H32=0,0,CHOOSE($H32,SUMPRODUCT($O33:$O$55*W33:W$55*($E33:$E$55=$D32)),IF(ISNUMBER(Data!Q32),100*ABS($G32-(Data!Q32-$K32)/$M32),0),IF(ISNUMBER(Data!Q32),100*ABS($G32-(Data!Q32-$K32)/$M32),0)))</f>
        <v>100</v>
      </c>
      <c r="X32" s="300">
        <f ca="1">IF($H32=0,0,CHOOSE($H32,SUMPRODUCT($O33:$O$55*X33:X$55*($E33:$E$55=$D32)),IF(ISNUMBER(Data!R32),100*ABS($G32-(Data!R32-$K32)/$M32),0),IF(ISNUMBER(Data!R32),100*ABS($G32-(Data!R32-$K32)/$M32),0)))</f>
        <v>0</v>
      </c>
      <c r="Y32" s="301">
        <f ca="1">IF($H32=0,0,CHOOSE($H32,SUMPRODUCT($O33:$O$55*Y33:Y$55*($E33:$E$55=$D32)),IF(ISNUMBER(Data!S32),100*ABS($G32-(Data!S32-$K32)/$M32),0),IF(ISNUMBER(Data!S32),100*ABS($G32-(Data!S32-$K32)/$M32),0)))</f>
        <v>100</v>
      </c>
      <c r="Z32" s="300">
        <f ca="1">IF($H32=0,0,CHOOSE($H32,SUMPRODUCT($O33:$O$55*Z33:Z$55*($E33:$E$55=$D32)),IF(ISNUMBER(Data!T32),100*ABS($G32-(Data!T32-$K32)/$M32),0),IF(ISNUMBER(Data!T32),100*ABS($G32-(Data!T32-$K32)/$M32),0)))</f>
        <v>100</v>
      </c>
      <c r="AA32" s="301">
        <f ca="1">IF($H32=0,0,CHOOSE($H32,SUMPRODUCT($O33:$O$55*AA33:AA$55*($E33:$E$55=$D32)),IF(ISNUMBER(Data!U32),100*ABS($G32-(Data!U32-$K32)/$M32),0),IF(ISNUMBER(Data!U32),100*ABS($G32-(Data!U32-$K32)/$M32),0)))</f>
        <v>0</v>
      </c>
      <c r="AB32" s="300">
        <f ca="1">IF($H32=0,0,CHOOSE($H32,SUMPRODUCT($O33:$O$55*AB33:AB$55*($E33:$E$55=$D32)),IF(ISNUMBER(Data!V32),100*ABS($G32-(Data!V32-$K32)/$M32),0),IF(ISNUMBER(Data!V32),100*ABS($G32-(Data!V32-$K32)/$M32),0)))</f>
        <v>0</v>
      </c>
      <c r="AC32" s="301">
        <f>IF($H32=0,0,CHOOSE($H32,SUMPRODUCT($O33:$O$55*AC33:AC$55*($E33:$E$55=$D32)),IF(ISNUMBER(Data!W32),100*ABS($G32-(Data!W32-$K32)/$M32),0),IF(ISNUMBER(Data!W32),100*ABS($G32-(Data!W32-$K32)/$M32),0)))</f>
        <v>0</v>
      </c>
      <c r="AD32" s="300">
        <f>IF($H32=0,0,CHOOSE($H32,SUMPRODUCT($O33:$O$55*AD33:AD$55*($E33:$E$55=$D32)),IF(ISNUMBER(Data!X32),100*ABS($G32-(Data!X32-$K32)/$M32),0),IF(ISNUMBER(Data!X32),100*ABS($G32-(Data!X32-$K32)/$M32),0)))</f>
        <v>0</v>
      </c>
      <c r="AE32" s="301">
        <f>IF($H32=0,0,CHOOSE($H32,SUMPRODUCT($O33:$O$55*AE33:AE$55*($E33:$E$55=$D32)),IF(ISNUMBER(Data!Y32),100*ABS($G32-(Data!Y32-$K32)/$M32),0),IF(ISNUMBER(Data!Y32),100*ABS($G32-(Data!Y32-$K32)/$M32),0)))</f>
        <v>0</v>
      </c>
      <c r="AF32" s="300">
        <f>IF($H32=0,0,CHOOSE($H32,SUMPRODUCT($O33:$O$55*AF33:AF$55*($E33:$E$55=$D32)),IF(ISNUMBER(Data!Z32),100*ABS($G32-(Data!Z32-$K32)/$M32),0),IF(ISNUMBER(Data!Z32),100*ABS($G32-(Data!Z32-$K32)/$M32),0)))</f>
        <v>0</v>
      </c>
      <c r="AG32" s="301">
        <f>IF($H32=0,0,CHOOSE($H32,SUMPRODUCT($O33:$O$55*AG33:AG$55*($E33:$E$55=$D32)),IF(ISNUMBER(Data!AA32),100*ABS($G32-(Data!AA32-$K32)/$M32),0),IF(ISNUMBER(Data!AA32),100*ABS($G32-(Data!AA32-$K32)/$M32),0)))</f>
        <v>0</v>
      </c>
      <c r="AH32" s="300">
        <f>IF($H32=0,0,CHOOSE($H32,SUMPRODUCT($O33:$O$55*AH33:AH$55*($E33:$E$55=$D32)),IF(ISNUMBER(Data!AB32),100*ABS($G32-(Data!AB32-$K32)/$M32),0),IF(ISNUMBER(Data!AB32),100*ABS($G32-(Data!AB32-$K32)/$M32),0)))</f>
        <v>0</v>
      </c>
      <c r="AI32" s="301">
        <f>IF($H32=0,0,CHOOSE($H32,SUMPRODUCT($O33:$O$55*AI33:AI$55*($E33:$E$55=$D32)),IF(ISNUMBER(Data!AC32),100*ABS($G32-(Data!AC32-$K32)/$M32),0),IF(ISNUMBER(Data!AC32),100*ABS($G32-(Data!AC32-$K32)/$M32),0)))</f>
        <v>0</v>
      </c>
      <c r="AJ32" s="300">
        <f>IF($H32=0,0,CHOOSE($H32,SUMPRODUCT($O33:$O$55*AJ33:AJ$55*($E33:$E$55=$D32)),IF(ISNUMBER(Data!AD32),100*ABS($G32-(Data!AD32-$K32)/$M32),0),IF(ISNUMBER(Data!AD32),100*ABS($G32-(Data!AD32-$K32)/$M32),0)))</f>
        <v>0</v>
      </c>
      <c r="AK32" s="301">
        <f>IF($H32=0,0,CHOOSE($H32,SUMPRODUCT($O33:$O$55*AK33:AK$55*($E33:$E$55=$D32)),IF(ISNUMBER(Data!AE32),100*ABS($G32-(Data!AE32-$K32)/$M32),0),IF(ISNUMBER(Data!AE32),100*ABS($G32-(Data!AE32-$K32)/$M32),0)))</f>
        <v>0</v>
      </c>
    </row>
    <row r="33" spans="1:37" s="78" customFormat="1" ht="15">
      <c r="A33" s="580">
        <f t="shared" si="3"/>
        <v>33</v>
      </c>
      <c r="B33" s="297">
        <f>tblIndicators!A30</f>
        <v>29</v>
      </c>
      <c r="C33" s="297">
        <f>tblIndicators!B30</f>
        <v>0</v>
      </c>
      <c r="D33" s="297" t="str">
        <f>tblIndicators!D30</f>
        <v>ORG2.2</v>
      </c>
      <c r="E33" s="297" t="str">
        <f>tblIndicators!E30</f>
        <v>ORG</v>
      </c>
      <c r="F33" s="297">
        <f>tblIndicators!F30</f>
        <v>2</v>
      </c>
      <c r="G33" s="297" t="str">
        <f>tblIndicators!Y30</f>
        <v/>
      </c>
      <c r="H33" s="297">
        <f>tblIndicators!Z30</f>
        <v>1</v>
      </c>
      <c r="I33" s="298" t="str">
        <f>tblIndicators!AA30</f>
        <v/>
      </c>
      <c r="J33" s="297">
        <f>tblIndicators!AB30</f>
        <v>0</v>
      </c>
      <c r="K33" s="297" t="str">
        <f t="shared" ca="1" si="1"/>
        <v>-</v>
      </c>
      <c r="L33" s="299" t="str">
        <f t="shared" ca="1" si="2"/>
        <v>-</v>
      </c>
      <c r="M33" s="297" t="str">
        <f t="shared" si="4"/>
        <v>-</v>
      </c>
      <c r="N33" s="426" t="str">
        <f>REPT(" ",F33)&amp;tblIndicators!AE30</f>
        <v xml:space="preserve">  2.2) Organizaciones comerciales</v>
      </c>
      <c r="O33" s="302">
        <f>tblIndicators!AD30</f>
        <v>0.5</v>
      </c>
      <c r="P33" s="300">
        <f ca="1">IF($H33=0,0,CHOOSE($H33,SUMPRODUCT($O34:$O$55*P34:P$55*($E34:$E$55=$D33)),IF(ISNUMBER(Data!J33),100*ABS($G33-(Data!J33-$K33)/$M33),0),IF(ISNUMBER(Data!J33),100*ABS($G33-(Data!J33-$K33)/$M33),0)))</f>
        <v>16.666666666666664</v>
      </c>
      <c r="Q33" s="301">
        <f ca="1">IF($H33=0,0,CHOOSE($H33,SUMPRODUCT($O34:$O$55*Q34:Q$55*($E34:$E$55=$D33)),IF(ISNUMBER(Data!K33),100*ABS($G33-(Data!K33-$K33)/$M33),0),IF(ISNUMBER(Data!K33),100*ABS($G33-(Data!K33-$K33)/$M33),0)))</f>
        <v>49.999999999999993</v>
      </c>
      <c r="R33" s="300">
        <f ca="1">IF($H33=0,0,CHOOSE($H33,SUMPRODUCT($O34:$O$55*R34:R$55*($E34:$E$55=$D33)),IF(ISNUMBER(Data!L33),100*ABS($G33-(Data!L33-$K33)/$M33),0),IF(ISNUMBER(Data!L33),100*ABS($G33-(Data!L33-$K33)/$M33),0)))</f>
        <v>88.888888888888872</v>
      </c>
      <c r="S33" s="301">
        <f ca="1">IF($H33=0,0,CHOOSE($H33,SUMPRODUCT($O34:$O$55*S34:S$55*($E34:$E$55=$D33)),IF(ISNUMBER(Data!M33),100*ABS($G33-(Data!M33-$K33)/$M33),0),IF(ISNUMBER(Data!M33),100*ABS($G33-(Data!M33-$K33)/$M33),0)))</f>
        <v>0</v>
      </c>
      <c r="T33" s="300">
        <f ca="1">IF($H33=0,0,CHOOSE($H33,SUMPRODUCT($O34:$O$55*T34:T$55*($E34:$E$55=$D33)),IF(ISNUMBER(Data!N33),100*ABS($G33-(Data!N33-$K33)/$M33),0),IF(ISNUMBER(Data!N33),100*ABS($G33-(Data!N33-$K33)/$M33),0)))</f>
        <v>33.333333333333329</v>
      </c>
      <c r="U33" s="301">
        <f ca="1">IF($H33=0,0,CHOOSE($H33,SUMPRODUCT($O34:$O$55*U34:U$55*($E34:$E$55=$D33)),IF(ISNUMBER(Data!O33),100*ABS($G33-(Data!O33-$K33)/$M33),0),IF(ISNUMBER(Data!O33),100*ABS($G33-(Data!O33-$K33)/$M33),0)))</f>
        <v>33.333333333333329</v>
      </c>
      <c r="V33" s="300">
        <f ca="1">IF($H33=0,0,CHOOSE($H33,SUMPRODUCT($O34:$O$55*V34:V$55*($E34:$E$55=$D33)),IF(ISNUMBER(Data!P33),100*ABS($G33-(Data!P33-$K33)/$M33),0),IF(ISNUMBER(Data!P33),100*ABS($G33-(Data!P33-$K33)/$M33),0)))</f>
        <v>16.666666666666664</v>
      </c>
      <c r="W33" s="301">
        <f ca="1">IF($H33=0,0,CHOOSE($H33,SUMPRODUCT($O34:$O$55*W34:W$55*($E34:$E$55=$D33)),IF(ISNUMBER(Data!Q33),100*ABS($G33-(Data!Q33-$K33)/$M33),0),IF(ISNUMBER(Data!Q33),100*ABS($G33-(Data!Q33-$K33)/$M33),0)))</f>
        <v>33.333333333333329</v>
      </c>
      <c r="X33" s="300">
        <f ca="1">IF($H33=0,0,CHOOSE($H33,SUMPRODUCT($O34:$O$55*X34:X$55*($E34:$E$55=$D33)),IF(ISNUMBER(Data!R33),100*ABS($G33-(Data!R33-$K33)/$M33),0),IF(ISNUMBER(Data!R33),100*ABS($G33-(Data!R33-$K33)/$M33),0)))</f>
        <v>0</v>
      </c>
      <c r="Y33" s="301">
        <f ca="1">IF($H33=0,0,CHOOSE($H33,SUMPRODUCT($O34:$O$55*Y34:Y$55*($E34:$E$55=$D33)),IF(ISNUMBER(Data!S33),100*ABS($G33-(Data!S33-$K33)/$M33),0),IF(ISNUMBER(Data!S33),100*ABS($G33-(Data!S33-$K33)/$M33),0)))</f>
        <v>77.777777777777771</v>
      </c>
      <c r="Z33" s="300">
        <f ca="1">IF($H33=0,0,CHOOSE($H33,SUMPRODUCT($O34:$O$55*Z34:Z$55*($E34:$E$55=$D33)),IF(ISNUMBER(Data!T33),100*ABS($G33-(Data!T33-$K33)/$M33),0),IF(ISNUMBER(Data!T33),100*ABS($G33-(Data!T33-$K33)/$M33),0)))</f>
        <v>33.333333333333329</v>
      </c>
      <c r="AA33" s="301">
        <f ca="1">IF($H33=0,0,CHOOSE($H33,SUMPRODUCT($O34:$O$55*AA34:AA$55*($E34:$E$55=$D33)),IF(ISNUMBER(Data!U33),100*ABS($G33-(Data!U33-$K33)/$M33),0),IF(ISNUMBER(Data!U33),100*ABS($G33-(Data!U33-$K33)/$M33),0)))</f>
        <v>38.888888888888886</v>
      </c>
      <c r="AB33" s="300">
        <f ca="1">IF($H33=0,0,CHOOSE($H33,SUMPRODUCT($O34:$O$55*AB34:AB$55*($E34:$E$55=$D33)),IF(ISNUMBER(Data!V33),100*ABS($G33-(Data!V33-$K33)/$M33),0),IF(ISNUMBER(Data!V33),100*ABS($G33-(Data!V33-$K33)/$M33),0)))</f>
        <v>0</v>
      </c>
      <c r="AC33" s="301">
        <f>IF($H33=0,0,CHOOSE($H33,SUMPRODUCT($O34:$O$55*AC34:AC$55*($E34:$E$55=$D33)),IF(ISNUMBER(Data!W33),100*ABS($G33-(Data!W33-$K33)/$M33),0),IF(ISNUMBER(Data!W33),100*ABS($G33-(Data!W33-$K33)/$M33),0)))</f>
        <v>0</v>
      </c>
      <c r="AD33" s="300">
        <f>IF($H33=0,0,CHOOSE($H33,SUMPRODUCT($O34:$O$55*AD34:AD$55*($E34:$E$55=$D33)),IF(ISNUMBER(Data!X33),100*ABS($G33-(Data!X33-$K33)/$M33),0),IF(ISNUMBER(Data!X33),100*ABS($G33-(Data!X33-$K33)/$M33),0)))</f>
        <v>0</v>
      </c>
      <c r="AE33" s="301">
        <f>IF($H33=0,0,CHOOSE($H33,SUMPRODUCT($O34:$O$55*AE34:AE$55*($E34:$E$55=$D33)),IF(ISNUMBER(Data!Y33),100*ABS($G33-(Data!Y33-$K33)/$M33),0),IF(ISNUMBER(Data!Y33),100*ABS($G33-(Data!Y33-$K33)/$M33),0)))</f>
        <v>0</v>
      </c>
      <c r="AF33" s="300">
        <f>IF($H33=0,0,CHOOSE($H33,SUMPRODUCT($O34:$O$55*AF34:AF$55*($E34:$E$55=$D33)),IF(ISNUMBER(Data!Z33),100*ABS($G33-(Data!Z33-$K33)/$M33),0),IF(ISNUMBER(Data!Z33),100*ABS($G33-(Data!Z33-$K33)/$M33),0)))</f>
        <v>0</v>
      </c>
      <c r="AG33" s="301">
        <f>IF($H33=0,0,CHOOSE($H33,SUMPRODUCT($O34:$O$55*AG34:AG$55*($E34:$E$55=$D33)),IF(ISNUMBER(Data!AA33),100*ABS($G33-(Data!AA33-$K33)/$M33),0),IF(ISNUMBER(Data!AA33),100*ABS($G33-(Data!AA33-$K33)/$M33),0)))</f>
        <v>0</v>
      </c>
      <c r="AH33" s="300">
        <f>IF($H33=0,0,CHOOSE($H33,SUMPRODUCT($O34:$O$55*AH34:AH$55*($E34:$E$55=$D33)),IF(ISNUMBER(Data!AB33),100*ABS($G33-(Data!AB33-$K33)/$M33),0),IF(ISNUMBER(Data!AB33),100*ABS($G33-(Data!AB33-$K33)/$M33),0)))</f>
        <v>0</v>
      </c>
      <c r="AI33" s="301">
        <f>IF($H33=0,0,CHOOSE($H33,SUMPRODUCT($O34:$O$55*AI34:AI$55*($E34:$E$55=$D33)),IF(ISNUMBER(Data!AC33),100*ABS($G33-(Data!AC33-$K33)/$M33),0),IF(ISNUMBER(Data!AC33),100*ABS($G33-(Data!AC33-$K33)/$M33),0)))</f>
        <v>0</v>
      </c>
      <c r="AJ33" s="300">
        <f>IF($H33=0,0,CHOOSE($H33,SUMPRODUCT($O34:$O$55*AJ34:AJ$55*($E34:$E$55=$D33)),IF(ISNUMBER(Data!AD33),100*ABS($G33-(Data!AD33-$K33)/$M33),0),IF(ISNUMBER(Data!AD33),100*ABS($G33-(Data!AD33-$K33)/$M33),0)))</f>
        <v>0</v>
      </c>
      <c r="AK33" s="301">
        <f>IF($H33=0,0,CHOOSE($H33,SUMPRODUCT($O34:$O$55*AK34:AK$55*($E34:$E$55=$D33)),IF(ISNUMBER(Data!AE33),100*ABS($G33-(Data!AE33-$K33)/$M33),0),IF(ISNUMBER(Data!AE33),100*ABS($G33-(Data!AE33-$K33)/$M33),0)))</f>
        <v>0</v>
      </c>
    </row>
    <row r="34" spans="1:37" s="78" customFormat="1" ht="30">
      <c r="A34" s="580">
        <f t="shared" si="3"/>
        <v>34</v>
      </c>
      <c r="B34" s="297">
        <f>tblIndicators!A31</f>
        <v>30</v>
      </c>
      <c r="C34" s="297">
        <f>tblIndicators!B31</f>
        <v>0</v>
      </c>
      <c r="D34" s="297" t="str">
        <f>tblIndicators!D31</f>
        <v>ORG2.2.1</v>
      </c>
      <c r="E34" s="297" t="str">
        <f>tblIndicators!E31</f>
        <v>ORG2.2</v>
      </c>
      <c r="F34" s="297">
        <f>tblIndicators!F31</f>
        <v>3</v>
      </c>
      <c r="G34" s="297">
        <f>tblIndicators!Y31</f>
        <v>0</v>
      </c>
      <c r="H34" s="297">
        <f>tblIndicators!Z31</f>
        <v>3</v>
      </c>
      <c r="I34" s="298">
        <f>tblIndicators!AA31</f>
        <v>0</v>
      </c>
      <c r="J34" s="297">
        <f>tblIndicators!AB31</f>
        <v>2</v>
      </c>
      <c r="K34" s="297">
        <f t="shared" ca="1" si="1"/>
        <v>0</v>
      </c>
      <c r="L34" s="299">
        <f t="shared" ca="1" si="2"/>
        <v>2</v>
      </c>
      <c r="M34" s="297">
        <f t="shared" ca="1" si="4"/>
        <v>2</v>
      </c>
      <c r="N34" s="426" t="str">
        <f>REPT(" ",F34)&amp;tblIndicators!AE31</f>
        <v xml:space="preserve">   2.2.1) 21.¿Existen organizaciones de recicladores con actividad comercial en el municipio (cooperativas y/o microempresas)? </v>
      </c>
      <c r="O34" s="302">
        <f>tblIndicators!AD31</f>
        <v>0.33333333333333331</v>
      </c>
      <c r="P34" s="300">
        <f ca="1">IF($H34=0,0,CHOOSE($H34,SUMPRODUCT($O35:$O$55*P35:P$55*($E35:$E$55=$D34)),IF(ISNUMBER(Data!J34),100*ABS($G34-(Data!J34-$K34)/$M34),0),IF(ISNUMBER(Data!J34),100*ABS($G34-(Data!J34-$K34)/$M34),0)))</f>
        <v>50</v>
      </c>
      <c r="Q34" s="301">
        <f ca="1">IF($H34=0,0,CHOOSE($H34,SUMPRODUCT($O35:$O$55*Q35:Q$55*($E35:$E$55=$D34)),IF(ISNUMBER(Data!K34),100*ABS($G34-(Data!K34-$K34)/$M34),0),IF(ISNUMBER(Data!K34),100*ABS($G34-(Data!K34-$K34)/$M34),0)))</f>
        <v>100</v>
      </c>
      <c r="R34" s="300">
        <f ca="1">IF($H34=0,0,CHOOSE($H34,SUMPRODUCT($O35:$O$55*R35:R$55*($E35:$E$55=$D34)),IF(ISNUMBER(Data!L34),100*ABS($G34-(Data!L34-$K34)/$M34),0),IF(ISNUMBER(Data!L34),100*ABS($G34-(Data!L34-$K34)/$M34),0)))</f>
        <v>100</v>
      </c>
      <c r="S34" s="301">
        <f ca="1">IF($H34=0,0,CHOOSE($H34,SUMPRODUCT($O35:$O$55*S35:S$55*($E35:$E$55=$D34)),IF(ISNUMBER(Data!M34),100*ABS($G34-(Data!M34-$K34)/$M34),0),IF(ISNUMBER(Data!M34),100*ABS($G34-(Data!M34-$K34)/$M34),0)))</f>
        <v>0</v>
      </c>
      <c r="T34" s="300">
        <f ca="1">IF($H34=0,0,CHOOSE($H34,SUMPRODUCT($O35:$O$55*T35:T$55*($E35:$E$55=$D34)),IF(ISNUMBER(Data!N34),100*ABS($G34-(Data!N34-$K34)/$M34),0),IF(ISNUMBER(Data!N34),100*ABS($G34-(Data!N34-$K34)/$M34),0)))</f>
        <v>50</v>
      </c>
      <c r="U34" s="301">
        <f ca="1">IF($H34=0,0,CHOOSE($H34,SUMPRODUCT($O35:$O$55*U35:U$55*($E35:$E$55=$D34)),IF(ISNUMBER(Data!O34),100*ABS($G34-(Data!O34-$K34)/$M34),0),IF(ISNUMBER(Data!O34),100*ABS($G34-(Data!O34-$K34)/$M34),0)))</f>
        <v>50</v>
      </c>
      <c r="V34" s="300">
        <f ca="1">IF($H34=0,0,CHOOSE($H34,SUMPRODUCT($O35:$O$55*V35:V$55*($E35:$E$55=$D34)),IF(ISNUMBER(Data!P34),100*ABS($G34-(Data!P34-$K34)/$M34),0),IF(ISNUMBER(Data!P34),100*ABS($G34-(Data!P34-$K34)/$M34),0)))</f>
        <v>50</v>
      </c>
      <c r="W34" s="301">
        <f ca="1">IF($H34=0,0,CHOOSE($H34,SUMPRODUCT($O35:$O$55*W35:W$55*($E35:$E$55=$D34)),IF(ISNUMBER(Data!Q34),100*ABS($G34-(Data!Q34-$K34)/$M34),0),IF(ISNUMBER(Data!Q34),100*ABS($G34-(Data!Q34-$K34)/$M34),0)))</f>
        <v>50</v>
      </c>
      <c r="X34" s="300">
        <f ca="1">IF($H34=0,0,CHOOSE($H34,SUMPRODUCT($O35:$O$55*X35:X$55*($E35:$E$55=$D34)),IF(ISNUMBER(Data!R34),100*ABS($G34-(Data!R34-$K34)/$M34),0),IF(ISNUMBER(Data!R34),100*ABS($G34-(Data!R34-$K34)/$M34),0)))</f>
        <v>0</v>
      </c>
      <c r="Y34" s="301">
        <f ca="1">IF($H34=0,0,CHOOSE($H34,SUMPRODUCT($O35:$O$55*Y35:Y$55*($E35:$E$55=$D34)),IF(ISNUMBER(Data!S34),100*ABS($G34-(Data!S34-$K34)/$M34),0),IF(ISNUMBER(Data!S34),100*ABS($G34-(Data!S34-$K34)/$M34),0)))</f>
        <v>100</v>
      </c>
      <c r="Z34" s="300">
        <f ca="1">IF($H34=0,0,CHOOSE($H34,SUMPRODUCT($O35:$O$55*Z35:Z$55*($E35:$E$55=$D34)),IF(ISNUMBER(Data!T34),100*ABS($G34-(Data!T34-$K34)/$M34),0),IF(ISNUMBER(Data!T34),100*ABS($G34-(Data!T34-$K34)/$M34),0)))</f>
        <v>50</v>
      </c>
      <c r="AA34" s="301">
        <f ca="1">IF($H34=0,0,CHOOSE($H34,SUMPRODUCT($O35:$O$55*AA35:AA$55*($E35:$E$55=$D34)),IF(ISNUMBER(Data!U34),100*ABS($G34-(Data!U34-$K34)/$M34),0),IF(ISNUMBER(Data!U34),100*ABS($G34-(Data!U34-$K34)/$M34),0)))</f>
        <v>0</v>
      </c>
      <c r="AB34" s="300">
        <f ca="1">IF($H34=0,0,CHOOSE($H34,SUMPRODUCT($O35:$O$55*AB35:AB$55*($E35:$E$55=$D34)),IF(ISNUMBER(Data!V34),100*ABS($G34-(Data!V34-$K34)/$M34),0),IF(ISNUMBER(Data!V34),100*ABS($G34-(Data!V34-$K34)/$M34),0)))</f>
        <v>0</v>
      </c>
      <c r="AC34" s="301">
        <f>IF($H34=0,0,CHOOSE($H34,SUMPRODUCT($O35:$O$55*AC35:AC$55*($E35:$E$55=$D34)),IF(ISNUMBER(Data!W34),100*ABS($G34-(Data!W34-$K34)/$M34),0),IF(ISNUMBER(Data!W34),100*ABS($G34-(Data!W34-$K34)/$M34),0)))</f>
        <v>0</v>
      </c>
      <c r="AD34" s="300">
        <f>IF($H34=0,0,CHOOSE($H34,SUMPRODUCT($O35:$O$55*AD35:AD$55*($E35:$E$55=$D34)),IF(ISNUMBER(Data!X34),100*ABS($G34-(Data!X34-$K34)/$M34),0),IF(ISNUMBER(Data!X34),100*ABS($G34-(Data!X34-$K34)/$M34),0)))</f>
        <v>0</v>
      </c>
      <c r="AE34" s="301">
        <f>IF($H34=0,0,CHOOSE($H34,SUMPRODUCT($O35:$O$55*AE35:AE$55*($E35:$E$55=$D34)),IF(ISNUMBER(Data!Y34),100*ABS($G34-(Data!Y34-$K34)/$M34),0),IF(ISNUMBER(Data!Y34),100*ABS($G34-(Data!Y34-$K34)/$M34),0)))</f>
        <v>0</v>
      </c>
      <c r="AF34" s="300">
        <f>IF($H34=0,0,CHOOSE($H34,SUMPRODUCT($O35:$O$55*AF35:AF$55*($E35:$E$55=$D34)),IF(ISNUMBER(Data!Z34),100*ABS($G34-(Data!Z34-$K34)/$M34),0),IF(ISNUMBER(Data!Z34),100*ABS($G34-(Data!Z34-$K34)/$M34),0)))</f>
        <v>0</v>
      </c>
      <c r="AG34" s="301">
        <f>IF($H34=0,0,CHOOSE($H34,SUMPRODUCT($O35:$O$55*AG35:AG$55*($E35:$E$55=$D34)),IF(ISNUMBER(Data!AA34),100*ABS($G34-(Data!AA34-$K34)/$M34),0),IF(ISNUMBER(Data!AA34),100*ABS($G34-(Data!AA34-$K34)/$M34),0)))</f>
        <v>0</v>
      </c>
      <c r="AH34" s="300">
        <f>IF($H34=0,0,CHOOSE($H34,SUMPRODUCT($O35:$O$55*AH35:AH$55*($E35:$E$55=$D34)),IF(ISNUMBER(Data!AB34),100*ABS($G34-(Data!AB34-$K34)/$M34),0),IF(ISNUMBER(Data!AB34),100*ABS($G34-(Data!AB34-$K34)/$M34),0)))</f>
        <v>0</v>
      </c>
      <c r="AI34" s="301">
        <f>IF($H34=0,0,CHOOSE($H34,SUMPRODUCT($O35:$O$55*AI35:AI$55*($E35:$E$55=$D34)),IF(ISNUMBER(Data!AC34),100*ABS($G34-(Data!AC34-$K34)/$M34),0),IF(ISNUMBER(Data!AC34),100*ABS($G34-(Data!AC34-$K34)/$M34),0)))</f>
        <v>0</v>
      </c>
      <c r="AJ34" s="300">
        <f>IF($H34=0,0,CHOOSE($H34,SUMPRODUCT($O35:$O$55*AJ35:AJ$55*($E35:$E$55=$D34)),IF(ISNUMBER(Data!AD34),100*ABS($G34-(Data!AD34-$K34)/$M34),0),IF(ISNUMBER(Data!AD34),100*ABS($G34-(Data!AD34-$K34)/$M34),0)))</f>
        <v>0</v>
      </c>
      <c r="AK34" s="301">
        <f>IF($H34=0,0,CHOOSE($H34,SUMPRODUCT($O35:$O$55*AK35:AK$55*($E35:$E$55=$D34)),IF(ISNUMBER(Data!AE34),100*ABS($G34-(Data!AE34-$K34)/$M34),0),IF(ISNUMBER(Data!AE34),100*ABS($G34-(Data!AE34-$K34)/$M34),0)))</f>
        <v>0</v>
      </c>
    </row>
    <row r="35" spans="1:37" s="78" customFormat="1" ht="30">
      <c r="A35" s="580">
        <f t="shared" si="3"/>
        <v>35</v>
      </c>
      <c r="B35" s="297">
        <f>tblIndicators!A32</f>
        <v>31</v>
      </c>
      <c r="C35" s="297">
        <f>tblIndicators!B32</f>
        <v>0</v>
      </c>
      <c r="D35" s="297" t="str">
        <f>tblIndicators!D32</f>
        <v>ORG2.2.2</v>
      </c>
      <c r="E35" s="297" t="str">
        <f>tblIndicators!E32</f>
        <v>ORG2.2</v>
      </c>
      <c r="F35" s="297">
        <f>tblIndicators!F32</f>
        <v>3</v>
      </c>
      <c r="G35" s="297">
        <f>tblIndicators!Y32</f>
        <v>0</v>
      </c>
      <c r="H35" s="297">
        <f>tblIndicators!Z32</f>
        <v>3</v>
      </c>
      <c r="I35" s="298">
        <f>tblIndicators!AA32</f>
        <v>0</v>
      </c>
      <c r="J35" s="297">
        <f>tblIndicators!AB32</f>
        <v>2</v>
      </c>
      <c r="K35" s="297">
        <f t="shared" ca="1" si="1"/>
        <v>0</v>
      </c>
      <c r="L35" s="299">
        <f t="shared" ca="1" si="2"/>
        <v>2</v>
      </c>
      <c r="M35" s="297">
        <f t="shared" ca="1" si="4"/>
        <v>2</v>
      </c>
      <c r="N35" s="426" t="str">
        <f>REPT(" ",F35)&amp;tblIndicators!AE32</f>
        <v xml:space="preserve">   2.2.2) 22.¿Cuál es el nivel de participación de las organizaciones de recicladores en la cadena de valor del reciclaje?</v>
      </c>
      <c r="O35" s="302">
        <f>tblIndicators!AD32</f>
        <v>0.33333333333333331</v>
      </c>
      <c r="P35" s="300">
        <f ca="1">IF($H35=0,0,CHOOSE($H35,SUMPRODUCT($O36:$O$55*P36:P$55*($E36:$E$55=$D35)),IF(ISNUMBER(Data!J35),100*ABS($G35-(Data!J35-$K35)/$M35),0),IF(ISNUMBER(Data!J35),100*ABS($G35-(Data!J35-$K35)/$M35),0)))</f>
        <v>0</v>
      </c>
      <c r="Q35" s="301">
        <f ca="1">IF($H35=0,0,CHOOSE($H35,SUMPRODUCT($O36:$O$55*Q36:Q$55*($E36:$E$55=$D35)),IF(ISNUMBER(Data!K35),100*ABS($G35-(Data!K35-$K35)/$M35),0),IF(ISNUMBER(Data!K35),100*ABS($G35-(Data!K35-$K35)/$M35),0)))</f>
        <v>50</v>
      </c>
      <c r="R35" s="300">
        <f ca="1">IF($H35=0,0,CHOOSE($H35,SUMPRODUCT($O36:$O$55*R36:R$55*($E36:$E$55=$D35)),IF(ISNUMBER(Data!L35),100*ABS($G35-(Data!L35-$K35)/$M35),0),IF(ISNUMBER(Data!L35),100*ABS($G35-(Data!L35-$K35)/$M35),0)))</f>
        <v>100</v>
      </c>
      <c r="S35" s="301">
        <f ca="1">IF($H35=0,0,CHOOSE($H35,SUMPRODUCT($O36:$O$55*S36:S$55*($E36:$E$55=$D35)),IF(ISNUMBER(Data!M35),100*ABS($G35-(Data!M35-$K35)/$M35),0),IF(ISNUMBER(Data!M35),100*ABS($G35-(Data!M35-$K35)/$M35),0)))</f>
        <v>0</v>
      </c>
      <c r="T35" s="300">
        <f ca="1">IF($H35=0,0,CHOOSE($H35,SUMPRODUCT($O36:$O$55*T36:T$55*($E36:$E$55=$D35)),IF(ISNUMBER(Data!N35),100*ABS($G35-(Data!N35-$K35)/$M35),0),IF(ISNUMBER(Data!N35),100*ABS($G35-(Data!N35-$K35)/$M35),0)))</f>
        <v>50</v>
      </c>
      <c r="U35" s="301">
        <f ca="1">IF($H35=0,0,CHOOSE($H35,SUMPRODUCT($O36:$O$55*U36:U$55*($E36:$E$55=$D35)),IF(ISNUMBER(Data!O35),100*ABS($G35-(Data!O35-$K35)/$M35),0),IF(ISNUMBER(Data!O35),100*ABS($G35-(Data!O35-$K35)/$M35),0)))</f>
        <v>50</v>
      </c>
      <c r="V35" s="300">
        <f ca="1">IF($H35=0,0,CHOOSE($H35,SUMPRODUCT($O36:$O$55*V36:V$55*($E36:$E$55=$D35)),IF(ISNUMBER(Data!P35),100*ABS($G35-(Data!P35-$K35)/$M35),0),IF(ISNUMBER(Data!P35),100*ABS($G35-(Data!P35-$K35)/$M35),0)))</f>
        <v>0</v>
      </c>
      <c r="W35" s="301">
        <f ca="1">IF($H35=0,0,CHOOSE($H35,SUMPRODUCT($O36:$O$55*W36:W$55*($E36:$E$55=$D35)),IF(ISNUMBER(Data!Q35),100*ABS($G35-(Data!Q35-$K35)/$M35),0),IF(ISNUMBER(Data!Q35),100*ABS($G35-(Data!Q35-$K35)/$M35),0)))</f>
        <v>50</v>
      </c>
      <c r="X35" s="300">
        <f ca="1">IF($H35=0,0,CHOOSE($H35,SUMPRODUCT($O36:$O$55*X36:X$55*($E36:$E$55=$D35)),IF(ISNUMBER(Data!R35),100*ABS($G35-(Data!R35-$K35)/$M35),0),IF(ISNUMBER(Data!R35),100*ABS($G35-(Data!R35-$K35)/$M35),0)))</f>
        <v>0</v>
      </c>
      <c r="Y35" s="301">
        <f ca="1">IF($H35=0,0,CHOOSE($H35,SUMPRODUCT($O36:$O$55*Y36:Y$55*($E36:$E$55=$D35)),IF(ISNUMBER(Data!S35),100*ABS($G35-(Data!S35-$K35)/$M35),0),IF(ISNUMBER(Data!S35),100*ABS($G35-(Data!S35-$K35)/$M35),0)))</f>
        <v>100</v>
      </c>
      <c r="Z35" s="300">
        <f ca="1">IF($H35=0,0,CHOOSE($H35,SUMPRODUCT($O36:$O$55*Z36:Z$55*($E36:$E$55=$D35)),IF(ISNUMBER(Data!T35),100*ABS($G35-(Data!T35-$K35)/$M35),0),IF(ISNUMBER(Data!T35),100*ABS($G35-(Data!T35-$K35)/$M35),0)))</f>
        <v>50</v>
      </c>
      <c r="AA35" s="301">
        <f ca="1">IF($H35=0,0,CHOOSE($H35,SUMPRODUCT($O36:$O$55*AA36:AA$55*($E36:$E$55=$D35)),IF(ISNUMBER(Data!U35),100*ABS($G35-(Data!U35-$K35)/$M35),0),IF(ISNUMBER(Data!U35),100*ABS($G35-(Data!U35-$K35)/$M35),0)))</f>
        <v>50</v>
      </c>
      <c r="AB35" s="300">
        <f ca="1">IF($H35=0,0,CHOOSE($H35,SUMPRODUCT($O36:$O$55*AB36:AB$55*($E36:$E$55=$D35)),IF(ISNUMBER(Data!V35),100*ABS($G35-(Data!V35-$K35)/$M35),0),IF(ISNUMBER(Data!V35),100*ABS($G35-(Data!V35-$K35)/$M35),0)))</f>
        <v>0</v>
      </c>
      <c r="AC35" s="301">
        <f>IF($H35=0,0,CHOOSE($H35,SUMPRODUCT($O36:$O$55*AC36:AC$55*($E36:$E$55=$D35)),IF(ISNUMBER(Data!W35),100*ABS($G35-(Data!W35-$K35)/$M35),0),IF(ISNUMBER(Data!W35),100*ABS($G35-(Data!W35-$K35)/$M35),0)))</f>
        <v>0</v>
      </c>
      <c r="AD35" s="300">
        <f>IF($H35=0,0,CHOOSE($H35,SUMPRODUCT($O36:$O$55*AD36:AD$55*($E36:$E$55=$D35)),IF(ISNUMBER(Data!X35),100*ABS($G35-(Data!X35-$K35)/$M35),0),IF(ISNUMBER(Data!X35),100*ABS($G35-(Data!X35-$K35)/$M35),0)))</f>
        <v>0</v>
      </c>
      <c r="AE35" s="301">
        <f>IF($H35=0,0,CHOOSE($H35,SUMPRODUCT($O36:$O$55*AE36:AE$55*($E36:$E$55=$D35)),IF(ISNUMBER(Data!Y35),100*ABS($G35-(Data!Y35-$K35)/$M35),0),IF(ISNUMBER(Data!Y35),100*ABS($G35-(Data!Y35-$K35)/$M35),0)))</f>
        <v>0</v>
      </c>
      <c r="AF35" s="300">
        <f>IF($H35=0,0,CHOOSE($H35,SUMPRODUCT($O36:$O$55*AF36:AF$55*($E36:$E$55=$D35)),IF(ISNUMBER(Data!Z35),100*ABS($G35-(Data!Z35-$K35)/$M35),0),IF(ISNUMBER(Data!Z35),100*ABS($G35-(Data!Z35-$K35)/$M35),0)))</f>
        <v>0</v>
      </c>
      <c r="AG35" s="301">
        <f>IF($H35=0,0,CHOOSE($H35,SUMPRODUCT($O36:$O$55*AG36:AG$55*($E36:$E$55=$D35)),IF(ISNUMBER(Data!AA35),100*ABS($G35-(Data!AA35-$K35)/$M35),0),IF(ISNUMBER(Data!AA35),100*ABS($G35-(Data!AA35-$K35)/$M35),0)))</f>
        <v>0</v>
      </c>
      <c r="AH35" s="300">
        <f>IF($H35=0,0,CHOOSE($H35,SUMPRODUCT($O36:$O$55*AH36:AH$55*($E36:$E$55=$D35)),IF(ISNUMBER(Data!AB35),100*ABS($G35-(Data!AB35-$K35)/$M35),0),IF(ISNUMBER(Data!AB35),100*ABS($G35-(Data!AB35-$K35)/$M35),0)))</f>
        <v>0</v>
      </c>
      <c r="AI35" s="301">
        <f>IF($H35=0,0,CHOOSE($H35,SUMPRODUCT($O36:$O$55*AI36:AI$55*($E36:$E$55=$D35)),IF(ISNUMBER(Data!AC35),100*ABS($G35-(Data!AC35-$K35)/$M35),0),IF(ISNUMBER(Data!AC35),100*ABS($G35-(Data!AC35-$K35)/$M35),0)))</f>
        <v>0</v>
      </c>
      <c r="AJ35" s="300">
        <f>IF($H35=0,0,CHOOSE($H35,SUMPRODUCT($O36:$O$55*AJ36:AJ$55*($E36:$E$55=$D35)),IF(ISNUMBER(Data!AD35),100*ABS($G35-(Data!AD35-$K35)/$M35),0),IF(ISNUMBER(Data!AD35),100*ABS($G35-(Data!AD35-$K35)/$M35),0)))</f>
        <v>0</v>
      </c>
      <c r="AK35" s="301">
        <f>IF($H35=0,0,CHOOSE($H35,SUMPRODUCT($O36:$O$55*AK36:AK$55*($E36:$E$55=$D35)),IF(ISNUMBER(Data!AE35),100*ABS($G35-(Data!AE35-$K35)/$M35),0),IF(ISNUMBER(Data!AE35),100*ABS($G35-(Data!AE35-$K35)/$M35),0)))</f>
        <v>0</v>
      </c>
    </row>
    <row r="36" spans="1:37" s="78" customFormat="1" ht="30">
      <c r="A36" s="580">
        <f t="shared" si="3"/>
        <v>36</v>
      </c>
      <c r="B36" s="297">
        <f>tblIndicators!A33</f>
        <v>32</v>
      </c>
      <c r="C36" s="297">
        <f>tblIndicators!B33</f>
        <v>0</v>
      </c>
      <c r="D36" s="297" t="str">
        <f>tblIndicators!D33</f>
        <v>ORG2.2.3</v>
      </c>
      <c r="E36" s="297" t="str">
        <f>tblIndicators!E33</f>
        <v>ORG2.2</v>
      </c>
      <c r="F36" s="297">
        <f>tblIndicators!F33</f>
        <v>3</v>
      </c>
      <c r="G36" s="297">
        <f>tblIndicators!Y33</f>
        <v>0</v>
      </c>
      <c r="H36" s="297">
        <f>tblIndicators!Z33</f>
        <v>3</v>
      </c>
      <c r="I36" s="298">
        <f>tblIndicators!AA33</f>
        <v>0</v>
      </c>
      <c r="J36" s="297">
        <f>tblIndicators!AB33</f>
        <v>3</v>
      </c>
      <c r="K36" s="297">
        <f t="shared" ca="1" si="1"/>
        <v>0</v>
      </c>
      <c r="L36" s="299">
        <f t="shared" ca="1" si="2"/>
        <v>3</v>
      </c>
      <c r="M36" s="297">
        <f t="shared" ca="1" si="4"/>
        <v>3</v>
      </c>
      <c r="N36" s="426" t="str">
        <f>REPT(" ",F36)&amp;tblIndicators!AE33</f>
        <v xml:space="preserve">   2.2.3) 23. Las organizaciones comerciales de recicladores: ¿Tienen acceso a mecanismos de financiamiento?</v>
      </c>
      <c r="O36" s="302">
        <f>tblIndicators!AD33</f>
        <v>0.33333333333333331</v>
      </c>
      <c r="P36" s="300">
        <f ca="1">IF($H36=0,0,CHOOSE($H36,SUMPRODUCT($O37:$O$55*P37:P$55*($E37:$E$55=$D36)),IF(ISNUMBER(Data!J36),100*ABS($G36-(Data!J36-$K36)/$M36),0),IF(ISNUMBER(Data!J36),100*ABS($G36-(Data!J36-$K36)/$M36),0)))</f>
        <v>0</v>
      </c>
      <c r="Q36" s="301">
        <f ca="1">IF($H36=0,0,CHOOSE($H36,SUMPRODUCT($O37:$O$55*Q37:Q$55*($E37:$E$55=$D36)),IF(ISNUMBER(Data!K36),100*ABS($G36-(Data!K36-$K36)/$M36),0),IF(ISNUMBER(Data!K36),100*ABS($G36-(Data!K36-$K36)/$M36),0)))</f>
        <v>0</v>
      </c>
      <c r="R36" s="300">
        <f ca="1">IF($H36=0,0,CHOOSE($H36,SUMPRODUCT($O37:$O$55*R37:R$55*($E37:$E$55=$D36)),IF(ISNUMBER(Data!L36),100*ABS($G36-(Data!L36-$K36)/$M36),0),IF(ISNUMBER(Data!L36),100*ABS($G36-(Data!L36-$K36)/$M36),0)))</f>
        <v>66.666666666666657</v>
      </c>
      <c r="S36" s="301">
        <f ca="1">IF($H36=0,0,CHOOSE($H36,SUMPRODUCT($O37:$O$55*S37:S$55*($E37:$E$55=$D36)),IF(ISNUMBER(Data!M36),100*ABS($G36-(Data!M36-$K36)/$M36),0),IF(ISNUMBER(Data!M36),100*ABS($G36-(Data!M36-$K36)/$M36),0)))</f>
        <v>0</v>
      </c>
      <c r="T36" s="300">
        <f ca="1">IF($H36=0,0,CHOOSE($H36,SUMPRODUCT($O37:$O$55*T37:T$55*($E37:$E$55=$D36)),IF(ISNUMBER(Data!N36),100*ABS($G36-(Data!N36-$K36)/$M36),0),IF(ISNUMBER(Data!N36),100*ABS($G36-(Data!N36-$K36)/$M36),0)))</f>
        <v>0</v>
      </c>
      <c r="U36" s="301">
        <f ca="1">IF($H36=0,0,CHOOSE($H36,SUMPRODUCT($O37:$O$55*U37:U$55*($E37:$E$55=$D36)),IF(ISNUMBER(Data!O36),100*ABS($G36-(Data!O36-$K36)/$M36),0),IF(ISNUMBER(Data!O36),100*ABS($G36-(Data!O36-$K36)/$M36),0)))</f>
        <v>0</v>
      </c>
      <c r="V36" s="300">
        <f ca="1">IF($H36=0,0,CHOOSE($H36,SUMPRODUCT($O37:$O$55*V37:V$55*($E37:$E$55=$D36)),IF(ISNUMBER(Data!P36),100*ABS($G36-(Data!P36-$K36)/$M36),0),IF(ISNUMBER(Data!P36),100*ABS($G36-(Data!P36-$K36)/$M36),0)))</f>
        <v>0</v>
      </c>
      <c r="W36" s="301">
        <f ca="1">IF($H36=0,0,CHOOSE($H36,SUMPRODUCT($O37:$O$55*W37:W$55*($E37:$E$55=$D36)),IF(ISNUMBER(Data!Q36),100*ABS($G36-(Data!Q36-$K36)/$M36),0),IF(ISNUMBER(Data!Q36),100*ABS($G36-(Data!Q36-$K36)/$M36),0)))</f>
        <v>0</v>
      </c>
      <c r="X36" s="300">
        <f ca="1">IF($H36=0,0,CHOOSE($H36,SUMPRODUCT($O37:$O$55*X37:X$55*($E37:$E$55=$D36)),IF(ISNUMBER(Data!R36),100*ABS($G36-(Data!R36-$K36)/$M36),0),IF(ISNUMBER(Data!R36),100*ABS($G36-(Data!R36-$K36)/$M36),0)))</f>
        <v>0</v>
      </c>
      <c r="Y36" s="301">
        <f ca="1">IF($H36=0,0,CHOOSE($H36,SUMPRODUCT($O37:$O$55*Y37:Y$55*($E37:$E$55=$D36)),IF(ISNUMBER(Data!S36),100*ABS($G36-(Data!S36-$K36)/$M36),0),IF(ISNUMBER(Data!S36),100*ABS($G36-(Data!S36-$K36)/$M36),0)))</f>
        <v>33.333333333333329</v>
      </c>
      <c r="Z36" s="300">
        <f ca="1">IF($H36=0,0,CHOOSE($H36,SUMPRODUCT($O37:$O$55*Z37:Z$55*($E37:$E$55=$D36)),IF(ISNUMBER(Data!T36),100*ABS($G36-(Data!T36-$K36)/$M36),0),IF(ISNUMBER(Data!T36),100*ABS($G36-(Data!T36-$K36)/$M36),0)))</f>
        <v>0</v>
      </c>
      <c r="AA36" s="301">
        <f ca="1">IF($H36=0,0,CHOOSE($H36,SUMPRODUCT($O37:$O$55*AA37:AA$55*($E37:$E$55=$D36)),IF(ISNUMBER(Data!U36),100*ABS($G36-(Data!U36-$K36)/$M36),0),IF(ISNUMBER(Data!U36),100*ABS($G36-(Data!U36-$K36)/$M36),0)))</f>
        <v>66.666666666666657</v>
      </c>
      <c r="AB36" s="300">
        <f ca="1">IF($H36=0,0,CHOOSE($H36,SUMPRODUCT($O37:$O$55*AB37:AB$55*($E37:$E$55=$D36)),IF(ISNUMBER(Data!V36),100*ABS($G36-(Data!V36-$K36)/$M36),0),IF(ISNUMBER(Data!V36),100*ABS($G36-(Data!V36-$K36)/$M36),0)))</f>
        <v>0</v>
      </c>
      <c r="AC36" s="301">
        <f>IF($H36=0,0,CHOOSE($H36,SUMPRODUCT($O37:$O$55*AC37:AC$55*($E37:$E$55=$D36)),IF(ISNUMBER(Data!W36),100*ABS($G36-(Data!W36-$K36)/$M36),0),IF(ISNUMBER(Data!W36),100*ABS($G36-(Data!W36-$K36)/$M36),0)))</f>
        <v>0</v>
      </c>
      <c r="AD36" s="300">
        <f>IF($H36=0,0,CHOOSE($H36,SUMPRODUCT($O37:$O$55*AD37:AD$55*($E37:$E$55=$D36)),IF(ISNUMBER(Data!X36),100*ABS($G36-(Data!X36-$K36)/$M36),0),IF(ISNUMBER(Data!X36),100*ABS($G36-(Data!X36-$K36)/$M36),0)))</f>
        <v>0</v>
      </c>
      <c r="AE36" s="301">
        <f>IF($H36=0,0,CHOOSE($H36,SUMPRODUCT($O37:$O$55*AE37:AE$55*($E37:$E$55=$D36)),IF(ISNUMBER(Data!Y36),100*ABS($G36-(Data!Y36-$K36)/$M36),0),IF(ISNUMBER(Data!Y36),100*ABS($G36-(Data!Y36-$K36)/$M36),0)))</f>
        <v>0</v>
      </c>
      <c r="AF36" s="300">
        <f>IF($H36=0,0,CHOOSE($H36,SUMPRODUCT($O37:$O$55*AF37:AF$55*($E37:$E$55=$D36)),IF(ISNUMBER(Data!Z36),100*ABS($G36-(Data!Z36-$K36)/$M36),0),IF(ISNUMBER(Data!Z36),100*ABS($G36-(Data!Z36-$K36)/$M36),0)))</f>
        <v>0</v>
      </c>
      <c r="AG36" s="301">
        <f>IF($H36=0,0,CHOOSE($H36,SUMPRODUCT($O37:$O$55*AG37:AG$55*($E37:$E$55=$D36)),IF(ISNUMBER(Data!AA36),100*ABS($G36-(Data!AA36-$K36)/$M36),0),IF(ISNUMBER(Data!AA36),100*ABS($G36-(Data!AA36-$K36)/$M36),0)))</f>
        <v>0</v>
      </c>
      <c r="AH36" s="300">
        <f>IF($H36=0,0,CHOOSE($H36,SUMPRODUCT($O37:$O$55*AH37:AH$55*($E37:$E$55=$D36)),IF(ISNUMBER(Data!AB36),100*ABS($G36-(Data!AB36-$K36)/$M36),0),IF(ISNUMBER(Data!AB36),100*ABS($G36-(Data!AB36-$K36)/$M36),0)))</f>
        <v>0</v>
      </c>
      <c r="AI36" s="301">
        <f>IF($H36=0,0,CHOOSE($H36,SUMPRODUCT($O37:$O$55*AI37:AI$55*($E37:$E$55=$D36)),IF(ISNUMBER(Data!AC36),100*ABS($G36-(Data!AC36-$K36)/$M36),0),IF(ISNUMBER(Data!AC36),100*ABS($G36-(Data!AC36-$K36)/$M36),0)))</f>
        <v>0</v>
      </c>
      <c r="AJ36" s="300">
        <f>IF($H36=0,0,CHOOSE($H36,SUMPRODUCT($O37:$O$55*AJ37:AJ$55*($E37:$E$55=$D36)),IF(ISNUMBER(Data!AD36),100*ABS($G36-(Data!AD36-$K36)/$M36),0),IF(ISNUMBER(Data!AD36),100*ABS($G36-(Data!AD36-$K36)/$M36),0)))</f>
        <v>0</v>
      </c>
      <c r="AK36" s="301">
        <f>IF($H36=0,0,CHOOSE($H36,SUMPRODUCT($O37:$O$55*AK37:AK$55*($E37:$E$55=$D36)),IF(ISNUMBER(Data!AE36),100*ABS($G36-(Data!AE36-$K36)/$M36),0),IF(ISNUMBER(Data!AE36),100*ABS($G36-(Data!AE36-$K36)/$M36),0)))</f>
        <v>0</v>
      </c>
    </row>
    <row r="37" spans="1:37" s="78" customFormat="1" ht="15">
      <c r="A37" s="580">
        <f t="shared" si="3"/>
        <v>37</v>
      </c>
      <c r="B37" s="297">
        <f>tblIndicators!A34</f>
        <v>33</v>
      </c>
      <c r="C37" s="297">
        <f>tblIndicators!B34</f>
        <v>0</v>
      </c>
      <c r="D37" s="297" t="str">
        <f>tblIndicators!D34</f>
        <v>MERC</v>
      </c>
      <c r="E37" s="297" t="str">
        <f>tblIndicators!E34</f>
        <v>OVERALL</v>
      </c>
      <c r="F37" s="297">
        <f>tblIndicators!F34</f>
        <v>1</v>
      </c>
      <c r="G37" s="297" t="str">
        <f>tblIndicators!Y34</f>
        <v/>
      </c>
      <c r="H37" s="297">
        <f>tblIndicators!Z34</f>
        <v>1</v>
      </c>
      <c r="I37" s="298" t="str">
        <f>tblIndicators!AA34</f>
        <v/>
      </c>
      <c r="J37" s="297">
        <f>tblIndicators!AB34</f>
        <v>0</v>
      </c>
      <c r="K37" s="297" t="str">
        <f t="shared" ca="1" si="1"/>
        <v>-</v>
      </c>
      <c r="L37" s="299" t="str">
        <f t="shared" ca="1" si="2"/>
        <v>-</v>
      </c>
      <c r="M37" s="297" t="str">
        <f t="shared" si="4"/>
        <v>-</v>
      </c>
      <c r="N37" s="426" t="str">
        <f>REPT(" ",F37)&amp;tblIndicators!AE34</f>
        <v xml:space="preserve"> 3) MERCADO</v>
      </c>
      <c r="O37" s="540">
        <f>tblIndicators!AD34</f>
        <v>0.33333333333333331</v>
      </c>
      <c r="P37" s="300">
        <f ca="1">IF($H37=0,0,CHOOSE($H37,SUMPRODUCT($O38:$O$55*P38:P$55*($E38:$E$55=$D37)),IF(ISNUMBER(Data!J37),100*ABS($G37-(Data!J37-$K37)/$M37),0),IF(ISNUMBER(Data!J37),100*ABS($G37-(Data!J37-$K37)/$M37),0)))</f>
        <v>27.448964052231986</v>
      </c>
      <c r="Q37" s="301">
        <f ca="1">IF($H37=0,0,CHOOSE($H37,SUMPRODUCT($O38:$O$55*Q38:Q$55*($E38:$E$55=$D37)),IF(ISNUMBER(Data!K37),100*ABS($G37-(Data!K37-$K37)/$M37),0),IF(ISNUMBER(Data!K37),100*ABS($G37-(Data!K37-$K37)/$M37),0)))</f>
        <v>62.932975866615465</v>
      </c>
      <c r="R37" s="300">
        <f ca="1">IF($H37=0,0,CHOOSE($H37,SUMPRODUCT($O38:$O$55*R38:R$55*($E38:$E$55=$D37)),IF(ISNUMBER(Data!L37),100*ABS($G37-(Data!L37-$K37)/$M37),0),IF(ISNUMBER(Data!L37),100*ABS($G37-(Data!L37-$K37)/$M37),0)))</f>
        <v>91.981671779141109</v>
      </c>
      <c r="S37" s="301">
        <f ca="1">IF($H37=0,0,CHOOSE($H37,SUMPRODUCT($O38:$O$55*S38:S$55*($E38:$E$55=$D37)),IF(ISNUMBER(Data!M37),100*ABS($G37-(Data!M37-$K37)/$M37),0),IF(ISNUMBER(Data!M37),100*ABS($G37-(Data!M37-$K37)/$M37),0)))</f>
        <v>36.590144901111159</v>
      </c>
      <c r="T37" s="300">
        <f ca="1">IF($H37=0,0,CHOOSE($H37,SUMPRODUCT($O38:$O$55*T38:T$55*($E38:$E$55=$D37)),IF(ISNUMBER(Data!N37),100*ABS($G37-(Data!N37-$K37)/$M37),0),IF(ISNUMBER(Data!N37),100*ABS($G37-(Data!N37-$K37)/$M37),0)))</f>
        <v>50.503734027986333</v>
      </c>
      <c r="U37" s="301">
        <f ca="1">IF($H37=0,0,CHOOSE($H37,SUMPRODUCT($O38:$O$55*U38:U$55*($E38:$E$55=$D37)),IF(ISNUMBER(Data!O37),100*ABS($G37-(Data!O37-$K37)/$M37),0),IF(ISNUMBER(Data!O37),100*ABS($G37-(Data!O37-$K37)/$M37),0)))</f>
        <v>52.14261120983226</v>
      </c>
      <c r="V37" s="300">
        <f ca="1">IF($H37=0,0,CHOOSE($H37,SUMPRODUCT($O38:$O$55*V38:V$55*($E38:$E$55=$D37)),IF(ISNUMBER(Data!P37),100*ABS($G37-(Data!P37-$K37)/$M37),0),IF(ISNUMBER(Data!P37),100*ABS($G37-(Data!P37-$K37)/$M37),0)))</f>
        <v>41.189746928694348</v>
      </c>
      <c r="W37" s="301">
        <f ca="1">IF($H37=0,0,CHOOSE($H37,SUMPRODUCT($O38:$O$55*W38:W$55*($E38:$E$55=$D37)),IF(ISNUMBER(Data!Q37),100*ABS($G37-(Data!Q37-$K37)/$M37),0),IF(ISNUMBER(Data!Q37),100*ABS($G37-(Data!Q37-$K37)/$M37),0)))</f>
        <v>34.863053613053609</v>
      </c>
      <c r="X37" s="300">
        <f ca="1">IF($H37=0,0,CHOOSE($H37,SUMPRODUCT($O38:$O$55*X38:X$55*($E38:$E$55=$D37)),IF(ISNUMBER(Data!R37),100*ABS($G37-(Data!R37-$K37)/$M37),0),IF(ISNUMBER(Data!R37),100*ABS($G37-(Data!R37-$K37)/$M37),0)))</f>
        <v>26.041666666666664</v>
      </c>
      <c r="Y37" s="301">
        <f ca="1">IF($H37=0,0,CHOOSE($H37,SUMPRODUCT($O38:$O$55*Y38:Y$55*($E38:$E$55=$D37)),IF(ISNUMBER(Data!S37),100*ABS($G37-(Data!S37-$K37)/$M37),0),IF(ISNUMBER(Data!S37),100*ABS($G37-(Data!S37-$K37)/$M37),0)))</f>
        <v>72.149295791585246</v>
      </c>
      <c r="Z37" s="300">
        <f ca="1">IF($H37=0,0,CHOOSE($H37,SUMPRODUCT($O38:$O$55*Z38:Z$55*($E38:$E$55=$D37)),IF(ISNUMBER(Data!T37),100*ABS($G37-(Data!T37-$K37)/$M37),0),IF(ISNUMBER(Data!T37),100*ABS($G37-(Data!T37-$K37)/$M37),0)))</f>
        <v>47.77740919612085</v>
      </c>
      <c r="AA37" s="301">
        <f ca="1">IF($H37=0,0,CHOOSE($H37,SUMPRODUCT($O38:$O$55*AA38:AA$55*($E38:$E$55=$D37)),IF(ISNUMBER(Data!U37),100*ABS($G37-(Data!U37-$K37)/$M37),0),IF(ISNUMBER(Data!U37),100*ABS($G37-(Data!U37-$K37)/$M37),0)))</f>
        <v>55.437108967208651</v>
      </c>
      <c r="AB37" s="300">
        <f ca="1">IF($H37=0,0,CHOOSE($H37,SUMPRODUCT($O38:$O$55*AB38:AB$55*($E38:$E$55=$D37)),IF(ISNUMBER(Data!V37),100*ABS($G37-(Data!V37-$K37)/$M37),0),IF(ISNUMBER(Data!V37),100*ABS($G37-(Data!V37-$K37)/$M37),0)))</f>
        <v>14.607286884894247</v>
      </c>
      <c r="AC37" s="301">
        <f>IF($H37=0,0,CHOOSE($H37,SUMPRODUCT($O38:$O$55*AC38:AC$55*($E38:$E$55=$D37)),IF(ISNUMBER(Data!W37),100*ABS($G37-(Data!W37-$K37)/$M37),0),IF(ISNUMBER(Data!W37),100*ABS($G37-(Data!W37-$K37)/$M37),0)))</f>
        <v>0</v>
      </c>
      <c r="AD37" s="300">
        <f>IF($H37=0,0,CHOOSE($H37,SUMPRODUCT($O38:$O$55*AD38:AD$55*($E38:$E$55=$D37)),IF(ISNUMBER(Data!X37),100*ABS($G37-(Data!X37-$K37)/$M37),0),IF(ISNUMBER(Data!X37),100*ABS($G37-(Data!X37-$K37)/$M37),0)))</f>
        <v>0</v>
      </c>
      <c r="AE37" s="301">
        <f>IF($H37=0,0,CHOOSE($H37,SUMPRODUCT($O38:$O$55*AE38:AE$55*($E38:$E$55=$D37)),IF(ISNUMBER(Data!Y37),100*ABS($G37-(Data!Y37-$K37)/$M37),0),IF(ISNUMBER(Data!Y37),100*ABS($G37-(Data!Y37-$K37)/$M37),0)))</f>
        <v>0</v>
      </c>
      <c r="AF37" s="300">
        <f>IF($H37=0,0,CHOOSE($H37,SUMPRODUCT($O38:$O$55*AF38:AF$55*($E38:$E$55=$D37)),IF(ISNUMBER(Data!Z37),100*ABS($G37-(Data!Z37-$K37)/$M37),0),IF(ISNUMBER(Data!Z37),100*ABS($G37-(Data!Z37-$K37)/$M37),0)))</f>
        <v>0</v>
      </c>
      <c r="AG37" s="301">
        <f>IF($H37=0,0,CHOOSE($H37,SUMPRODUCT($O38:$O$55*AG38:AG$55*($E38:$E$55=$D37)),IF(ISNUMBER(Data!AA37),100*ABS($G37-(Data!AA37-$K37)/$M37),0),IF(ISNUMBER(Data!AA37),100*ABS($G37-(Data!AA37-$K37)/$M37),0)))</f>
        <v>0</v>
      </c>
      <c r="AH37" s="300">
        <f>IF($H37=0,0,CHOOSE($H37,SUMPRODUCT($O38:$O$55*AH38:AH$55*($E38:$E$55=$D37)),IF(ISNUMBER(Data!AB37),100*ABS($G37-(Data!AB37-$K37)/$M37),0),IF(ISNUMBER(Data!AB37),100*ABS($G37-(Data!AB37-$K37)/$M37),0)))</f>
        <v>0</v>
      </c>
      <c r="AI37" s="301">
        <f>IF($H37=0,0,CHOOSE($H37,SUMPRODUCT($O38:$O$55*AI38:AI$55*($E38:$E$55=$D37)),IF(ISNUMBER(Data!AC37),100*ABS($G37-(Data!AC37-$K37)/$M37),0),IF(ISNUMBER(Data!AC37),100*ABS($G37-(Data!AC37-$K37)/$M37),0)))</f>
        <v>0</v>
      </c>
      <c r="AJ37" s="300">
        <f>IF($H37=0,0,CHOOSE($H37,SUMPRODUCT($O38:$O$55*AJ38:AJ$55*($E38:$E$55=$D37)),IF(ISNUMBER(Data!AD37),100*ABS($G37-(Data!AD37-$K37)/$M37),0),IF(ISNUMBER(Data!AD37),100*ABS($G37-(Data!AD37-$K37)/$M37),0)))</f>
        <v>0</v>
      </c>
      <c r="AK37" s="301">
        <f>IF($H37=0,0,CHOOSE($H37,SUMPRODUCT($O38:$O$55*AK38:AK$55*($E38:$E$55=$D37)),IF(ISNUMBER(Data!AE37),100*ABS($G37-(Data!AE37-$K37)/$M37),0),IF(ISNUMBER(Data!AE37),100*ABS($G37-(Data!AE37-$K37)/$M37),0)))</f>
        <v>0</v>
      </c>
    </row>
    <row r="38" spans="1:37" s="78" customFormat="1" ht="15">
      <c r="A38" s="580">
        <f t="shared" si="3"/>
        <v>38</v>
      </c>
      <c r="B38" s="297">
        <f>tblIndicators!A35</f>
        <v>34</v>
      </c>
      <c r="C38" s="297">
        <f>tblIndicators!B35</f>
        <v>0</v>
      </c>
      <c r="D38" s="297" t="str">
        <f>tblIndicators!D35</f>
        <v>MERC3.1</v>
      </c>
      <c r="E38" s="297" t="str">
        <f>tblIndicators!E35</f>
        <v>MERC</v>
      </c>
      <c r="F38" s="297">
        <f>tblIndicators!F35</f>
        <v>2</v>
      </c>
      <c r="G38" s="297" t="str">
        <f>tblIndicators!Y35</f>
        <v/>
      </c>
      <c r="H38" s="297">
        <f>tblIndicators!Z35</f>
        <v>1</v>
      </c>
      <c r="I38" s="298" t="str">
        <f>tblIndicators!AA35</f>
        <v/>
      </c>
      <c r="J38" s="297">
        <f>tblIndicators!AB35</f>
        <v>0</v>
      </c>
      <c r="K38" s="297" t="str">
        <f t="shared" ca="1" si="1"/>
        <v>-</v>
      </c>
      <c r="L38" s="299" t="str">
        <f t="shared" ca="1" si="2"/>
        <v>-</v>
      </c>
      <c r="M38" s="297" t="str">
        <f t="shared" si="4"/>
        <v>-</v>
      </c>
      <c r="N38" s="426" t="str">
        <f>REPT(" ",F38)&amp;tblIndicators!AE35</f>
        <v xml:space="preserve">  3.1) Condiciones de acceso y almacenamiento de residuos</v>
      </c>
      <c r="O38" s="302">
        <f>tblIndicators!AD35</f>
        <v>0.25</v>
      </c>
      <c r="P38" s="300">
        <f ca="1">IF($H38=0,0,CHOOSE($H38,SUMPRODUCT($O39:$O$55*P39:P$55*($E39:$E$55=$D38)),IF(ISNUMBER(Data!J38),100*ABS($G38-(Data!J38-$K38)/$M38),0),IF(ISNUMBER(Data!J38),100*ABS($G38-(Data!J38-$K38)/$M38),0)))</f>
        <v>8.3333333333333321</v>
      </c>
      <c r="Q38" s="301">
        <f ca="1">IF($H38=0,0,CHOOSE($H38,SUMPRODUCT($O39:$O$55*Q39:Q$55*($E39:$E$55=$D38)),IF(ISNUMBER(Data!K38),100*ABS($G38-(Data!K38-$K38)/$M38),0),IF(ISNUMBER(Data!K38),100*ABS($G38-(Data!K38-$K38)/$M38),0)))</f>
        <v>54.166666666666664</v>
      </c>
      <c r="R38" s="300">
        <f ca="1">IF($H38=0,0,CHOOSE($H38,SUMPRODUCT($O39:$O$55*R39:R$55*($E39:$E$55=$D38)),IF(ISNUMBER(Data!L38),100*ABS($G38-(Data!L38-$K38)/$M38),0),IF(ISNUMBER(Data!L38),100*ABS($G38-(Data!L38-$K38)/$M38),0)))</f>
        <v>100</v>
      </c>
      <c r="S38" s="301">
        <f ca="1">IF($H38=0,0,CHOOSE($H38,SUMPRODUCT($O39:$O$55*S39:S$55*($E39:$E$55=$D38)),IF(ISNUMBER(Data!M38),100*ABS($G38-(Data!M38-$K38)/$M38),0),IF(ISNUMBER(Data!M38),100*ABS($G38-(Data!M38-$K38)/$M38),0)))</f>
        <v>20.833333333333332</v>
      </c>
      <c r="T38" s="300">
        <f ca="1">IF($H38=0,0,CHOOSE($H38,SUMPRODUCT($O39:$O$55*T39:T$55*($E39:$E$55=$D38)),IF(ISNUMBER(Data!N38),100*ABS($G38-(Data!N38-$K38)/$M38),0),IF(ISNUMBER(Data!N38),100*ABS($G38-(Data!N38-$K38)/$M38),0)))</f>
        <v>33.333333333333329</v>
      </c>
      <c r="U38" s="301">
        <f ca="1">IF($H38=0,0,CHOOSE($H38,SUMPRODUCT($O39:$O$55*U39:U$55*($E39:$E$55=$D38)),IF(ISNUMBER(Data!O38),100*ABS($G38-(Data!O38-$K38)/$M38),0),IF(ISNUMBER(Data!O38),100*ABS($G38-(Data!O38-$K38)/$M38),0)))</f>
        <v>41.666666666666664</v>
      </c>
      <c r="V38" s="300">
        <f ca="1">IF($H38=0,0,CHOOSE($H38,SUMPRODUCT($O39:$O$55*V39:V$55*($E39:$E$55=$D38)),IF(ISNUMBER(Data!P38),100*ABS($G38-(Data!P38-$K38)/$M38),0),IF(ISNUMBER(Data!P38),100*ABS($G38-(Data!P38-$K38)/$M38),0)))</f>
        <v>45.833333333333329</v>
      </c>
      <c r="W38" s="301">
        <f ca="1">IF($H38=0,0,CHOOSE($H38,SUMPRODUCT($O39:$O$55*W39:W$55*($E39:$E$55=$D38)),IF(ISNUMBER(Data!Q38),100*ABS($G38-(Data!Q38-$K38)/$M38),0),IF(ISNUMBER(Data!Q38),100*ABS($G38-(Data!Q38-$K38)/$M38),0)))</f>
        <v>8.3333333333333321</v>
      </c>
      <c r="X38" s="300">
        <f ca="1">IF($H38=0,0,CHOOSE($H38,SUMPRODUCT($O39:$O$55*X39:X$55*($E39:$E$55=$D38)),IF(ISNUMBER(Data!R38),100*ABS($G38-(Data!R38-$K38)/$M38),0),IF(ISNUMBER(Data!R38),100*ABS($G38-(Data!R38-$K38)/$M38),0)))</f>
        <v>20.833333333333332</v>
      </c>
      <c r="Y38" s="301">
        <f ca="1">IF($H38=0,0,CHOOSE($H38,SUMPRODUCT($O39:$O$55*Y39:Y$55*($E39:$E$55=$D38)),IF(ISNUMBER(Data!S38),100*ABS($G38-(Data!S38-$K38)/$M38),0),IF(ISNUMBER(Data!S38),100*ABS($G38-(Data!S38-$K38)/$M38),0)))</f>
        <v>87.5</v>
      </c>
      <c r="Z38" s="300">
        <f ca="1">IF($H38=0,0,CHOOSE($H38,SUMPRODUCT($O39:$O$55*Z39:Z$55*($E39:$E$55=$D38)),IF(ISNUMBER(Data!T38),100*ABS($G38-(Data!T38-$K38)/$M38),0),IF(ISNUMBER(Data!T38),100*ABS($G38-(Data!T38-$K38)/$M38),0)))</f>
        <v>45.833333333333329</v>
      </c>
      <c r="AA38" s="301">
        <f ca="1">IF($H38=0,0,CHOOSE($H38,SUMPRODUCT($O39:$O$55*AA39:AA$55*($E39:$E$55=$D38)),IF(ISNUMBER(Data!U38),100*ABS($G38-(Data!U38-$K38)/$M38),0),IF(ISNUMBER(Data!U38),100*ABS($G38-(Data!U38-$K38)/$M38),0)))</f>
        <v>58.333333333333329</v>
      </c>
      <c r="AB38" s="300">
        <f ca="1">IF($H38=0,0,CHOOSE($H38,SUMPRODUCT($O39:$O$55*AB39:AB$55*($E39:$E$55=$D38)),IF(ISNUMBER(Data!V38),100*ABS($G38-(Data!V38-$K38)/$M38),0),IF(ISNUMBER(Data!V38),100*ABS($G38-(Data!V38-$K38)/$M38),0)))</f>
        <v>0</v>
      </c>
      <c r="AC38" s="301">
        <f>IF($H38=0,0,CHOOSE($H38,SUMPRODUCT($O39:$O$55*AC39:AC$55*($E39:$E$55=$D38)),IF(ISNUMBER(Data!W38),100*ABS($G38-(Data!W38-$K38)/$M38),0),IF(ISNUMBER(Data!W38),100*ABS($G38-(Data!W38-$K38)/$M38),0)))</f>
        <v>0</v>
      </c>
      <c r="AD38" s="300">
        <f>IF($H38=0,0,CHOOSE($H38,SUMPRODUCT($O39:$O$55*AD39:AD$55*($E39:$E$55=$D38)),IF(ISNUMBER(Data!X38),100*ABS($G38-(Data!X38-$K38)/$M38),0),IF(ISNUMBER(Data!X38),100*ABS($G38-(Data!X38-$K38)/$M38),0)))</f>
        <v>0</v>
      </c>
      <c r="AE38" s="301">
        <f>IF($H38=0,0,CHOOSE($H38,SUMPRODUCT($O39:$O$55*AE39:AE$55*($E39:$E$55=$D38)),IF(ISNUMBER(Data!Y38),100*ABS($G38-(Data!Y38-$K38)/$M38),0),IF(ISNUMBER(Data!Y38),100*ABS($G38-(Data!Y38-$K38)/$M38),0)))</f>
        <v>0</v>
      </c>
      <c r="AF38" s="300">
        <f>IF($H38=0,0,CHOOSE($H38,SUMPRODUCT($O39:$O$55*AF39:AF$55*($E39:$E$55=$D38)),IF(ISNUMBER(Data!Z38),100*ABS($G38-(Data!Z38-$K38)/$M38),0),IF(ISNUMBER(Data!Z38),100*ABS($G38-(Data!Z38-$K38)/$M38),0)))</f>
        <v>0</v>
      </c>
      <c r="AG38" s="301">
        <f>IF($H38=0,0,CHOOSE($H38,SUMPRODUCT($O39:$O$55*AG39:AG$55*($E39:$E$55=$D38)),IF(ISNUMBER(Data!AA38),100*ABS($G38-(Data!AA38-$K38)/$M38),0),IF(ISNUMBER(Data!AA38),100*ABS($G38-(Data!AA38-$K38)/$M38),0)))</f>
        <v>0</v>
      </c>
      <c r="AH38" s="300">
        <f>IF($H38=0,0,CHOOSE($H38,SUMPRODUCT($O39:$O$55*AH39:AH$55*($E39:$E$55=$D38)),IF(ISNUMBER(Data!AB38),100*ABS($G38-(Data!AB38-$K38)/$M38),0),IF(ISNUMBER(Data!AB38),100*ABS($G38-(Data!AB38-$K38)/$M38),0)))</f>
        <v>0</v>
      </c>
      <c r="AI38" s="301">
        <f>IF($H38=0,0,CHOOSE($H38,SUMPRODUCT($O39:$O$55*AI39:AI$55*($E39:$E$55=$D38)),IF(ISNUMBER(Data!AC38),100*ABS($G38-(Data!AC38-$K38)/$M38),0),IF(ISNUMBER(Data!AC38),100*ABS($G38-(Data!AC38-$K38)/$M38),0)))</f>
        <v>0</v>
      </c>
      <c r="AJ38" s="300">
        <f>IF($H38=0,0,CHOOSE($H38,SUMPRODUCT($O39:$O$55*AJ39:AJ$55*($E39:$E$55=$D38)),IF(ISNUMBER(Data!AD38),100*ABS($G38-(Data!AD38-$K38)/$M38),0),IF(ISNUMBER(Data!AD38),100*ABS($G38-(Data!AD38-$K38)/$M38),0)))</f>
        <v>0</v>
      </c>
      <c r="AK38" s="301">
        <f>IF($H38=0,0,CHOOSE($H38,SUMPRODUCT($O39:$O$55*AK39:AK$55*($E39:$E$55=$D38)),IF(ISNUMBER(Data!AE38),100*ABS($G38-(Data!AE38-$K38)/$M38),0),IF(ISNUMBER(Data!AE38),100*ABS($G38-(Data!AE38-$K38)/$M38),0)))</f>
        <v>0</v>
      </c>
    </row>
    <row r="39" spans="1:37" s="78" customFormat="1" ht="15">
      <c r="A39" s="580">
        <f t="shared" si="3"/>
        <v>39</v>
      </c>
      <c r="B39" s="297">
        <f>tblIndicators!A36</f>
        <v>35</v>
      </c>
      <c r="C39" s="297">
        <f>tblIndicators!B36</f>
        <v>0</v>
      </c>
      <c r="D39" s="297" t="str">
        <f>tblIndicators!D36</f>
        <v>MERC3.1.1</v>
      </c>
      <c r="E39" s="297" t="str">
        <f>tblIndicators!E36</f>
        <v>MERC3.1</v>
      </c>
      <c r="F39" s="297">
        <f>tblIndicators!F36</f>
        <v>3</v>
      </c>
      <c r="G39" s="297">
        <f>tblIndicators!Y36</f>
        <v>0</v>
      </c>
      <c r="H39" s="297">
        <f>tblIndicators!Z36</f>
        <v>3</v>
      </c>
      <c r="I39" s="298">
        <f>tblIndicators!AA36</f>
        <v>0</v>
      </c>
      <c r="J39" s="297">
        <f>tblIndicators!AB36</f>
        <v>3</v>
      </c>
      <c r="K39" s="297">
        <f t="shared" ca="1" si="1"/>
        <v>0</v>
      </c>
      <c r="L39" s="299">
        <f t="shared" ca="1" si="2"/>
        <v>3</v>
      </c>
      <c r="M39" s="297">
        <f t="shared" ca="1" si="4"/>
        <v>3</v>
      </c>
      <c r="N39" s="426" t="str">
        <f>REPT(" ",F39)&amp;tblIndicators!AE36</f>
        <v xml:space="preserve">   3.1.1) 24.¿Cómo es el acceso del material reciclable?</v>
      </c>
      <c r="O39" s="302">
        <f>tblIndicators!AD36</f>
        <v>0.25</v>
      </c>
      <c r="P39" s="300">
        <f ca="1">IF($H39=0,0,CHOOSE($H39,SUMPRODUCT($O40:$O$55*P40:P$55*($E40:$E$55=$D39)),IF(ISNUMBER(Data!J39),100*ABS($G39-(Data!J39-$K39)/$M39),0),IF(ISNUMBER(Data!J39),100*ABS($G39-(Data!J39-$K39)/$M39),0)))</f>
        <v>33.333333333333329</v>
      </c>
      <c r="Q39" s="301">
        <f ca="1">IF($H39=0,0,CHOOSE($H39,SUMPRODUCT($O40:$O$55*Q40:Q$55*($E40:$E$55=$D39)),IF(ISNUMBER(Data!K39),100*ABS($G39-(Data!K39-$K39)/$M39),0),IF(ISNUMBER(Data!K39),100*ABS($G39-(Data!K39-$K39)/$M39),0)))</f>
        <v>66.666666666666657</v>
      </c>
      <c r="R39" s="300">
        <f ca="1">IF($H39=0,0,CHOOSE($H39,SUMPRODUCT($O40:$O$55*R40:R$55*($E40:$E$55=$D39)),IF(ISNUMBER(Data!L39),100*ABS($G39-(Data!L39-$K39)/$M39),0),IF(ISNUMBER(Data!L39),100*ABS($G39-(Data!L39-$K39)/$M39),0)))</f>
        <v>100</v>
      </c>
      <c r="S39" s="301">
        <f ca="1">IF($H39=0,0,CHOOSE($H39,SUMPRODUCT($O40:$O$55*S40:S$55*($E40:$E$55=$D39)),IF(ISNUMBER(Data!M39),100*ABS($G39-(Data!M39-$K39)/$M39),0),IF(ISNUMBER(Data!M39),100*ABS($G39-(Data!M39-$K39)/$M39),0)))</f>
        <v>33.333333333333329</v>
      </c>
      <c r="T39" s="300">
        <f ca="1">IF($H39=0,0,CHOOSE($H39,SUMPRODUCT($O40:$O$55*T40:T$55*($E40:$E$55=$D39)),IF(ISNUMBER(Data!N39),100*ABS($G39-(Data!N39-$K39)/$M39),0),IF(ISNUMBER(Data!N39),100*ABS($G39-(Data!N39-$K39)/$M39),0)))</f>
        <v>33.333333333333329</v>
      </c>
      <c r="U39" s="301">
        <f ca="1">IF($H39=0,0,CHOOSE($H39,SUMPRODUCT($O40:$O$55*U40:U$55*($E40:$E$55=$D39)),IF(ISNUMBER(Data!O39),100*ABS($G39-(Data!O39-$K39)/$M39),0),IF(ISNUMBER(Data!O39),100*ABS($G39-(Data!O39-$K39)/$M39),0)))</f>
        <v>66.666666666666657</v>
      </c>
      <c r="V39" s="300">
        <f ca="1">IF($H39=0,0,CHOOSE($H39,SUMPRODUCT($O40:$O$55*V40:V$55*($E40:$E$55=$D39)),IF(ISNUMBER(Data!P39),100*ABS($G39-(Data!P39-$K39)/$M39),0),IF(ISNUMBER(Data!P39),100*ABS($G39-(Data!P39-$K39)/$M39),0)))</f>
        <v>33.333333333333329</v>
      </c>
      <c r="W39" s="301">
        <f ca="1">IF($H39=0,0,CHOOSE($H39,SUMPRODUCT($O40:$O$55*W40:W$55*($E40:$E$55=$D39)),IF(ISNUMBER(Data!Q39),100*ABS($G39-(Data!Q39-$K39)/$M39),0),IF(ISNUMBER(Data!Q39),100*ABS($G39-(Data!Q39-$K39)/$M39),0)))</f>
        <v>33.333333333333329</v>
      </c>
      <c r="X39" s="300">
        <f ca="1">IF($H39=0,0,CHOOSE($H39,SUMPRODUCT($O40:$O$55*X40:X$55*($E40:$E$55=$D39)),IF(ISNUMBER(Data!R39),100*ABS($G39-(Data!R39-$K39)/$M39),0),IF(ISNUMBER(Data!R39),100*ABS($G39-(Data!R39-$K39)/$M39),0)))</f>
        <v>33.333333333333329</v>
      </c>
      <c r="Y39" s="301">
        <f ca="1">IF($H39=0,0,CHOOSE($H39,SUMPRODUCT($O40:$O$55*Y40:Y$55*($E40:$E$55=$D39)),IF(ISNUMBER(Data!S39),100*ABS($G39-(Data!S39-$K39)/$M39),0),IF(ISNUMBER(Data!S39),100*ABS($G39-(Data!S39-$K39)/$M39),0)))</f>
        <v>100</v>
      </c>
      <c r="Z39" s="300">
        <f ca="1">IF($H39=0,0,CHOOSE($H39,SUMPRODUCT($O40:$O$55*Z40:Z$55*($E40:$E$55=$D39)),IF(ISNUMBER(Data!T39),100*ABS($G39-(Data!T39-$K39)/$M39),0),IF(ISNUMBER(Data!T39),100*ABS($G39-(Data!T39-$K39)/$M39),0)))</f>
        <v>33.333333333333329</v>
      </c>
      <c r="AA39" s="301">
        <f ca="1">IF($H39=0,0,CHOOSE($H39,SUMPRODUCT($O40:$O$55*AA40:AA$55*($E40:$E$55=$D39)),IF(ISNUMBER(Data!U39),100*ABS($G39-(Data!U39-$K39)/$M39),0),IF(ISNUMBER(Data!U39),100*ABS($G39-(Data!U39-$K39)/$M39),0)))</f>
        <v>33.333333333333329</v>
      </c>
      <c r="AB39" s="300">
        <f ca="1">IF($H39=0,0,CHOOSE($H39,SUMPRODUCT($O40:$O$55*AB40:AB$55*($E40:$E$55=$D39)),IF(ISNUMBER(Data!V39),100*ABS($G39-(Data!V39-$K39)/$M39),0),IF(ISNUMBER(Data!V39),100*ABS($G39-(Data!V39-$K39)/$M39),0)))</f>
        <v>0</v>
      </c>
      <c r="AC39" s="301">
        <f>IF($H39=0,0,CHOOSE($H39,SUMPRODUCT($O40:$O$55*AC40:AC$55*($E40:$E$55=$D39)),IF(ISNUMBER(Data!W39),100*ABS($G39-(Data!W39-$K39)/$M39),0),IF(ISNUMBER(Data!W39),100*ABS($G39-(Data!W39-$K39)/$M39),0)))</f>
        <v>0</v>
      </c>
      <c r="AD39" s="300">
        <f>IF($H39=0,0,CHOOSE($H39,SUMPRODUCT($O40:$O$55*AD40:AD$55*($E40:$E$55=$D39)),IF(ISNUMBER(Data!X39),100*ABS($G39-(Data!X39-$K39)/$M39),0),IF(ISNUMBER(Data!X39),100*ABS($G39-(Data!X39-$K39)/$M39),0)))</f>
        <v>0</v>
      </c>
      <c r="AE39" s="301">
        <f>IF($H39=0,0,CHOOSE($H39,SUMPRODUCT($O40:$O$55*AE40:AE$55*($E40:$E$55=$D39)),IF(ISNUMBER(Data!Y39),100*ABS($G39-(Data!Y39-$K39)/$M39),0),IF(ISNUMBER(Data!Y39),100*ABS($G39-(Data!Y39-$K39)/$M39),0)))</f>
        <v>0</v>
      </c>
      <c r="AF39" s="300">
        <f>IF($H39=0,0,CHOOSE($H39,SUMPRODUCT($O40:$O$55*AF40:AF$55*($E40:$E$55=$D39)),IF(ISNUMBER(Data!Z39),100*ABS($G39-(Data!Z39-$K39)/$M39),0),IF(ISNUMBER(Data!Z39),100*ABS($G39-(Data!Z39-$K39)/$M39),0)))</f>
        <v>0</v>
      </c>
      <c r="AG39" s="301">
        <f>IF($H39=0,0,CHOOSE($H39,SUMPRODUCT($O40:$O$55*AG40:AG$55*($E40:$E$55=$D39)),IF(ISNUMBER(Data!AA39),100*ABS($G39-(Data!AA39-$K39)/$M39),0),IF(ISNUMBER(Data!AA39),100*ABS($G39-(Data!AA39-$K39)/$M39),0)))</f>
        <v>0</v>
      </c>
      <c r="AH39" s="300">
        <f>IF($H39=0,0,CHOOSE($H39,SUMPRODUCT($O40:$O$55*AH40:AH$55*($E40:$E$55=$D39)),IF(ISNUMBER(Data!AB39),100*ABS($G39-(Data!AB39-$K39)/$M39),0),IF(ISNUMBER(Data!AB39),100*ABS($G39-(Data!AB39-$K39)/$M39),0)))</f>
        <v>0</v>
      </c>
      <c r="AI39" s="301">
        <f>IF($H39=0,0,CHOOSE($H39,SUMPRODUCT($O40:$O$55*AI40:AI$55*($E40:$E$55=$D39)),IF(ISNUMBER(Data!AC39),100*ABS($G39-(Data!AC39-$K39)/$M39),0),IF(ISNUMBER(Data!AC39),100*ABS($G39-(Data!AC39-$K39)/$M39),0)))</f>
        <v>0</v>
      </c>
      <c r="AJ39" s="300">
        <f>IF($H39=0,0,CHOOSE($H39,SUMPRODUCT($O40:$O$55*AJ40:AJ$55*($E40:$E$55=$D39)),IF(ISNUMBER(Data!AD39),100*ABS($G39-(Data!AD39-$K39)/$M39),0),IF(ISNUMBER(Data!AD39),100*ABS($G39-(Data!AD39-$K39)/$M39),0)))</f>
        <v>0</v>
      </c>
      <c r="AK39" s="301">
        <f>IF($H39=0,0,CHOOSE($H39,SUMPRODUCT($O40:$O$55*AK40:AK$55*($E40:$E$55=$D39)),IF(ISNUMBER(Data!AE39),100*ABS($G39-(Data!AE39-$K39)/$M39),0),IF(ISNUMBER(Data!AE39),100*ABS($G39-(Data!AE39-$K39)/$M39),0)))</f>
        <v>0</v>
      </c>
    </row>
    <row r="40" spans="1:37" s="78" customFormat="1" ht="45">
      <c r="A40" s="580">
        <f t="shared" si="3"/>
        <v>40</v>
      </c>
      <c r="B40" s="297">
        <f>tblIndicators!A37</f>
        <v>36</v>
      </c>
      <c r="C40" s="297">
        <f>tblIndicators!B37</f>
        <v>0</v>
      </c>
      <c r="D40" s="297" t="str">
        <f>tblIndicators!D37</f>
        <v>MERC3.1.2</v>
      </c>
      <c r="E40" s="297" t="str">
        <f>tblIndicators!E37</f>
        <v>MERC3.1</v>
      </c>
      <c r="F40" s="297">
        <f>tblIndicators!F37</f>
        <v>3</v>
      </c>
      <c r="G40" s="297">
        <f>tblIndicators!Y37</f>
        <v>0</v>
      </c>
      <c r="H40" s="297">
        <f>tblIndicators!Z37</f>
        <v>3</v>
      </c>
      <c r="I40" s="298">
        <f>tblIndicators!AA37</f>
        <v>0</v>
      </c>
      <c r="J40" s="297">
        <f>tblIndicators!AB37</f>
        <v>2</v>
      </c>
      <c r="K40" s="297">
        <f t="shared" ca="1" si="1"/>
        <v>0</v>
      </c>
      <c r="L40" s="299">
        <f t="shared" ca="1" si="2"/>
        <v>2</v>
      </c>
      <c r="M40" s="297">
        <f t="shared" ca="1" si="4"/>
        <v>2</v>
      </c>
      <c r="N40" s="426" t="str">
        <f>REPT(" ",F40)&amp;tblIndicators!AE37</f>
        <v xml:space="preserve">   3.1.2) 25.¿Existen esquemas formales de recolección diferenciada de residuos reciclables en el municipio que involucran a recicladores de base?</v>
      </c>
      <c r="O40" s="302">
        <f>tblIndicators!AD37</f>
        <v>0.25</v>
      </c>
      <c r="P40" s="300">
        <f ca="1">IF($H40=0,0,CHOOSE($H40,SUMPRODUCT($O41:$O$55*P41:P$55*($E41:$E$55=$D40)),IF(ISNUMBER(Data!J40),100*ABS($G40-(Data!J40-$K40)/$M40),0),IF(ISNUMBER(Data!J40),100*ABS($G40-(Data!J40-$K40)/$M40),0)))</f>
        <v>0</v>
      </c>
      <c r="Q40" s="301">
        <f ca="1">IF($H40=0,0,CHOOSE($H40,SUMPRODUCT($O41:$O$55*Q41:Q$55*($E41:$E$55=$D40)),IF(ISNUMBER(Data!K40),100*ABS($G40-(Data!K40-$K40)/$M40),0),IF(ISNUMBER(Data!K40),100*ABS($G40-(Data!K40-$K40)/$M40),0)))</f>
        <v>0</v>
      </c>
      <c r="R40" s="300">
        <f ca="1">IF($H40=0,0,CHOOSE($H40,SUMPRODUCT($O41:$O$55*R41:R$55*($E41:$E$55=$D40)),IF(ISNUMBER(Data!L40),100*ABS($G40-(Data!L40-$K40)/$M40),0),IF(ISNUMBER(Data!L40),100*ABS($G40-(Data!L40-$K40)/$M40),0)))</f>
        <v>100</v>
      </c>
      <c r="S40" s="301">
        <f ca="1">IF($H40=0,0,CHOOSE($H40,SUMPRODUCT($O41:$O$55*S41:S$55*($E41:$E$55=$D40)),IF(ISNUMBER(Data!M40),100*ABS($G40-(Data!M40-$K40)/$M40),0),IF(ISNUMBER(Data!M40),100*ABS($G40-(Data!M40-$K40)/$M40),0)))</f>
        <v>0</v>
      </c>
      <c r="T40" s="300">
        <f ca="1">IF($H40=0,0,CHOOSE($H40,SUMPRODUCT($O41:$O$55*T41:T$55*($E41:$E$55=$D40)),IF(ISNUMBER(Data!N40),100*ABS($G40-(Data!N40-$K40)/$M40),0),IF(ISNUMBER(Data!N40),100*ABS($G40-(Data!N40-$K40)/$M40),0)))</f>
        <v>0</v>
      </c>
      <c r="U40" s="301">
        <f ca="1">IF($H40=0,0,CHOOSE($H40,SUMPRODUCT($O41:$O$55*U41:U$55*($E41:$E$55=$D40)),IF(ISNUMBER(Data!O40),100*ABS($G40-(Data!O40-$K40)/$M40),0),IF(ISNUMBER(Data!O40),100*ABS($G40-(Data!O40-$K40)/$M40),0)))</f>
        <v>100</v>
      </c>
      <c r="V40" s="300">
        <f ca="1">IF($H40=0,0,CHOOSE($H40,SUMPRODUCT($O41:$O$55*V41:V$55*($E41:$E$55=$D40)),IF(ISNUMBER(Data!P40),100*ABS($G40-(Data!P40-$K40)/$M40),0),IF(ISNUMBER(Data!P40),100*ABS($G40-(Data!P40-$K40)/$M40),0)))</f>
        <v>50</v>
      </c>
      <c r="W40" s="301">
        <f ca="1">IF($H40=0,0,CHOOSE($H40,SUMPRODUCT($O41:$O$55*W41:W$55*($E41:$E$55=$D40)),IF(ISNUMBER(Data!Q40),100*ABS($G40-(Data!Q40-$K40)/$M40),0),IF(ISNUMBER(Data!Q40),100*ABS($G40-(Data!Q40-$K40)/$M40),0)))</f>
        <v>0</v>
      </c>
      <c r="X40" s="300">
        <f ca="1">IF($H40=0,0,CHOOSE($H40,SUMPRODUCT($O41:$O$55*X41:X$55*($E41:$E$55=$D40)),IF(ISNUMBER(Data!R40),100*ABS($G40-(Data!R40-$K40)/$M40),0),IF(ISNUMBER(Data!R40),100*ABS($G40-(Data!R40-$K40)/$M40),0)))</f>
        <v>50</v>
      </c>
      <c r="Y40" s="301">
        <f ca="1">IF($H40=0,0,CHOOSE($H40,SUMPRODUCT($O41:$O$55*Y41:Y$55*($E41:$E$55=$D40)),IF(ISNUMBER(Data!S40),100*ABS($G40-(Data!S40-$K40)/$M40),0),IF(ISNUMBER(Data!S40),100*ABS($G40-(Data!S40-$K40)/$M40),0)))</f>
        <v>100</v>
      </c>
      <c r="Z40" s="300">
        <f ca="1">IF($H40=0,0,CHOOSE($H40,SUMPRODUCT($O41:$O$55*Z41:Z$55*($E41:$E$55=$D40)),IF(ISNUMBER(Data!T40),100*ABS($G40-(Data!T40-$K40)/$M40),0),IF(ISNUMBER(Data!T40),100*ABS($G40-(Data!T40-$K40)/$M40),0)))</f>
        <v>50</v>
      </c>
      <c r="AA40" s="301">
        <f ca="1">IF($H40=0,0,CHOOSE($H40,SUMPRODUCT($O41:$O$55*AA41:AA$55*($E41:$E$55=$D40)),IF(ISNUMBER(Data!U40),100*ABS($G40-(Data!U40-$K40)/$M40),0),IF(ISNUMBER(Data!U40),100*ABS($G40-(Data!U40-$K40)/$M40),0)))</f>
        <v>100</v>
      </c>
      <c r="AB40" s="300">
        <f ca="1">IF($H40=0,0,CHOOSE($H40,SUMPRODUCT($O41:$O$55*AB41:AB$55*($E41:$E$55=$D40)),IF(ISNUMBER(Data!V40),100*ABS($G40-(Data!V40-$K40)/$M40),0),IF(ISNUMBER(Data!V40),100*ABS($G40-(Data!V40-$K40)/$M40),0)))</f>
        <v>0</v>
      </c>
      <c r="AC40" s="301">
        <f>IF($H40=0,0,CHOOSE($H40,SUMPRODUCT($O41:$O$55*AC41:AC$55*($E41:$E$55=$D40)),IF(ISNUMBER(Data!W40),100*ABS($G40-(Data!W40-$K40)/$M40),0),IF(ISNUMBER(Data!W40),100*ABS($G40-(Data!W40-$K40)/$M40),0)))</f>
        <v>0</v>
      </c>
      <c r="AD40" s="300">
        <f>IF($H40=0,0,CHOOSE($H40,SUMPRODUCT($O41:$O$55*AD41:AD$55*($E41:$E$55=$D40)),IF(ISNUMBER(Data!X40),100*ABS($G40-(Data!X40-$K40)/$M40),0),IF(ISNUMBER(Data!X40),100*ABS($G40-(Data!X40-$K40)/$M40),0)))</f>
        <v>0</v>
      </c>
      <c r="AE40" s="301">
        <f>IF($H40=0,0,CHOOSE($H40,SUMPRODUCT($O41:$O$55*AE41:AE$55*($E41:$E$55=$D40)),IF(ISNUMBER(Data!Y40),100*ABS($G40-(Data!Y40-$K40)/$M40),0),IF(ISNUMBER(Data!Y40),100*ABS($G40-(Data!Y40-$K40)/$M40),0)))</f>
        <v>0</v>
      </c>
      <c r="AF40" s="300">
        <f>IF($H40=0,0,CHOOSE($H40,SUMPRODUCT($O41:$O$55*AF41:AF$55*($E41:$E$55=$D40)),IF(ISNUMBER(Data!Z40),100*ABS($G40-(Data!Z40-$K40)/$M40),0),IF(ISNUMBER(Data!Z40),100*ABS($G40-(Data!Z40-$K40)/$M40),0)))</f>
        <v>0</v>
      </c>
      <c r="AG40" s="301">
        <f>IF($H40=0,0,CHOOSE($H40,SUMPRODUCT($O41:$O$55*AG41:AG$55*($E41:$E$55=$D40)),IF(ISNUMBER(Data!AA40),100*ABS($G40-(Data!AA40-$K40)/$M40),0),IF(ISNUMBER(Data!AA40),100*ABS($G40-(Data!AA40-$K40)/$M40),0)))</f>
        <v>0</v>
      </c>
      <c r="AH40" s="300">
        <f>IF($H40=0,0,CHOOSE($H40,SUMPRODUCT($O41:$O$55*AH41:AH$55*($E41:$E$55=$D40)),IF(ISNUMBER(Data!AB40),100*ABS($G40-(Data!AB40-$K40)/$M40),0),IF(ISNUMBER(Data!AB40),100*ABS($G40-(Data!AB40-$K40)/$M40),0)))</f>
        <v>0</v>
      </c>
      <c r="AI40" s="301">
        <f>IF($H40=0,0,CHOOSE($H40,SUMPRODUCT($O41:$O$55*AI41:AI$55*($E41:$E$55=$D40)),IF(ISNUMBER(Data!AC40),100*ABS($G40-(Data!AC40-$K40)/$M40),0),IF(ISNUMBER(Data!AC40),100*ABS($G40-(Data!AC40-$K40)/$M40),0)))</f>
        <v>0</v>
      </c>
      <c r="AJ40" s="300">
        <f>IF($H40=0,0,CHOOSE($H40,SUMPRODUCT($O41:$O$55*AJ41:AJ$55*($E41:$E$55=$D40)),IF(ISNUMBER(Data!AD40),100*ABS($G40-(Data!AD40-$K40)/$M40),0),IF(ISNUMBER(Data!AD40),100*ABS($G40-(Data!AD40-$K40)/$M40),0)))</f>
        <v>0</v>
      </c>
      <c r="AK40" s="301">
        <f>IF($H40=0,0,CHOOSE($H40,SUMPRODUCT($O41:$O$55*AK41:AK$55*($E41:$E$55=$D40)),IF(ISNUMBER(Data!AE40),100*ABS($G40-(Data!AE40-$K40)/$M40),0),IF(ISNUMBER(Data!AE40),100*ABS($G40-(Data!AE40-$K40)/$M40),0)))</f>
        <v>0</v>
      </c>
    </row>
    <row r="41" spans="1:37" s="78" customFormat="1" ht="30">
      <c r="A41" s="580">
        <f t="shared" si="3"/>
        <v>41</v>
      </c>
      <c r="B41" s="297">
        <f>tblIndicators!A38</f>
        <v>37</v>
      </c>
      <c r="C41" s="297">
        <f>tblIndicators!B38</f>
        <v>0</v>
      </c>
      <c r="D41" s="297" t="str">
        <f>tblIndicators!D38</f>
        <v>MERC3.1.3</v>
      </c>
      <c r="E41" s="297" t="str">
        <f>tblIndicators!E38</f>
        <v>MERC3.1</v>
      </c>
      <c r="F41" s="297">
        <f>tblIndicators!F38</f>
        <v>3</v>
      </c>
      <c r="G41" s="297">
        <f>tblIndicators!Y38</f>
        <v>0</v>
      </c>
      <c r="H41" s="297">
        <f>tblIndicators!Z38</f>
        <v>3</v>
      </c>
      <c r="I41" s="298">
        <f>tblIndicators!AA38</f>
        <v>0</v>
      </c>
      <c r="J41" s="297">
        <f>tblIndicators!AB38</f>
        <v>1</v>
      </c>
      <c r="K41" s="297">
        <f t="shared" ca="1" si="1"/>
        <v>0</v>
      </c>
      <c r="L41" s="299">
        <f t="shared" ca="1" si="2"/>
        <v>1</v>
      </c>
      <c r="M41" s="297">
        <f t="shared" ca="1" si="4"/>
        <v>1</v>
      </c>
      <c r="N41" s="426" t="str">
        <f>REPT(" ",F41)&amp;tblIndicators!AE38</f>
        <v xml:space="preserve">   3.1.3) 26.¿Los recicladores tienen acceso a instalaciones para el almacenamiento y la clasificación de materiales?</v>
      </c>
      <c r="O41" s="302">
        <f>tblIndicators!AD38</f>
        <v>0.25</v>
      </c>
      <c r="P41" s="300">
        <f ca="1">IF($H41=0,0,CHOOSE($H41,SUMPRODUCT($O42:$O$55*P42:P$55*($E42:$E$55=$D41)),IF(ISNUMBER(Data!J41),100*ABS($G41-(Data!J41-$K41)/$M41),0),IF(ISNUMBER(Data!J41),100*ABS($G41-(Data!J41-$K41)/$M41),0)))</f>
        <v>0</v>
      </c>
      <c r="Q41" s="301">
        <f ca="1">IF($H41=0,0,CHOOSE($H41,SUMPRODUCT($O42:$O$55*Q42:Q$55*($E42:$E$55=$D41)),IF(ISNUMBER(Data!K41),100*ABS($G41-(Data!K41-$K41)/$M41),0),IF(ISNUMBER(Data!K41),100*ABS($G41-(Data!K41-$K41)/$M41),0)))</f>
        <v>100</v>
      </c>
      <c r="R41" s="300">
        <f ca="1">IF($H41=0,0,CHOOSE($H41,SUMPRODUCT($O42:$O$55*R42:R$55*($E42:$E$55=$D41)),IF(ISNUMBER(Data!L41),100*ABS($G41-(Data!L41-$K41)/$M41),0),IF(ISNUMBER(Data!L41),100*ABS($G41-(Data!L41-$K41)/$M41),0)))</f>
        <v>100</v>
      </c>
      <c r="S41" s="301">
        <f ca="1">IF($H41=0,0,CHOOSE($H41,SUMPRODUCT($O42:$O$55*S42:S$55*($E42:$E$55=$D41)),IF(ISNUMBER(Data!M41),100*ABS($G41-(Data!M41-$K41)/$M41),0),IF(ISNUMBER(Data!M41),100*ABS($G41-(Data!M41-$K41)/$M41),0)))</f>
        <v>0</v>
      </c>
      <c r="T41" s="300">
        <f ca="1">IF($H41=0,0,CHOOSE($H41,SUMPRODUCT($O42:$O$55*T42:T$55*($E42:$E$55=$D41)),IF(ISNUMBER(Data!N41),100*ABS($G41-(Data!N41-$K41)/$M41),0),IF(ISNUMBER(Data!N41),100*ABS($G41-(Data!N41-$K41)/$M41),0)))</f>
        <v>100</v>
      </c>
      <c r="U41" s="301">
        <f ca="1">IF($H41=0,0,CHOOSE($H41,SUMPRODUCT($O42:$O$55*U42:U$55*($E42:$E$55=$D41)),IF(ISNUMBER(Data!O41),100*ABS($G41-(Data!O41-$K41)/$M41),0),IF(ISNUMBER(Data!O41),100*ABS($G41-(Data!O41-$K41)/$M41),0)))</f>
        <v>0</v>
      </c>
      <c r="V41" s="300">
        <f ca="1">IF($H41=0,0,CHOOSE($H41,SUMPRODUCT($O42:$O$55*V42:V$55*($E42:$E$55=$D41)),IF(ISNUMBER(Data!P41),100*ABS($G41-(Data!P41-$K41)/$M41),0),IF(ISNUMBER(Data!P41),100*ABS($G41-(Data!P41-$K41)/$M41),0)))</f>
        <v>100</v>
      </c>
      <c r="W41" s="301">
        <f ca="1">IF($H41=0,0,CHOOSE($H41,SUMPRODUCT($O42:$O$55*W42:W$55*($E42:$E$55=$D41)),IF(ISNUMBER(Data!Q41),100*ABS($G41-(Data!Q41-$K41)/$M41),0),IF(ISNUMBER(Data!Q41),100*ABS($G41-(Data!Q41-$K41)/$M41),0)))</f>
        <v>0</v>
      </c>
      <c r="X41" s="300">
        <f ca="1">IF($H41=0,0,CHOOSE($H41,SUMPRODUCT($O42:$O$55*X42:X$55*($E42:$E$55=$D41)),IF(ISNUMBER(Data!R41),100*ABS($G41-(Data!R41-$K41)/$M41),0),IF(ISNUMBER(Data!R41),100*ABS($G41-(Data!R41-$K41)/$M41),0)))</f>
        <v>0</v>
      </c>
      <c r="Y41" s="301">
        <f ca="1">IF($H41=0,0,CHOOSE($H41,SUMPRODUCT($O42:$O$55*Y42:Y$55*($E42:$E$55=$D41)),IF(ISNUMBER(Data!S41),100*ABS($G41-(Data!S41-$K41)/$M41),0),IF(ISNUMBER(Data!S41),100*ABS($G41-(Data!S41-$K41)/$M41),0)))</f>
        <v>100</v>
      </c>
      <c r="Z41" s="300">
        <f ca="1">IF($H41=0,0,CHOOSE($H41,SUMPRODUCT($O42:$O$55*Z42:Z$55*($E42:$E$55=$D41)),IF(ISNUMBER(Data!T41),100*ABS($G41-(Data!T41-$K41)/$M41),0),IF(ISNUMBER(Data!T41),100*ABS($G41-(Data!T41-$K41)/$M41),0)))</f>
        <v>100</v>
      </c>
      <c r="AA41" s="301">
        <f ca="1">IF($H41=0,0,CHOOSE($H41,SUMPRODUCT($O42:$O$55*AA42:AA$55*($E42:$E$55=$D41)),IF(ISNUMBER(Data!U41),100*ABS($G41-(Data!U41-$K41)/$M41),0),IF(ISNUMBER(Data!U41),100*ABS($G41-(Data!U41-$K41)/$M41),0)))</f>
        <v>100</v>
      </c>
      <c r="AB41" s="300">
        <f ca="1">IF($H41=0,0,CHOOSE($H41,SUMPRODUCT($O42:$O$55*AB42:AB$55*($E42:$E$55=$D41)),IF(ISNUMBER(Data!V41),100*ABS($G41-(Data!V41-$K41)/$M41),0),IF(ISNUMBER(Data!V41),100*ABS($G41-(Data!V41-$K41)/$M41),0)))</f>
        <v>0</v>
      </c>
      <c r="AC41" s="301">
        <f>IF($H41=0,0,CHOOSE($H41,SUMPRODUCT($O42:$O$55*AC42:AC$55*($E42:$E$55=$D41)),IF(ISNUMBER(Data!W41),100*ABS($G41-(Data!W41-$K41)/$M41),0),IF(ISNUMBER(Data!W41),100*ABS($G41-(Data!W41-$K41)/$M41),0)))</f>
        <v>0</v>
      </c>
      <c r="AD41" s="300">
        <f>IF($H41=0,0,CHOOSE($H41,SUMPRODUCT($O42:$O$55*AD42:AD$55*($E42:$E$55=$D41)),IF(ISNUMBER(Data!X41),100*ABS($G41-(Data!X41-$K41)/$M41),0),IF(ISNUMBER(Data!X41),100*ABS($G41-(Data!X41-$K41)/$M41),0)))</f>
        <v>0</v>
      </c>
      <c r="AE41" s="301">
        <f>IF($H41=0,0,CHOOSE($H41,SUMPRODUCT($O42:$O$55*AE42:AE$55*($E42:$E$55=$D41)),IF(ISNUMBER(Data!Y41),100*ABS($G41-(Data!Y41-$K41)/$M41),0),IF(ISNUMBER(Data!Y41),100*ABS($G41-(Data!Y41-$K41)/$M41),0)))</f>
        <v>0</v>
      </c>
      <c r="AF41" s="300">
        <f>IF($H41=0,0,CHOOSE($H41,SUMPRODUCT($O42:$O$55*AF42:AF$55*($E42:$E$55=$D41)),IF(ISNUMBER(Data!Z41),100*ABS($G41-(Data!Z41-$K41)/$M41),0),IF(ISNUMBER(Data!Z41),100*ABS($G41-(Data!Z41-$K41)/$M41),0)))</f>
        <v>0</v>
      </c>
      <c r="AG41" s="301">
        <f>IF($H41=0,0,CHOOSE($H41,SUMPRODUCT($O42:$O$55*AG42:AG$55*($E42:$E$55=$D41)),IF(ISNUMBER(Data!AA41),100*ABS($G41-(Data!AA41-$K41)/$M41),0),IF(ISNUMBER(Data!AA41),100*ABS($G41-(Data!AA41-$K41)/$M41),0)))</f>
        <v>0</v>
      </c>
      <c r="AH41" s="300">
        <f>IF($H41=0,0,CHOOSE($H41,SUMPRODUCT($O42:$O$55*AH42:AH$55*($E42:$E$55=$D41)),IF(ISNUMBER(Data!AB41),100*ABS($G41-(Data!AB41-$K41)/$M41),0),IF(ISNUMBER(Data!AB41),100*ABS($G41-(Data!AB41-$K41)/$M41),0)))</f>
        <v>0</v>
      </c>
      <c r="AI41" s="301">
        <f>IF($H41=0,0,CHOOSE($H41,SUMPRODUCT($O42:$O$55*AI42:AI$55*($E42:$E$55=$D41)),IF(ISNUMBER(Data!AC41),100*ABS($G41-(Data!AC41-$K41)/$M41),0),IF(ISNUMBER(Data!AC41),100*ABS($G41-(Data!AC41-$K41)/$M41),0)))</f>
        <v>0</v>
      </c>
      <c r="AJ41" s="300">
        <f>IF($H41=0,0,CHOOSE($H41,SUMPRODUCT($O42:$O$55*AJ42:AJ$55*($E42:$E$55=$D41)),IF(ISNUMBER(Data!AD41),100*ABS($G41-(Data!AD41-$K41)/$M41),0),IF(ISNUMBER(Data!AD41),100*ABS($G41-(Data!AD41-$K41)/$M41),0)))</f>
        <v>0</v>
      </c>
      <c r="AK41" s="301">
        <f>IF($H41=0,0,CHOOSE($H41,SUMPRODUCT($O42:$O$55*AK42:AK$55*($E42:$E$55=$D41)),IF(ISNUMBER(Data!AE41),100*ABS($G41-(Data!AE41-$K41)/$M41),0),IF(ISNUMBER(Data!AE41),100*ABS($G41-(Data!AE41-$K41)/$M41),0)))</f>
        <v>0</v>
      </c>
    </row>
    <row r="42" spans="1:37" s="78" customFormat="1" ht="45">
      <c r="A42" s="580">
        <f t="shared" si="3"/>
        <v>42</v>
      </c>
      <c r="B42" s="297">
        <f>tblIndicators!A39</f>
        <v>38</v>
      </c>
      <c r="C42" s="297">
        <f>tblIndicators!B39</f>
        <v>0</v>
      </c>
      <c r="D42" s="297" t="str">
        <f>tblIndicators!D39</f>
        <v>MERC3.1.4</v>
      </c>
      <c r="E42" s="297" t="str">
        <f>tblIndicators!E39</f>
        <v>MERC3.1</v>
      </c>
      <c r="F42" s="297">
        <f>tblIndicators!F39</f>
        <v>3</v>
      </c>
      <c r="G42" s="297">
        <f>tblIndicators!Y39</f>
        <v>0</v>
      </c>
      <c r="H42" s="297">
        <f>tblIndicators!Z39</f>
        <v>3</v>
      </c>
      <c r="I42" s="298">
        <f>tblIndicators!AA39</f>
        <v>0</v>
      </c>
      <c r="J42" s="297">
        <f>tblIndicators!AB39</f>
        <v>2</v>
      </c>
      <c r="K42" s="297">
        <f t="shared" ca="1" si="1"/>
        <v>0</v>
      </c>
      <c r="L42" s="299">
        <f t="shared" ca="1" si="2"/>
        <v>2</v>
      </c>
      <c r="M42" s="297">
        <f t="shared" ca="1" si="4"/>
        <v>2</v>
      </c>
      <c r="N42" s="426" t="str">
        <f>REPT(" ",F42)&amp;tblIndicators!AE39</f>
        <v xml:space="preserve">   3.1.4) 27.¿Cuál es el nivel de desarrollo técnico alcanzado en la clasificación (o pre-procesamiento) de materiales reciclables por parte de agrupaciones de recicladores?</v>
      </c>
      <c r="O42" s="302">
        <f>tblIndicators!AD39</f>
        <v>0.25</v>
      </c>
      <c r="P42" s="300">
        <f ca="1">IF($H42=0,0,CHOOSE($H42,SUMPRODUCT($O43:$O$55*P43:P$55*($E43:$E$55=$D42)),IF(ISNUMBER(Data!J42),100*ABS($G42-(Data!J42-$K42)/$M42),0),IF(ISNUMBER(Data!J42),100*ABS($G42-(Data!J42-$K42)/$M42),0)))</f>
        <v>0</v>
      </c>
      <c r="Q42" s="301">
        <f ca="1">IF($H42=0,0,CHOOSE($H42,SUMPRODUCT($O43:$O$55*Q43:Q$55*($E43:$E$55=$D42)),IF(ISNUMBER(Data!K42),100*ABS($G42-(Data!K42-$K42)/$M42),0),IF(ISNUMBER(Data!K42),100*ABS($G42-(Data!K42-$K42)/$M42),0)))</f>
        <v>50</v>
      </c>
      <c r="R42" s="300">
        <f ca="1">IF($H42=0,0,CHOOSE($H42,SUMPRODUCT($O43:$O$55*R43:R$55*($E43:$E$55=$D42)),IF(ISNUMBER(Data!L42),100*ABS($G42-(Data!L42-$K42)/$M42),0),IF(ISNUMBER(Data!L42),100*ABS($G42-(Data!L42-$K42)/$M42),0)))</f>
        <v>100</v>
      </c>
      <c r="S42" s="301">
        <f ca="1">IF($H42=0,0,CHOOSE($H42,SUMPRODUCT($O43:$O$55*S43:S$55*($E43:$E$55=$D42)),IF(ISNUMBER(Data!M42),100*ABS($G42-(Data!M42-$K42)/$M42),0),IF(ISNUMBER(Data!M42),100*ABS($G42-(Data!M42-$K42)/$M42),0)))</f>
        <v>50</v>
      </c>
      <c r="T42" s="300">
        <f ca="1">IF($H42=0,0,CHOOSE($H42,SUMPRODUCT($O43:$O$55*T43:T$55*($E43:$E$55=$D42)),IF(ISNUMBER(Data!N42),100*ABS($G42-(Data!N42-$K42)/$M42),0),IF(ISNUMBER(Data!N42),100*ABS($G42-(Data!N42-$K42)/$M42),0)))</f>
        <v>0</v>
      </c>
      <c r="U42" s="301">
        <f ca="1">IF($H42=0,0,CHOOSE($H42,SUMPRODUCT($O43:$O$55*U43:U$55*($E43:$E$55=$D42)),IF(ISNUMBER(Data!O42),100*ABS($G42-(Data!O42-$K42)/$M42),0),IF(ISNUMBER(Data!O42),100*ABS($G42-(Data!O42-$K42)/$M42),0)))</f>
        <v>0</v>
      </c>
      <c r="V42" s="300">
        <f ca="1">IF($H42=0,0,CHOOSE($H42,SUMPRODUCT($O43:$O$55*V43:V$55*($E43:$E$55=$D42)),IF(ISNUMBER(Data!P42),100*ABS($G42-(Data!P42-$K42)/$M42),0),IF(ISNUMBER(Data!P42),100*ABS($G42-(Data!P42-$K42)/$M42),0)))</f>
        <v>0</v>
      </c>
      <c r="W42" s="301">
        <f ca="1">IF($H42=0,0,CHOOSE($H42,SUMPRODUCT($O43:$O$55*W43:W$55*($E43:$E$55=$D42)),IF(ISNUMBER(Data!Q42),100*ABS($G42-(Data!Q42-$K42)/$M42),0),IF(ISNUMBER(Data!Q42),100*ABS($G42-(Data!Q42-$K42)/$M42),0)))</f>
        <v>0</v>
      </c>
      <c r="X42" s="300">
        <f ca="1">IF($H42=0,0,CHOOSE($H42,SUMPRODUCT($O43:$O$55*X43:X$55*($E43:$E$55=$D42)),IF(ISNUMBER(Data!R42),100*ABS($G42-(Data!R42-$K42)/$M42),0),IF(ISNUMBER(Data!R42),100*ABS($G42-(Data!R42-$K42)/$M42),0)))</f>
        <v>0</v>
      </c>
      <c r="Y42" s="301">
        <f ca="1">IF($H42=0,0,CHOOSE($H42,SUMPRODUCT($O43:$O$55*Y43:Y$55*($E43:$E$55=$D42)),IF(ISNUMBER(Data!S42),100*ABS($G42-(Data!S42-$K42)/$M42),0),IF(ISNUMBER(Data!S42),100*ABS($G42-(Data!S42-$K42)/$M42),0)))</f>
        <v>50</v>
      </c>
      <c r="Z42" s="300">
        <f ca="1">IF($H42=0,0,CHOOSE($H42,SUMPRODUCT($O43:$O$55*Z43:Z$55*($E43:$E$55=$D42)),IF(ISNUMBER(Data!T42),100*ABS($G42-(Data!T42-$K42)/$M42),0),IF(ISNUMBER(Data!T42),100*ABS($G42-(Data!T42-$K42)/$M42),0)))</f>
        <v>0</v>
      </c>
      <c r="AA42" s="301">
        <f ca="1">IF($H42=0,0,CHOOSE($H42,SUMPRODUCT($O43:$O$55*AA43:AA$55*($E43:$E$55=$D42)),IF(ISNUMBER(Data!U42),100*ABS($G42-(Data!U42-$K42)/$M42),0),IF(ISNUMBER(Data!U42),100*ABS($G42-(Data!U42-$K42)/$M42),0)))</f>
        <v>0</v>
      </c>
      <c r="AB42" s="300">
        <f ca="1">IF($H42=0,0,CHOOSE($H42,SUMPRODUCT($O43:$O$55*AB43:AB$55*($E43:$E$55=$D42)),IF(ISNUMBER(Data!V42),100*ABS($G42-(Data!V42-$K42)/$M42),0),IF(ISNUMBER(Data!V42),100*ABS($G42-(Data!V42-$K42)/$M42),0)))</f>
        <v>0</v>
      </c>
      <c r="AC42" s="301">
        <f>IF($H42=0,0,CHOOSE($H42,SUMPRODUCT($O43:$O$55*AC43:AC$55*($E43:$E$55=$D42)),IF(ISNUMBER(Data!W42),100*ABS($G42-(Data!W42-$K42)/$M42),0),IF(ISNUMBER(Data!W42),100*ABS($G42-(Data!W42-$K42)/$M42),0)))</f>
        <v>0</v>
      </c>
      <c r="AD42" s="300">
        <f>IF($H42=0,0,CHOOSE($H42,SUMPRODUCT($O43:$O$55*AD43:AD$55*($E43:$E$55=$D42)),IF(ISNUMBER(Data!X42),100*ABS($G42-(Data!X42-$K42)/$M42),0),IF(ISNUMBER(Data!X42),100*ABS($G42-(Data!X42-$K42)/$M42),0)))</f>
        <v>0</v>
      </c>
      <c r="AE42" s="301">
        <f>IF($H42=0,0,CHOOSE($H42,SUMPRODUCT($O43:$O$55*AE43:AE$55*($E43:$E$55=$D42)),IF(ISNUMBER(Data!Y42),100*ABS($G42-(Data!Y42-$K42)/$M42),0),IF(ISNUMBER(Data!Y42),100*ABS($G42-(Data!Y42-$K42)/$M42),0)))</f>
        <v>0</v>
      </c>
      <c r="AF42" s="300">
        <f>IF($H42=0,0,CHOOSE($H42,SUMPRODUCT($O43:$O$55*AF43:AF$55*($E43:$E$55=$D42)),IF(ISNUMBER(Data!Z42),100*ABS($G42-(Data!Z42-$K42)/$M42),0),IF(ISNUMBER(Data!Z42),100*ABS($G42-(Data!Z42-$K42)/$M42),0)))</f>
        <v>0</v>
      </c>
      <c r="AG42" s="301">
        <f>IF($H42=0,0,CHOOSE($H42,SUMPRODUCT($O43:$O$55*AG43:AG$55*($E43:$E$55=$D42)),IF(ISNUMBER(Data!AA42),100*ABS($G42-(Data!AA42-$K42)/$M42),0),IF(ISNUMBER(Data!AA42),100*ABS($G42-(Data!AA42-$K42)/$M42),0)))</f>
        <v>0</v>
      </c>
      <c r="AH42" s="300">
        <f>IF($H42=0,0,CHOOSE($H42,SUMPRODUCT($O43:$O$55*AH43:AH$55*($E43:$E$55=$D42)),IF(ISNUMBER(Data!AB42),100*ABS($G42-(Data!AB42-$K42)/$M42),0),IF(ISNUMBER(Data!AB42),100*ABS($G42-(Data!AB42-$K42)/$M42),0)))</f>
        <v>0</v>
      </c>
      <c r="AI42" s="301">
        <f>IF($H42=0,0,CHOOSE($H42,SUMPRODUCT($O43:$O$55*AI43:AI$55*($E43:$E$55=$D42)),IF(ISNUMBER(Data!AC42),100*ABS($G42-(Data!AC42-$K42)/$M42),0),IF(ISNUMBER(Data!AC42),100*ABS($G42-(Data!AC42-$K42)/$M42),0)))</f>
        <v>0</v>
      </c>
      <c r="AJ42" s="300">
        <f>IF($H42=0,0,CHOOSE($H42,SUMPRODUCT($O43:$O$55*AJ43:AJ$55*($E43:$E$55=$D42)),IF(ISNUMBER(Data!AD42),100*ABS($G42-(Data!AD42-$K42)/$M42),0),IF(ISNUMBER(Data!AD42),100*ABS($G42-(Data!AD42-$K42)/$M42),0)))</f>
        <v>0</v>
      </c>
      <c r="AK42" s="301">
        <f>IF($H42=0,0,CHOOSE($H42,SUMPRODUCT($O43:$O$55*AK43:AK$55*($E43:$E$55=$D42)),IF(ISNUMBER(Data!AE42),100*ABS($G42-(Data!AE42-$K42)/$M42),0),IF(ISNUMBER(Data!AE42),100*ABS($G42-(Data!AE42-$K42)/$M42),0)))</f>
        <v>0</v>
      </c>
    </row>
    <row r="43" spans="1:37" s="78" customFormat="1" ht="15">
      <c r="A43" s="580">
        <f t="shared" si="3"/>
        <v>43</v>
      </c>
      <c r="B43" s="297">
        <f>tblIndicators!A40</f>
        <v>39</v>
      </c>
      <c r="C43" s="297">
        <f>tblIndicators!B40</f>
        <v>0</v>
      </c>
      <c r="D43" s="297" t="str">
        <f>tblIndicators!D40</f>
        <v>MERC3.2</v>
      </c>
      <c r="E43" s="297" t="str">
        <f>tblIndicators!E40</f>
        <v>MERC</v>
      </c>
      <c r="F43" s="297">
        <f>tblIndicators!F40</f>
        <v>2</v>
      </c>
      <c r="G43" s="297" t="str">
        <f>tblIndicators!Y40</f>
        <v/>
      </c>
      <c r="H43" s="297">
        <f>tblIndicators!Z40</f>
        <v>1</v>
      </c>
      <c r="I43" s="298" t="str">
        <f>tblIndicators!AA40</f>
        <v/>
      </c>
      <c r="J43" s="297">
        <f>tblIndicators!AB40</f>
        <v>0</v>
      </c>
      <c r="K43" s="297" t="str">
        <f t="shared" ca="1" si="1"/>
        <v>-</v>
      </c>
      <c r="L43" s="299" t="str">
        <f t="shared" ca="1" si="2"/>
        <v>-</v>
      </c>
      <c r="M43" s="297" t="str">
        <f t="shared" si="4"/>
        <v>-</v>
      </c>
      <c r="N43" s="426" t="str">
        <f>REPT(" ",F43)&amp;tblIndicators!AE40</f>
        <v xml:space="preserve">  3.2) Condiciones para la comercialización de material reciclable</v>
      </c>
      <c r="O43" s="302">
        <f>tblIndicators!AD40</f>
        <v>0.25</v>
      </c>
      <c r="P43" s="300">
        <f ca="1">IF($H43=0,0,CHOOSE($H43,SUMPRODUCT($O44:$O$55*P44:P$55*($E44:$E$55=$D43)),IF(ISNUMBER(Data!J43),100*ABS($G43-(Data!J43-$K43)/$M43),0),IF(ISNUMBER(Data!J43),100*ABS($G43-(Data!J43-$K43)/$M43),0)))</f>
        <v>97.584355828220851</v>
      </c>
      <c r="Q43" s="301">
        <f ca="1">IF($H43=0,0,CHOOSE($H43,SUMPRODUCT($O44:$O$55*Q44:Q$55*($E44:$E$55=$D43)),IF(ISNUMBER(Data!K43),100*ABS($G43-(Data!K43-$K43)/$M43),0),IF(ISNUMBER(Data!K43),100*ABS($G43-(Data!K43-$K43)/$M43),0)))</f>
        <v>97.298583114227284</v>
      </c>
      <c r="R43" s="300">
        <f ca="1">IF($H43=0,0,CHOOSE($H43,SUMPRODUCT($O44:$O$55*R44:R$55*($E44:$E$55=$D43)),IF(ISNUMBER(Data!L43),100*ABS($G43-(Data!L43-$K43)/$M43),0),IF(ISNUMBER(Data!L43),100*ABS($G43-(Data!L43-$K43)/$M43),0)))</f>
        <v>92.926687116564423</v>
      </c>
      <c r="S43" s="301">
        <f ca="1">IF($H43=0,0,CHOOSE($H43,SUMPRODUCT($O44:$O$55*S44:S$55*($E44:$E$55=$D43)),IF(ISNUMBER(Data!M43),100*ABS($G43-(Data!M43-$K43)/$M43),0),IF(ISNUMBER(Data!M43),100*ABS($G43-(Data!M43-$K43)/$M43),0)))</f>
        <v>64.251022494887522</v>
      </c>
      <c r="T43" s="300">
        <f ca="1">IF($H43=0,0,CHOOSE($H43,SUMPRODUCT($O44:$O$55*T44:T$55*($E44:$E$55=$D43)),IF(ISNUMBER(Data!N43),100*ABS($G43-(Data!N43-$K43)/$M43),0),IF(ISNUMBER(Data!N43),100*ABS($G43-(Data!N43-$K43)/$M43),0)))</f>
        <v>96.741043338052549</v>
      </c>
      <c r="U43" s="301">
        <f ca="1">IF($H43=0,0,CHOOSE($H43,SUMPRODUCT($O44:$O$55*U44:U$55*($E44:$E$55=$D43)),IF(ISNUMBER(Data!O43),100*ABS($G43-(Data!O43-$K43)/$M43),0),IF(ISNUMBER(Data!O43),100*ABS($G43-(Data!O43-$K43)/$M43),0)))</f>
        <v>98.110071878956091</v>
      </c>
      <c r="V43" s="300">
        <f ca="1">IF($H43=0,0,CHOOSE($H43,SUMPRODUCT($O44:$O$55*V44:V$55*($E44:$E$55=$D43)),IF(ISNUMBER(Data!P43),100*ABS($G43-(Data!P43-$K43)/$M43),0),IF(ISNUMBER(Data!P43),100*ABS($G43-(Data!P43-$K43)/$M43),0)))</f>
        <v>90.057941376959775</v>
      </c>
      <c r="W43" s="301">
        <f ca="1">IF($H43=0,0,CHOOSE($H43,SUMPRODUCT($O44:$O$55*W44:W$55*($E44:$E$55=$D43)),IF(ISNUMBER(Data!Q43),100*ABS($G43-(Data!Q43-$K43)/$M43),0),IF(ISNUMBER(Data!Q43),100*ABS($G43-(Data!Q43-$K43)/$M43),0)))</f>
        <v>100</v>
      </c>
      <c r="X43" s="300">
        <f ca="1">IF($H43=0,0,CHOOSE($H43,SUMPRODUCT($O44:$O$55*X44:X$55*($E44:$E$55=$D43)),IF(ISNUMBER(Data!R43),100*ABS($G43-(Data!R43-$K43)/$M43),0),IF(ISNUMBER(Data!R43),100*ABS($G43-(Data!R43-$K43)/$M43),0)))</f>
        <v>33.333333333333329</v>
      </c>
      <c r="Y43" s="301">
        <f ca="1">IF($H43=0,0,CHOOSE($H43,SUMPRODUCT($O44:$O$55*Y44:Y$55*($E44:$E$55=$D43)),IF(ISNUMBER(Data!S43),100*ABS($G43-(Data!S43-$K43)/$M43),0),IF(ISNUMBER(Data!S43),100*ABS($G43-(Data!S43-$K43)/$M43),0)))</f>
        <v>66.624837330358801</v>
      </c>
      <c r="Z43" s="300">
        <f ca="1">IF($H43=0,0,CHOOSE($H43,SUMPRODUCT($O44:$O$55*Z44:Z$55*($E44:$E$55=$D43)),IF(ISNUMBER(Data!T43),100*ABS($G43-(Data!T43-$K43)/$M43),0),IF(ISNUMBER(Data!T43),100*ABS($G43-(Data!T43-$K43)/$M43),0)))</f>
        <v>82.863716038562657</v>
      </c>
      <c r="AA43" s="301">
        <f ca="1">IF($H43=0,0,CHOOSE($H43,SUMPRODUCT($O44:$O$55*AA44:AA$55*($E44:$E$55=$D43)),IF(ISNUMBER(Data!U43),100*ABS($G43-(Data!U43-$K43)/$M43),0),IF(ISNUMBER(Data!U43),100*ABS($G43-(Data!U43-$K43)/$M43),0)))</f>
        <v>90.250766871165638</v>
      </c>
      <c r="AB43" s="300">
        <f ca="1">IF($H43=0,0,CHOOSE($H43,SUMPRODUCT($O44:$O$55*AB44:AB$55*($E44:$E$55=$D43)),IF(ISNUMBER(Data!V43),100*ABS($G43-(Data!V43-$K43)/$M43),0),IF(ISNUMBER(Data!V43),100*ABS($G43-(Data!V43-$K43)/$M43),0)))</f>
        <v>55.981595092024541</v>
      </c>
      <c r="AC43" s="301">
        <f>IF($H43=0,0,CHOOSE($H43,SUMPRODUCT($O44:$O$55*AC44:AC$55*($E44:$E$55=$D43)),IF(ISNUMBER(Data!W43),100*ABS($G43-(Data!W43-$K43)/$M43),0),IF(ISNUMBER(Data!W43),100*ABS($G43-(Data!W43-$K43)/$M43),0)))</f>
        <v>0</v>
      </c>
      <c r="AD43" s="300">
        <f>IF($H43=0,0,CHOOSE($H43,SUMPRODUCT($O44:$O$55*AD44:AD$55*($E44:$E$55=$D43)),IF(ISNUMBER(Data!X43),100*ABS($G43-(Data!X43-$K43)/$M43),0),IF(ISNUMBER(Data!X43),100*ABS($G43-(Data!X43-$K43)/$M43),0)))</f>
        <v>0</v>
      </c>
      <c r="AE43" s="301">
        <f>IF($H43=0,0,CHOOSE($H43,SUMPRODUCT($O44:$O$55*AE44:AE$55*($E44:$E$55=$D43)),IF(ISNUMBER(Data!Y43),100*ABS($G43-(Data!Y43-$K43)/$M43),0),IF(ISNUMBER(Data!Y43),100*ABS($G43-(Data!Y43-$K43)/$M43),0)))</f>
        <v>0</v>
      </c>
      <c r="AF43" s="300">
        <f>IF($H43=0,0,CHOOSE($H43,SUMPRODUCT($O44:$O$55*AF44:AF$55*($E44:$E$55=$D43)),IF(ISNUMBER(Data!Z43),100*ABS($G43-(Data!Z43-$K43)/$M43),0),IF(ISNUMBER(Data!Z43),100*ABS($G43-(Data!Z43-$K43)/$M43),0)))</f>
        <v>0</v>
      </c>
      <c r="AG43" s="301">
        <f>IF($H43=0,0,CHOOSE($H43,SUMPRODUCT($O44:$O$55*AG44:AG$55*($E44:$E$55=$D43)),IF(ISNUMBER(Data!AA43),100*ABS($G43-(Data!AA43-$K43)/$M43),0),IF(ISNUMBER(Data!AA43),100*ABS($G43-(Data!AA43-$K43)/$M43),0)))</f>
        <v>0</v>
      </c>
      <c r="AH43" s="300">
        <f>IF($H43=0,0,CHOOSE($H43,SUMPRODUCT($O44:$O$55*AH44:AH$55*($E44:$E$55=$D43)),IF(ISNUMBER(Data!AB43),100*ABS($G43-(Data!AB43-$K43)/$M43),0),IF(ISNUMBER(Data!AB43),100*ABS($G43-(Data!AB43-$K43)/$M43),0)))</f>
        <v>0</v>
      </c>
      <c r="AI43" s="301">
        <f>IF($H43=0,0,CHOOSE($H43,SUMPRODUCT($O44:$O$55*AI44:AI$55*($E44:$E$55=$D43)),IF(ISNUMBER(Data!AC43),100*ABS($G43-(Data!AC43-$K43)/$M43),0),IF(ISNUMBER(Data!AC43),100*ABS($G43-(Data!AC43-$K43)/$M43),0)))</f>
        <v>0</v>
      </c>
      <c r="AJ43" s="300">
        <f>IF($H43=0,0,CHOOSE($H43,SUMPRODUCT($O44:$O$55*AJ44:AJ$55*($E44:$E$55=$D43)),IF(ISNUMBER(Data!AD43),100*ABS($G43-(Data!AD43-$K43)/$M43),0),IF(ISNUMBER(Data!AD43),100*ABS($G43-(Data!AD43-$K43)/$M43),0)))</f>
        <v>0</v>
      </c>
      <c r="AK43" s="301">
        <f>IF($H43=0,0,CHOOSE($H43,SUMPRODUCT($O44:$O$55*AK44:AK$55*($E44:$E$55=$D43)),IF(ISNUMBER(Data!AE43),100*ABS($G43-(Data!AE43-$K43)/$M43),0),IF(ISNUMBER(Data!AE43),100*ABS($G43-(Data!AE43-$K43)/$M43),0)))</f>
        <v>0</v>
      </c>
    </row>
    <row r="44" spans="1:37" s="78" customFormat="1" ht="30">
      <c r="A44" s="580">
        <f t="shared" si="3"/>
        <v>44</v>
      </c>
      <c r="B44" s="297">
        <f>tblIndicators!A41</f>
        <v>40</v>
      </c>
      <c r="C44" s="297">
        <f>tblIndicators!B41</f>
        <v>0</v>
      </c>
      <c r="D44" s="297" t="str">
        <f>tblIndicators!D41</f>
        <v>MERC3.2.1</v>
      </c>
      <c r="E44" s="297" t="str">
        <f>tblIndicators!E41</f>
        <v>MERC3.2</v>
      </c>
      <c r="F44" s="297">
        <f>tblIndicators!F41</f>
        <v>3</v>
      </c>
      <c r="G44" s="297">
        <f>tblIndicators!Y41</f>
        <v>1</v>
      </c>
      <c r="H44" s="297">
        <f>tblIndicators!Z41</f>
        <v>2</v>
      </c>
      <c r="I44" s="298" t="str">
        <f>tblIndicators!AA41</f>
        <v/>
      </c>
      <c r="J44" s="297">
        <f>tblIndicators!AB41</f>
        <v>0</v>
      </c>
      <c r="K44" s="297">
        <f t="shared" ca="1" si="1"/>
        <v>1.0684931506849316</v>
      </c>
      <c r="L44" s="299">
        <f t="shared" ca="1" si="2"/>
        <v>10</v>
      </c>
      <c r="M44" s="297">
        <f t="shared" ca="1" si="4"/>
        <v>8.9315068493150687</v>
      </c>
      <c r="N44" s="426" t="str">
        <f>REPT(" ",F44)&amp;tblIndicators!AE41</f>
        <v xml:space="preserve">   3.2.1) 28.¿Cuál es la diferencia de valor del material en los diferentes eslabones de la cadena del reciclaje?</v>
      </c>
      <c r="O44" s="302">
        <f>tblIndicators!AD41</f>
        <v>0.5</v>
      </c>
      <c r="P44" s="300">
        <f ca="1">IF($H44=0,0,CHOOSE($H44,SUMPRODUCT($O45:$O$55*P45:P$55*($E45:$E$55=$D44)),IF(ISNUMBER(Data!J44),100*ABS($G44-(Data!J44-$K44)/$M44),0),IF(ISNUMBER(Data!J44),100*ABS($G44-(Data!J44-$K44)/$M44),0)))</f>
        <v>95.168711656441715</v>
      </c>
      <c r="Q44" s="301">
        <f ca="1">IF($H44=0,0,CHOOSE($H44,SUMPRODUCT($O45:$O$55*Q45:Q$55*($E45:$E$55=$D44)),IF(ISNUMBER(Data!K44),100*ABS($G44-(Data!K44-$K44)/$M44),0),IF(ISNUMBER(Data!K44),100*ABS($G44-(Data!K44-$K44)/$M44),0)))</f>
        <v>94.597166228454569</v>
      </c>
      <c r="R44" s="300">
        <f ca="1">IF($H44=0,0,CHOOSE($H44,SUMPRODUCT($O45:$O$55*R45:R$55*($E45:$E$55=$D44)),IF(ISNUMBER(Data!L44),100*ABS($G44-(Data!L44-$K44)/$M44),0),IF(ISNUMBER(Data!L44),100*ABS($G44-(Data!L44-$K44)/$M44),0)))</f>
        <v>85.853374233128847</v>
      </c>
      <c r="S44" s="301">
        <f ca="1">IF($H44=0,0,CHOOSE($H44,SUMPRODUCT($O45:$O$55*S45:S$55*($E45:$E$55=$D44)),IF(ISNUMBER(Data!M44),100*ABS($G44-(Data!M44-$K44)/$M44),0),IF(ISNUMBER(Data!M44),100*ABS($G44-(Data!M44-$K44)/$M44),0)))</f>
        <v>95.168711656441715</v>
      </c>
      <c r="T44" s="300">
        <f ca="1">IF($H44=0,0,CHOOSE($H44,SUMPRODUCT($O45:$O$55*T45:T$55*($E45:$E$55=$D44)),IF(ISNUMBER(Data!N44),100*ABS($G44-(Data!N44-$K44)/$M44),0),IF(ISNUMBER(Data!N44),100*ABS($G44-(Data!N44-$K44)/$M44),0)))</f>
        <v>93.482086676105084</v>
      </c>
      <c r="U44" s="301">
        <f ca="1">IF($H44=0,0,CHOOSE($H44,SUMPRODUCT($O45:$O$55*U45:U$55*($E45:$E$55=$D44)),IF(ISNUMBER(Data!O44),100*ABS($G44-(Data!O44-$K44)/$M44),0),IF(ISNUMBER(Data!O44),100*ABS($G44-(Data!O44-$K44)/$M44),0)))</f>
        <v>96.220143757912169</v>
      </c>
      <c r="V44" s="300">
        <f ca="1">IF($H44=0,0,CHOOSE($H44,SUMPRODUCT($O45:$O$55*V45:V$55*($E45:$E$55=$D44)),IF(ISNUMBER(Data!P44),100*ABS($G44-(Data!P44-$K44)/$M44),0),IF(ISNUMBER(Data!P44),100*ABS($G44-(Data!P44-$K44)/$M44),0)))</f>
        <v>80.115882753919564</v>
      </c>
      <c r="W44" s="301">
        <f ca="1">IF($H44=0,0,CHOOSE($H44,SUMPRODUCT($O45:$O$55*W45:W$55*($E45:$E$55=$D44)),IF(ISNUMBER(Data!Q44),100*ABS($G44-(Data!Q44-$K44)/$M44),0),IF(ISNUMBER(Data!Q44),100*ABS($G44-(Data!Q44-$K44)/$M44),0)))</f>
        <v>100</v>
      </c>
      <c r="X44" s="300">
        <f ca="1">IF($H44=0,0,CHOOSE($H44,SUMPRODUCT($O45:$O$55*X45:X$55*($E45:$E$55=$D44)),IF(ISNUMBER(Data!R44),100*ABS($G44-(Data!R44-$K44)/$M44),0),IF(ISNUMBER(Data!R44),100*ABS($G44-(Data!R44-$K44)/$M44),0)))</f>
        <v>0</v>
      </c>
      <c r="Y44" s="301">
        <f ca="1">IF($H44=0,0,CHOOSE($H44,SUMPRODUCT($O45:$O$55*Y45:Y$55*($E45:$E$55=$D44)),IF(ISNUMBER(Data!S44),100*ABS($G44-(Data!S44-$K44)/$M44),0),IF(ISNUMBER(Data!S44),100*ABS($G44-(Data!S44-$K44)/$M44),0)))</f>
        <v>33.249674660717609</v>
      </c>
      <c r="Z44" s="300">
        <f ca="1">IF($H44=0,0,CHOOSE($H44,SUMPRODUCT($O45:$O$55*Z45:Z$55*($E45:$E$55=$D44)),IF(ISNUMBER(Data!T44),100*ABS($G44-(Data!T44-$K44)/$M44),0),IF(ISNUMBER(Data!T44),100*ABS($G44-(Data!T44-$K44)/$M44),0)))</f>
        <v>99.060765410458657</v>
      </c>
      <c r="AA44" s="301">
        <f ca="1">IF($H44=0,0,CHOOSE($H44,SUMPRODUCT($O45:$O$55*AA45:AA$55*($E45:$E$55=$D44)),IF(ISNUMBER(Data!U44),100*ABS($G44-(Data!U44-$K44)/$M44),0),IF(ISNUMBER(Data!U44),100*ABS($G44-(Data!U44-$K44)/$M44),0)))</f>
        <v>80.50153374233129</v>
      </c>
      <c r="AB44" s="300">
        <f ca="1">IF($H44=0,0,CHOOSE($H44,SUMPRODUCT($O45:$O$55*AB45:AB$55*($E45:$E$55=$D44)),IF(ISNUMBER(Data!V44),100*ABS($G44-(Data!V44-$K44)/$M44),0),IF(ISNUMBER(Data!V44),100*ABS($G44-(Data!V44-$K44)/$M44),0)))</f>
        <v>111.96319018404908</v>
      </c>
      <c r="AC44" s="301">
        <f>IF($H44=0,0,CHOOSE($H44,SUMPRODUCT($O45:$O$55*AC45:AC$55*($E45:$E$55=$D44)),IF(ISNUMBER(Data!W44),100*ABS($G44-(Data!W44-$K44)/$M44),0),IF(ISNUMBER(Data!W44),100*ABS($G44-(Data!W44-$K44)/$M44),0)))</f>
        <v>0</v>
      </c>
      <c r="AD44" s="300">
        <f>IF($H44=0,0,CHOOSE($H44,SUMPRODUCT($O45:$O$55*AD45:AD$55*($E45:$E$55=$D44)),IF(ISNUMBER(Data!X44),100*ABS($G44-(Data!X44-$K44)/$M44),0),IF(ISNUMBER(Data!X44),100*ABS($G44-(Data!X44-$K44)/$M44),0)))</f>
        <v>0</v>
      </c>
      <c r="AE44" s="301">
        <f>IF($H44=0,0,CHOOSE($H44,SUMPRODUCT($O45:$O$55*AE45:AE$55*($E45:$E$55=$D44)),IF(ISNUMBER(Data!Y44),100*ABS($G44-(Data!Y44-$K44)/$M44),0),IF(ISNUMBER(Data!Y44),100*ABS($G44-(Data!Y44-$K44)/$M44),0)))</f>
        <v>0</v>
      </c>
      <c r="AF44" s="300">
        <f>IF($H44=0,0,CHOOSE($H44,SUMPRODUCT($O45:$O$55*AF45:AF$55*($E45:$E$55=$D44)),IF(ISNUMBER(Data!Z44),100*ABS($G44-(Data!Z44-$K44)/$M44),0),IF(ISNUMBER(Data!Z44),100*ABS($G44-(Data!Z44-$K44)/$M44),0)))</f>
        <v>0</v>
      </c>
      <c r="AG44" s="301">
        <f>IF($H44=0,0,CHOOSE($H44,SUMPRODUCT($O45:$O$55*AG45:AG$55*($E45:$E$55=$D44)),IF(ISNUMBER(Data!AA44),100*ABS($G44-(Data!AA44-$K44)/$M44),0),IF(ISNUMBER(Data!AA44),100*ABS($G44-(Data!AA44-$K44)/$M44),0)))</f>
        <v>0</v>
      </c>
      <c r="AH44" s="300">
        <f>IF($H44=0,0,CHOOSE($H44,SUMPRODUCT($O45:$O$55*AH45:AH$55*($E45:$E$55=$D44)),IF(ISNUMBER(Data!AB44),100*ABS($G44-(Data!AB44-$K44)/$M44),0),IF(ISNUMBER(Data!AB44),100*ABS($G44-(Data!AB44-$K44)/$M44),0)))</f>
        <v>0</v>
      </c>
      <c r="AI44" s="301">
        <f>IF($H44=0,0,CHOOSE($H44,SUMPRODUCT($O45:$O$55*AI45:AI$55*($E45:$E$55=$D44)),IF(ISNUMBER(Data!AC44),100*ABS($G44-(Data!AC44-$K44)/$M44),0),IF(ISNUMBER(Data!AC44),100*ABS($G44-(Data!AC44-$K44)/$M44),0)))</f>
        <v>0</v>
      </c>
      <c r="AJ44" s="300">
        <f>IF($H44=0,0,CHOOSE($H44,SUMPRODUCT($O45:$O$55*AJ45:AJ$55*($E45:$E$55=$D44)),IF(ISNUMBER(Data!AD44),100*ABS($G44-(Data!AD44-$K44)/$M44),0),IF(ISNUMBER(Data!AD44),100*ABS($G44-(Data!AD44-$K44)/$M44),0)))</f>
        <v>0</v>
      </c>
      <c r="AK44" s="301">
        <f>IF($H44=0,0,CHOOSE($H44,SUMPRODUCT($O45:$O$55*AK45:AK$55*($E45:$E$55=$D44)),IF(ISNUMBER(Data!AE44),100*ABS($G44-(Data!AE44-$K44)/$M44),0),IF(ISNUMBER(Data!AE44),100*ABS($G44-(Data!AE44-$K44)/$M44),0)))</f>
        <v>0</v>
      </c>
    </row>
    <row r="45" spans="1:37" s="78" customFormat="1" ht="30">
      <c r="A45" s="580">
        <f t="shared" si="3"/>
        <v>45</v>
      </c>
      <c r="B45" s="297">
        <f>tblIndicators!A42</f>
        <v>41</v>
      </c>
      <c r="C45" s="297">
        <f>tblIndicators!B42</f>
        <v>0</v>
      </c>
      <c r="D45" s="297" t="str">
        <f>tblIndicators!D42</f>
        <v>MERC3.2.2</v>
      </c>
      <c r="E45" s="297" t="str">
        <f>tblIndicators!E42</f>
        <v>MERC3.2</v>
      </c>
      <c r="F45" s="297">
        <f>tblIndicators!F42</f>
        <v>3</v>
      </c>
      <c r="G45" s="297">
        <f>tblIndicators!Y42</f>
        <v>0</v>
      </c>
      <c r="H45" s="297">
        <f>tblIndicators!Z42</f>
        <v>3</v>
      </c>
      <c r="I45" s="298">
        <f>tblIndicators!AA42</f>
        <v>0</v>
      </c>
      <c r="J45" s="297">
        <f>tblIndicators!AB42</f>
        <v>3</v>
      </c>
      <c r="K45" s="297">
        <f t="shared" ca="1" si="1"/>
        <v>0</v>
      </c>
      <c r="L45" s="299">
        <f t="shared" ca="1" si="2"/>
        <v>3</v>
      </c>
      <c r="M45" s="297">
        <f t="shared" ca="1" si="4"/>
        <v>3</v>
      </c>
      <c r="N45" s="426" t="str">
        <f>REPT(" ",F45)&amp;tblIndicators!AE42</f>
        <v xml:space="preserve">   3.2.2) 29.¿Cuál es el nivel de desarrollo de la industria transformadora a nivel nacional?</v>
      </c>
      <c r="O45" s="302">
        <f>tblIndicators!AD42</f>
        <v>0.5</v>
      </c>
      <c r="P45" s="300">
        <f ca="1">IF($H45=0,0,CHOOSE($H45,SUMPRODUCT($O46:$O$55*P46:P$55*($E46:$E$55=$D45)),IF(ISNUMBER(Data!J45),100*ABS($G45-(Data!J45-$K45)/$M45),0),IF(ISNUMBER(Data!J45),100*ABS($G45-(Data!J45-$K45)/$M45),0)))</f>
        <v>100</v>
      </c>
      <c r="Q45" s="301">
        <f ca="1">IF($H45=0,0,CHOOSE($H45,SUMPRODUCT($O46:$O$55*Q46:Q$55*($E46:$E$55=$D45)),IF(ISNUMBER(Data!K45),100*ABS($G45-(Data!K45-$K45)/$M45),0),IF(ISNUMBER(Data!K45),100*ABS($G45-(Data!K45-$K45)/$M45),0)))</f>
        <v>100</v>
      </c>
      <c r="R45" s="300">
        <f ca="1">IF($H45=0,0,CHOOSE($H45,SUMPRODUCT($O46:$O$55*R46:R$55*($E46:$E$55=$D45)),IF(ISNUMBER(Data!L45),100*ABS($G45-(Data!L45-$K45)/$M45),0),IF(ISNUMBER(Data!L45),100*ABS($G45-(Data!L45-$K45)/$M45),0)))</f>
        <v>100</v>
      </c>
      <c r="S45" s="301">
        <f ca="1">IF($H45=0,0,CHOOSE($H45,SUMPRODUCT($O46:$O$55*S46:S$55*($E46:$E$55=$D45)),IF(ISNUMBER(Data!M45),100*ABS($G45-(Data!M45-$K45)/$M45),0),IF(ISNUMBER(Data!M45),100*ABS($G45-(Data!M45-$K45)/$M45),0)))</f>
        <v>33.333333333333329</v>
      </c>
      <c r="T45" s="300">
        <f ca="1">IF($H45=0,0,CHOOSE($H45,SUMPRODUCT($O46:$O$55*T46:T$55*($E46:$E$55=$D45)),IF(ISNUMBER(Data!N45),100*ABS($G45-(Data!N45-$K45)/$M45),0),IF(ISNUMBER(Data!N45),100*ABS($G45-(Data!N45-$K45)/$M45),0)))</f>
        <v>100</v>
      </c>
      <c r="U45" s="301">
        <f ca="1">IF($H45=0,0,CHOOSE($H45,SUMPRODUCT($O46:$O$55*U46:U$55*($E46:$E$55=$D45)),IF(ISNUMBER(Data!O45),100*ABS($G45-(Data!O45-$K45)/$M45),0),IF(ISNUMBER(Data!O45),100*ABS($G45-(Data!O45-$K45)/$M45),0)))</f>
        <v>100</v>
      </c>
      <c r="V45" s="300">
        <f ca="1">IF($H45=0,0,CHOOSE($H45,SUMPRODUCT($O46:$O$55*V46:V$55*($E46:$E$55=$D45)),IF(ISNUMBER(Data!P45),100*ABS($G45-(Data!P45-$K45)/$M45),0),IF(ISNUMBER(Data!P45),100*ABS($G45-(Data!P45-$K45)/$M45),0)))</f>
        <v>100</v>
      </c>
      <c r="W45" s="301">
        <f ca="1">IF($H45=0,0,CHOOSE($H45,SUMPRODUCT($O46:$O$55*W46:W$55*($E46:$E$55=$D45)),IF(ISNUMBER(Data!Q45),100*ABS($G45-(Data!Q45-$K45)/$M45),0),IF(ISNUMBER(Data!Q45),100*ABS($G45-(Data!Q45-$K45)/$M45),0)))</f>
        <v>100</v>
      </c>
      <c r="X45" s="300">
        <f ca="1">IF($H45=0,0,CHOOSE($H45,SUMPRODUCT($O46:$O$55*X46:X$55*($E46:$E$55=$D45)),IF(ISNUMBER(Data!R45),100*ABS($G45-(Data!R45-$K45)/$M45),0),IF(ISNUMBER(Data!R45),100*ABS($G45-(Data!R45-$K45)/$M45),0)))</f>
        <v>66.666666666666657</v>
      </c>
      <c r="Y45" s="301">
        <f ca="1">IF($H45=0,0,CHOOSE($H45,SUMPRODUCT($O46:$O$55*Y46:Y$55*($E46:$E$55=$D45)),IF(ISNUMBER(Data!S45),100*ABS($G45-(Data!S45-$K45)/$M45),0),IF(ISNUMBER(Data!S45),100*ABS($G45-(Data!S45-$K45)/$M45),0)))</f>
        <v>100</v>
      </c>
      <c r="Z45" s="300">
        <f ca="1">IF($H45=0,0,CHOOSE($H45,SUMPRODUCT($O46:$O$55*Z46:Z$55*($E46:$E$55=$D45)),IF(ISNUMBER(Data!T45),100*ABS($G45-(Data!T45-$K45)/$M45),0),IF(ISNUMBER(Data!T45),100*ABS($G45-(Data!T45-$K45)/$M45),0)))</f>
        <v>66.666666666666657</v>
      </c>
      <c r="AA45" s="301">
        <f ca="1">IF($H45=0,0,CHOOSE($H45,SUMPRODUCT($O46:$O$55*AA46:AA$55*($E46:$E$55=$D45)),IF(ISNUMBER(Data!U45),100*ABS($G45-(Data!U45-$K45)/$M45),0),IF(ISNUMBER(Data!U45),100*ABS($G45-(Data!U45-$K45)/$M45),0)))</f>
        <v>100</v>
      </c>
      <c r="AB45" s="300">
        <f ca="1">IF($H45=0,0,CHOOSE($H45,SUMPRODUCT($O46:$O$55*AB46:AB$55*($E46:$E$55=$D45)),IF(ISNUMBER(Data!V45),100*ABS($G45-(Data!V45-$K45)/$M45),0),IF(ISNUMBER(Data!V45),100*ABS($G45-(Data!V45-$K45)/$M45),0)))</f>
        <v>0</v>
      </c>
      <c r="AC45" s="301">
        <f>IF($H45=0,0,CHOOSE($H45,SUMPRODUCT($O46:$O$55*AC46:AC$55*($E46:$E$55=$D45)),IF(ISNUMBER(Data!W45),100*ABS($G45-(Data!W45-$K45)/$M45),0),IF(ISNUMBER(Data!W45),100*ABS($G45-(Data!W45-$K45)/$M45),0)))</f>
        <v>0</v>
      </c>
      <c r="AD45" s="300">
        <f>IF($H45=0,0,CHOOSE($H45,SUMPRODUCT($O46:$O$55*AD46:AD$55*($E46:$E$55=$D45)),IF(ISNUMBER(Data!X45),100*ABS($G45-(Data!X45-$K45)/$M45),0),IF(ISNUMBER(Data!X45),100*ABS($G45-(Data!X45-$K45)/$M45),0)))</f>
        <v>0</v>
      </c>
      <c r="AE45" s="301">
        <f>IF($H45=0,0,CHOOSE($H45,SUMPRODUCT($O46:$O$55*AE46:AE$55*($E46:$E$55=$D45)),IF(ISNUMBER(Data!Y45),100*ABS($G45-(Data!Y45-$K45)/$M45),0),IF(ISNUMBER(Data!Y45),100*ABS($G45-(Data!Y45-$K45)/$M45),0)))</f>
        <v>0</v>
      </c>
      <c r="AF45" s="300">
        <f>IF($H45=0,0,CHOOSE($H45,SUMPRODUCT($O46:$O$55*AF46:AF$55*($E46:$E$55=$D45)),IF(ISNUMBER(Data!Z45),100*ABS($G45-(Data!Z45-$K45)/$M45),0),IF(ISNUMBER(Data!Z45),100*ABS($G45-(Data!Z45-$K45)/$M45),0)))</f>
        <v>0</v>
      </c>
      <c r="AG45" s="301">
        <f>IF($H45=0,0,CHOOSE($H45,SUMPRODUCT($O46:$O$55*AG46:AG$55*($E46:$E$55=$D45)),IF(ISNUMBER(Data!AA45),100*ABS($G45-(Data!AA45-$K45)/$M45),0),IF(ISNUMBER(Data!AA45),100*ABS($G45-(Data!AA45-$K45)/$M45),0)))</f>
        <v>0</v>
      </c>
      <c r="AH45" s="300">
        <f>IF($H45=0,0,CHOOSE($H45,SUMPRODUCT($O46:$O$55*AH46:AH$55*($E46:$E$55=$D45)),IF(ISNUMBER(Data!AB45),100*ABS($G45-(Data!AB45-$K45)/$M45),0),IF(ISNUMBER(Data!AB45),100*ABS($G45-(Data!AB45-$K45)/$M45),0)))</f>
        <v>0</v>
      </c>
      <c r="AI45" s="301">
        <f>IF($H45=0,0,CHOOSE($H45,SUMPRODUCT($O46:$O$55*AI46:AI$55*($E46:$E$55=$D45)),IF(ISNUMBER(Data!AC45),100*ABS($G45-(Data!AC45-$K45)/$M45),0),IF(ISNUMBER(Data!AC45),100*ABS($G45-(Data!AC45-$K45)/$M45),0)))</f>
        <v>0</v>
      </c>
      <c r="AJ45" s="300">
        <f>IF($H45=0,0,CHOOSE($H45,SUMPRODUCT($O46:$O$55*AJ46:AJ$55*($E46:$E$55=$D45)),IF(ISNUMBER(Data!AD45),100*ABS($G45-(Data!AD45-$K45)/$M45),0),IF(ISNUMBER(Data!AD45),100*ABS($G45-(Data!AD45-$K45)/$M45),0)))</f>
        <v>0</v>
      </c>
      <c r="AK45" s="301">
        <f>IF($H45=0,0,CHOOSE($H45,SUMPRODUCT($O46:$O$55*AK46:AK$55*($E46:$E$55=$D45)),IF(ISNUMBER(Data!AE45),100*ABS($G45-(Data!AE45-$K45)/$M45),0),IF(ISNUMBER(Data!AE45),100*ABS($G45-(Data!AE45-$K45)/$M45),0)))</f>
        <v>0</v>
      </c>
    </row>
    <row r="46" spans="1:37" s="78" customFormat="1" ht="15">
      <c r="A46" s="580">
        <f t="shared" si="3"/>
        <v>46</v>
      </c>
      <c r="B46" s="297">
        <f>tblIndicators!A43</f>
        <v>42</v>
      </c>
      <c r="C46" s="297">
        <f>tblIndicators!B43</f>
        <v>0</v>
      </c>
      <c r="D46" s="297" t="str">
        <f>tblIndicators!D43</f>
        <v>MERC3.3</v>
      </c>
      <c r="E46" s="297" t="str">
        <f>tblIndicators!E43</f>
        <v>MERC</v>
      </c>
      <c r="F46" s="297">
        <f>tblIndicators!F43</f>
        <v>2</v>
      </c>
      <c r="G46" s="297" t="str">
        <f>tblIndicators!Y43</f>
        <v/>
      </c>
      <c r="H46" s="297">
        <f>tblIndicators!Z43</f>
        <v>1</v>
      </c>
      <c r="I46" s="298" t="str">
        <f>tblIndicators!AA43</f>
        <v/>
      </c>
      <c r="J46" s="297">
        <f>tblIndicators!AB43</f>
        <v>0</v>
      </c>
      <c r="K46" s="297" t="str">
        <f t="shared" ca="1" si="1"/>
        <v>-</v>
      </c>
      <c r="L46" s="299" t="str">
        <f t="shared" ca="1" si="2"/>
        <v>-</v>
      </c>
      <c r="M46" s="297" t="str">
        <f t="shared" si="4"/>
        <v>-</v>
      </c>
      <c r="N46" s="426" t="str">
        <f>REPT(" ",F46)&amp;tblIndicators!AE43</f>
        <v xml:space="preserve">  3.3) Ingreso de los recicladores de base</v>
      </c>
      <c r="O46" s="302">
        <f>tblIndicators!AD43</f>
        <v>0.25</v>
      </c>
      <c r="P46" s="300">
        <f ca="1">IF($H46=0,0,CHOOSE($H46,SUMPRODUCT($O47:$O$55*P47:P$55*($E47:$E$55=$D46)),IF(ISNUMBER(Data!J46),100*ABS($G46-(Data!J46-$K46)/$M46),0),IF(ISNUMBER(Data!J46),100*ABS($G46-(Data!J46-$K46)/$M46),0)))</f>
        <v>3.8781670473737684</v>
      </c>
      <c r="Q46" s="301">
        <f ca="1">IF($H46=0,0,CHOOSE($H46,SUMPRODUCT($O47:$O$55*Q47:Q$55*($E47:$E$55=$D46)),IF(ISNUMBER(Data!K46),100*ABS($G46-(Data!K46-$K46)/$M46),0),IF(ISNUMBER(Data!K46),100*ABS($G46-(Data!K46-$K46)/$M46),0)))</f>
        <v>50.266653685567903</v>
      </c>
      <c r="R46" s="300">
        <f ca="1">IF($H46=0,0,CHOOSE($H46,SUMPRODUCT($O47:$O$55*R47:R$55*($E47:$E$55=$D46)),IF(ISNUMBER(Data!L46),100*ABS($G46-(Data!L46-$K46)/$M46),0),IF(ISNUMBER(Data!L46),100*ABS($G46-(Data!L46-$K46)/$M46),0)))</f>
        <v>100</v>
      </c>
      <c r="S46" s="301">
        <f ca="1">IF($H46=0,0,CHOOSE($H46,SUMPRODUCT($O47:$O$55*S47:S$55*($E47:$E$55=$D46)),IF(ISNUMBER(Data!M46),100*ABS($G46-(Data!M46-$K46)/$M46),0),IF(ISNUMBER(Data!M46),100*ABS($G46-(Data!M46-$K46)/$M46),0)))</f>
        <v>23.776223776223777</v>
      </c>
      <c r="T46" s="300">
        <f ca="1">IF($H46=0,0,CHOOSE($H46,SUMPRODUCT($O47:$O$55*T47:T$55*($E47:$E$55=$D46)),IF(ISNUMBER(Data!N46),100*ABS($G46-(Data!N46-$K46)/$M46),0),IF(ISNUMBER(Data!N46),100*ABS($G46-(Data!N46-$K46)/$M46),0)))</f>
        <v>34.44055944055944</v>
      </c>
      <c r="U46" s="301">
        <f ca="1">IF($H46=0,0,CHOOSE($H46,SUMPRODUCT($O47:$O$55*U47:U$55*($E47:$E$55=$D46)),IF(ISNUMBER(Data!O46),100*ABS($G46-(Data!O46-$K46)/$M46),0),IF(ISNUMBER(Data!O46),100*ABS($G46-(Data!O46-$K46)/$M46),0)))</f>
        <v>18.793706293706293</v>
      </c>
      <c r="V46" s="300">
        <f ca="1">IF($H46=0,0,CHOOSE($H46,SUMPRODUCT($O47:$O$55*V47:V$55*($E47:$E$55=$D46)),IF(ISNUMBER(Data!P46),100*ABS($G46-(Data!P46-$K46)/$M46),0),IF(ISNUMBER(Data!P46),100*ABS($G46-(Data!P46-$K46)/$M46),0)))</f>
        <v>28.867713004484305</v>
      </c>
      <c r="W46" s="301">
        <f ca="1">IF($H46=0,0,CHOOSE($H46,SUMPRODUCT($O47:$O$55*W47:W$55*($E47:$E$55=$D46)),IF(ISNUMBER(Data!Q46),100*ABS($G46-(Data!Q46-$K46)/$M46),0),IF(ISNUMBER(Data!Q46),100*ABS($G46-(Data!Q46-$K46)/$M46),0)))</f>
        <v>6.1188811188811192</v>
      </c>
      <c r="X46" s="300">
        <f ca="1">IF($H46=0,0,CHOOSE($H46,SUMPRODUCT($O47:$O$55*X47:X$55*($E47:$E$55=$D46)),IF(ISNUMBER(Data!R46),100*ABS($G46-(Data!R46-$K46)/$M46),0),IF(ISNUMBER(Data!R46),100*ABS($G46-(Data!R46-$K46)/$M46),0)))</f>
        <v>0</v>
      </c>
      <c r="Y46" s="301">
        <f ca="1">IF($H46=0,0,CHOOSE($H46,SUMPRODUCT($O47:$O$55*Y47:Y$55*($E47:$E$55=$D46)),IF(ISNUMBER(Data!S46),100*ABS($G46-(Data!S46-$K46)/$M46),0),IF(ISNUMBER(Data!S46),100*ABS($G46-(Data!S46-$K46)/$M46),0)))</f>
        <v>84.472345835982196</v>
      </c>
      <c r="Z46" s="300">
        <f ca="1">IF($H46=0,0,CHOOSE($H46,SUMPRODUCT($O47:$O$55*Z47:Z$55*($E47:$E$55=$D46)),IF(ISNUMBER(Data!T46),100*ABS($G46-(Data!T46-$K46)/$M46),0),IF(ISNUMBER(Data!T46),100*ABS($G46-(Data!T46-$K46)/$M46),0)))</f>
        <v>12.412587412587413</v>
      </c>
      <c r="AA46" s="301">
        <f ca="1">IF($H46=0,0,CHOOSE($H46,SUMPRODUCT($O47:$O$55*AA47:AA$55*($E47:$E$55=$D46)),IF(ISNUMBER(Data!U46),100*ABS($G46-(Data!U46-$K46)/$M46),0),IF(ISNUMBER(Data!U46),100*ABS($G46-(Data!U46-$K46)/$M46),0)))</f>
        <v>10.664335664335663</v>
      </c>
      <c r="AB46" s="300">
        <f ca="1">IF($H46=0,0,CHOOSE($H46,SUMPRODUCT($O47:$O$55*AB47:AB$55*($E47:$E$55=$D46)),IF(ISNUMBER(Data!V46),100*ABS($G46-(Data!V46-$K46)/$M46),0),IF(ISNUMBER(Data!V46),100*ABS($G46-(Data!V46-$K46)/$M46),0)))</f>
        <v>2.4475524475524479</v>
      </c>
      <c r="AC46" s="301">
        <f>IF($H46=0,0,CHOOSE($H46,SUMPRODUCT($O47:$O$55*AC47:AC$55*($E47:$E$55=$D46)),IF(ISNUMBER(Data!W46),100*ABS($G46-(Data!W46-$K46)/$M46),0),IF(ISNUMBER(Data!W46),100*ABS($G46-(Data!W46-$K46)/$M46),0)))</f>
        <v>0</v>
      </c>
      <c r="AD46" s="300">
        <f>IF($H46=0,0,CHOOSE($H46,SUMPRODUCT($O47:$O$55*AD47:AD$55*($E47:$E$55=$D46)),IF(ISNUMBER(Data!X46),100*ABS($G46-(Data!X46-$K46)/$M46),0),IF(ISNUMBER(Data!X46),100*ABS($G46-(Data!X46-$K46)/$M46),0)))</f>
        <v>0</v>
      </c>
      <c r="AE46" s="301">
        <f>IF($H46=0,0,CHOOSE($H46,SUMPRODUCT($O47:$O$55*AE47:AE$55*($E47:$E$55=$D46)),IF(ISNUMBER(Data!Y46),100*ABS($G46-(Data!Y46-$K46)/$M46),0),IF(ISNUMBER(Data!Y46),100*ABS($G46-(Data!Y46-$K46)/$M46),0)))</f>
        <v>0</v>
      </c>
      <c r="AF46" s="300">
        <f>IF($H46=0,0,CHOOSE($H46,SUMPRODUCT($O47:$O$55*AF47:AF$55*($E47:$E$55=$D46)),IF(ISNUMBER(Data!Z46),100*ABS($G46-(Data!Z46-$K46)/$M46),0),IF(ISNUMBER(Data!Z46),100*ABS($G46-(Data!Z46-$K46)/$M46),0)))</f>
        <v>0</v>
      </c>
      <c r="AG46" s="301">
        <f>IF($H46=0,0,CHOOSE($H46,SUMPRODUCT($O47:$O$55*AG47:AG$55*($E47:$E$55=$D46)),IF(ISNUMBER(Data!AA46),100*ABS($G46-(Data!AA46-$K46)/$M46),0),IF(ISNUMBER(Data!AA46),100*ABS($G46-(Data!AA46-$K46)/$M46),0)))</f>
        <v>0</v>
      </c>
      <c r="AH46" s="300">
        <f>IF($H46=0,0,CHOOSE($H46,SUMPRODUCT($O47:$O$55*AH47:AH$55*($E47:$E$55=$D46)),IF(ISNUMBER(Data!AB46),100*ABS($G46-(Data!AB46-$K46)/$M46),0),IF(ISNUMBER(Data!AB46),100*ABS($G46-(Data!AB46-$K46)/$M46),0)))</f>
        <v>0</v>
      </c>
      <c r="AI46" s="301">
        <f>IF($H46=0,0,CHOOSE($H46,SUMPRODUCT($O47:$O$55*AI47:AI$55*($E47:$E$55=$D46)),IF(ISNUMBER(Data!AC46),100*ABS($G46-(Data!AC46-$K46)/$M46),0),IF(ISNUMBER(Data!AC46),100*ABS($G46-(Data!AC46-$K46)/$M46),0)))</f>
        <v>0</v>
      </c>
      <c r="AJ46" s="300">
        <f>IF($H46=0,0,CHOOSE($H46,SUMPRODUCT($O47:$O$55*AJ47:AJ$55*($E47:$E$55=$D46)),IF(ISNUMBER(Data!AD46),100*ABS($G46-(Data!AD46-$K46)/$M46),0),IF(ISNUMBER(Data!AD46),100*ABS($G46-(Data!AD46-$K46)/$M46),0)))</f>
        <v>0</v>
      </c>
      <c r="AK46" s="301">
        <f>IF($H46=0,0,CHOOSE($H46,SUMPRODUCT($O47:$O$55*AK47:AK$55*($E47:$E$55=$D46)),IF(ISNUMBER(Data!AE46),100*ABS($G46-(Data!AE46-$K46)/$M46),0),IF(ISNUMBER(Data!AE46),100*ABS($G46-(Data!AE46-$K46)/$M46),0)))</f>
        <v>0</v>
      </c>
    </row>
    <row r="47" spans="1:37" s="78" customFormat="1" ht="45">
      <c r="A47" s="580">
        <f t="shared" si="3"/>
        <v>47</v>
      </c>
      <c r="B47" s="297">
        <f>tblIndicators!A44</f>
        <v>43</v>
      </c>
      <c r="C47" s="297">
        <f>tblIndicators!B44</f>
        <v>0</v>
      </c>
      <c r="D47" s="297" t="str">
        <f>tblIndicators!D44</f>
        <v>MERC3.3.1</v>
      </c>
      <c r="E47" s="297" t="str">
        <f>tblIndicators!E44</f>
        <v>MERC3.3</v>
      </c>
      <c r="F47" s="297">
        <f>tblIndicators!F44</f>
        <v>3</v>
      </c>
      <c r="G47" s="297">
        <f>tblIndicators!Y44</f>
        <v>0</v>
      </c>
      <c r="H47" s="297">
        <f>tblIndicators!Z44</f>
        <v>3</v>
      </c>
      <c r="I47" s="298">
        <f>tblIndicators!AA44</f>
        <v>0</v>
      </c>
      <c r="J47" s="297">
        <f>tblIndicators!AB44</f>
        <v>2</v>
      </c>
      <c r="K47" s="297">
        <f t="shared" ca="1" si="1"/>
        <v>0</v>
      </c>
      <c r="L47" s="299">
        <f t="shared" ca="1" si="2"/>
        <v>2</v>
      </c>
      <c r="M47" s="297">
        <f t="shared" ca="1" si="4"/>
        <v>2</v>
      </c>
      <c r="N47" s="426" t="str">
        <f>REPT(" ",F47)&amp;tblIndicators!AE44</f>
        <v xml:space="preserve">   3.3.1) 30.¿Se permite la contratación con agrupaciones de recicladores de base en el sistema de gestión de residuos del municipio?</v>
      </c>
      <c r="O47" s="302">
        <f>tblIndicators!AD44</f>
        <v>0.25</v>
      </c>
      <c r="P47" s="300">
        <f ca="1">IF($H47=0,0,CHOOSE($H47,SUMPRODUCT($O48:$O$55*P48:P$55*($E48:$E$55=$D47)),IF(ISNUMBER(Data!J47),100*ABS($G47-(Data!J47-$K47)/$M47),0),IF(ISNUMBER(Data!J47),100*ABS($G47-(Data!J47-$K47)/$M47),0)))</f>
        <v>0</v>
      </c>
      <c r="Q47" s="301">
        <f ca="1">IF($H47=0,0,CHOOSE($H47,SUMPRODUCT($O48:$O$55*Q48:Q$55*($E48:$E$55=$D47)),IF(ISNUMBER(Data!K47),100*ABS($G47-(Data!K47-$K47)/$M47),0),IF(ISNUMBER(Data!K47),100*ABS($G47-(Data!K47-$K47)/$M47),0)))</f>
        <v>50</v>
      </c>
      <c r="R47" s="300">
        <f ca="1">IF($H47=0,0,CHOOSE($H47,SUMPRODUCT($O48:$O$55*R48:R$55*($E48:$E$55=$D47)),IF(ISNUMBER(Data!L47),100*ABS($G47-(Data!L47-$K47)/$M47),0),IF(ISNUMBER(Data!L47),100*ABS($G47-(Data!L47-$K47)/$M47),0)))</f>
        <v>100</v>
      </c>
      <c r="S47" s="301">
        <f ca="1">IF($H47=0,0,CHOOSE($H47,SUMPRODUCT($O48:$O$55*S48:S$55*($E48:$E$55=$D47)),IF(ISNUMBER(Data!M47),100*ABS($G47-(Data!M47-$K47)/$M47),0),IF(ISNUMBER(Data!M47),100*ABS($G47-(Data!M47-$K47)/$M47),0)))</f>
        <v>0</v>
      </c>
      <c r="T47" s="300">
        <f ca="1">IF($H47=0,0,CHOOSE($H47,SUMPRODUCT($O48:$O$55*T48:T$55*($E48:$E$55=$D47)),IF(ISNUMBER(Data!N47),100*ABS($G47-(Data!N47-$K47)/$M47),0),IF(ISNUMBER(Data!N47),100*ABS($G47-(Data!N47-$K47)/$M47),0)))</f>
        <v>100</v>
      </c>
      <c r="U47" s="301">
        <f ca="1">IF($H47=0,0,CHOOSE($H47,SUMPRODUCT($O48:$O$55*U48:U$55*($E48:$E$55=$D47)),IF(ISNUMBER(Data!O47),100*ABS($G47-(Data!O47-$K47)/$M47),0),IF(ISNUMBER(Data!O47),100*ABS($G47-(Data!O47-$K47)/$M47),0)))</f>
        <v>50</v>
      </c>
      <c r="V47" s="300">
        <f ca="1">IF($H47=0,0,CHOOSE($H47,SUMPRODUCT($O48:$O$55*V48:V$55*($E48:$E$55=$D47)),IF(ISNUMBER(Data!P47),100*ABS($G47-(Data!P47-$K47)/$M47),0),IF(ISNUMBER(Data!P47),100*ABS($G47-(Data!P47-$K47)/$M47),0)))</f>
        <v>50</v>
      </c>
      <c r="W47" s="301">
        <f ca="1">IF($H47=0,0,CHOOSE($H47,SUMPRODUCT($O48:$O$55*W48:W$55*($E48:$E$55=$D47)),IF(ISNUMBER(Data!Q47),100*ABS($G47-(Data!Q47-$K47)/$M47),0),IF(ISNUMBER(Data!Q47),100*ABS($G47-(Data!Q47-$K47)/$M47),0)))</f>
        <v>0</v>
      </c>
      <c r="X47" s="300">
        <f ca="1">IF($H47=0,0,CHOOSE($H47,SUMPRODUCT($O48:$O$55*X48:X$55*($E48:$E$55=$D47)),IF(ISNUMBER(Data!R47),100*ABS($G47-(Data!R47-$K47)/$M47),0),IF(ISNUMBER(Data!R47),100*ABS($G47-(Data!R47-$K47)/$M47),0)))</f>
        <v>0</v>
      </c>
      <c r="Y47" s="301">
        <f ca="1">IF($H47=0,0,CHOOSE($H47,SUMPRODUCT($O48:$O$55*Y48:Y$55*($E48:$E$55=$D47)),IF(ISNUMBER(Data!S47),100*ABS($G47-(Data!S47-$K47)/$M47),0),IF(ISNUMBER(Data!S47),100*ABS($G47-(Data!S47-$K47)/$M47),0)))</f>
        <v>100</v>
      </c>
      <c r="Z47" s="300">
        <f ca="1">IF($H47=0,0,CHOOSE($H47,SUMPRODUCT($O48:$O$55*Z48:Z$55*($E48:$E$55=$D47)),IF(ISNUMBER(Data!T47),100*ABS($G47-(Data!T47-$K47)/$M47),0),IF(ISNUMBER(Data!T47),100*ABS($G47-(Data!T47-$K47)/$M47),0)))</f>
        <v>0</v>
      </c>
      <c r="AA47" s="301">
        <f ca="1">IF($H47=0,0,CHOOSE($H47,SUMPRODUCT($O48:$O$55*AA48:AA$55*($E48:$E$55=$D47)),IF(ISNUMBER(Data!U47),100*ABS($G47-(Data!U47-$K47)/$M47),0),IF(ISNUMBER(Data!U47),100*ABS($G47-(Data!U47-$K47)/$M47),0)))</f>
        <v>0</v>
      </c>
      <c r="AB47" s="300">
        <f ca="1">IF($H47=0,0,CHOOSE($H47,SUMPRODUCT($O48:$O$55*AB48:AB$55*($E48:$E$55=$D47)),IF(ISNUMBER(Data!V47),100*ABS($G47-(Data!V47-$K47)/$M47),0),IF(ISNUMBER(Data!V47),100*ABS($G47-(Data!V47-$K47)/$M47),0)))</f>
        <v>0</v>
      </c>
      <c r="AC47" s="301">
        <f>IF($H47=0,0,CHOOSE($H47,SUMPRODUCT($O48:$O$55*AC48:AC$55*($E48:$E$55=$D47)),IF(ISNUMBER(Data!W47),100*ABS($G47-(Data!W47-$K47)/$M47),0),IF(ISNUMBER(Data!W47),100*ABS($G47-(Data!W47-$K47)/$M47),0)))</f>
        <v>0</v>
      </c>
      <c r="AD47" s="300">
        <f>IF($H47=0,0,CHOOSE($H47,SUMPRODUCT($O48:$O$55*AD48:AD$55*($E48:$E$55=$D47)),IF(ISNUMBER(Data!X47),100*ABS($G47-(Data!X47-$K47)/$M47),0),IF(ISNUMBER(Data!X47),100*ABS($G47-(Data!X47-$K47)/$M47),0)))</f>
        <v>0</v>
      </c>
      <c r="AE47" s="301">
        <f>IF($H47=0,0,CHOOSE($H47,SUMPRODUCT($O48:$O$55*AE48:AE$55*($E48:$E$55=$D47)),IF(ISNUMBER(Data!Y47),100*ABS($G47-(Data!Y47-$K47)/$M47),0),IF(ISNUMBER(Data!Y47),100*ABS($G47-(Data!Y47-$K47)/$M47),0)))</f>
        <v>0</v>
      </c>
      <c r="AF47" s="300">
        <f>IF($H47=0,0,CHOOSE($H47,SUMPRODUCT($O48:$O$55*AF48:AF$55*($E48:$E$55=$D47)),IF(ISNUMBER(Data!Z47),100*ABS($G47-(Data!Z47-$K47)/$M47),0),IF(ISNUMBER(Data!Z47),100*ABS($G47-(Data!Z47-$K47)/$M47),0)))</f>
        <v>0</v>
      </c>
      <c r="AG47" s="301">
        <f>IF($H47=0,0,CHOOSE($H47,SUMPRODUCT($O48:$O$55*AG48:AG$55*($E48:$E$55=$D47)),IF(ISNUMBER(Data!AA47),100*ABS($G47-(Data!AA47-$K47)/$M47),0),IF(ISNUMBER(Data!AA47),100*ABS($G47-(Data!AA47-$K47)/$M47),0)))</f>
        <v>0</v>
      </c>
      <c r="AH47" s="300">
        <f>IF($H47=0,0,CHOOSE($H47,SUMPRODUCT($O48:$O$55*AH48:AH$55*($E48:$E$55=$D47)),IF(ISNUMBER(Data!AB47),100*ABS($G47-(Data!AB47-$K47)/$M47),0),IF(ISNUMBER(Data!AB47),100*ABS($G47-(Data!AB47-$K47)/$M47),0)))</f>
        <v>0</v>
      </c>
      <c r="AI47" s="301">
        <f>IF($H47=0,0,CHOOSE($H47,SUMPRODUCT($O48:$O$55*AI48:AI$55*($E48:$E$55=$D47)),IF(ISNUMBER(Data!AC47),100*ABS($G47-(Data!AC47-$K47)/$M47),0),IF(ISNUMBER(Data!AC47),100*ABS($G47-(Data!AC47-$K47)/$M47),0)))</f>
        <v>0</v>
      </c>
      <c r="AJ47" s="300">
        <f>IF($H47=0,0,CHOOSE($H47,SUMPRODUCT($O48:$O$55*AJ48:AJ$55*($E48:$E$55=$D47)),IF(ISNUMBER(Data!AD47),100*ABS($G47-(Data!AD47-$K47)/$M47),0),IF(ISNUMBER(Data!AD47),100*ABS($G47-(Data!AD47-$K47)/$M47),0)))</f>
        <v>0</v>
      </c>
      <c r="AK47" s="301">
        <f>IF($H47=0,0,CHOOSE($H47,SUMPRODUCT($O48:$O$55*AK48:AK$55*($E48:$E$55=$D47)),IF(ISNUMBER(Data!AE47),100*ABS($G47-(Data!AE47-$K47)/$M47),0),IF(ISNUMBER(Data!AE47),100*ABS($G47-(Data!AE47-$K47)/$M47),0)))</f>
        <v>0</v>
      </c>
    </row>
    <row r="48" spans="1:37" s="78" customFormat="1" ht="30">
      <c r="A48" s="580">
        <f t="shared" si="3"/>
        <v>48</v>
      </c>
      <c r="B48" s="297">
        <f>tblIndicators!A45</f>
        <v>44</v>
      </c>
      <c r="C48" s="297">
        <f>tblIndicators!B45</f>
        <v>0</v>
      </c>
      <c r="D48" s="297" t="str">
        <f>tblIndicators!D45</f>
        <v>MERC3.3.2</v>
      </c>
      <c r="E48" s="297" t="str">
        <f>tblIndicators!E45</f>
        <v>MERC3.3</v>
      </c>
      <c r="F48" s="297">
        <f>tblIndicators!F45</f>
        <v>3</v>
      </c>
      <c r="G48" s="297">
        <f>tblIndicators!Y45</f>
        <v>0</v>
      </c>
      <c r="H48" s="297">
        <f>tblIndicators!Z45</f>
        <v>3</v>
      </c>
      <c r="I48" s="298">
        <f>tblIndicators!AA45</f>
        <v>0</v>
      </c>
      <c r="J48" s="297">
        <f>tblIndicators!AB45</f>
        <v>1</v>
      </c>
      <c r="K48" s="297">
        <f t="shared" ca="1" si="1"/>
        <v>0</v>
      </c>
      <c r="L48" s="299">
        <f t="shared" ca="1" si="2"/>
        <v>1</v>
      </c>
      <c r="M48" s="297">
        <f t="shared" ca="1" si="4"/>
        <v>1</v>
      </c>
      <c r="N48" s="426" t="str">
        <f>REPT(" ",F48)&amp;tblIndicators!AE45</f>
        <v xml:space="preserve">   3.3.2) 31.¿Existen mecanismos de pago periódico fijo para los recicladores de base por servicios prestados?</v>
      </c>
      <c r="O48" s="302">
        <f>tblIndicators!AD45</f>
        <v>0.25</v>
      </c>
      <c r="P48" s="300">
        <f ca="1">IF($H48=0,0,CHOOSE($H48,SUMPRODUCT($O49:$O$55*P49:P$55*($E49:$E$55=$D48)),IF(ISNUMBER(Data!J48),100*ABS($G48-(Data!J48-$K48)/$M48),0),IF(ISNUMBER(Data!J48),100*ABS($G48-(Data!J48-$K48)/$M48),0)))</f>
        <v>0</v>
      </c>
      <c r="Q48" s="301">
        <f ca="1">IF($H48=0,0,CHOOSE($H48,SUMPRODUCT($O49:$O$55*Q49:Q$55*($E49:$E$55=$D48)),IF(ISNUMBER(Data!K48),100*ABS($G48-(Data!K48-$K48)/$M48),0),IF(ISNUMBER(Data!K48),100*ABS($G48-(Data!K48-$K48)/$M48),0)))</f>
        <v>100</v>
      </c>
      <c r="R48" s="300">
        <f ca="1">IF($H48=0,0,CHOOSE($H48,SUMPRODUCT($O49:$O$55*R49:R$55*($E49:$E$55=$D48)),IF(ISNUMBER(Data!L48),100*ABS($G48-(Data!L48-$K48)/$M48),0),IF(ISNUMBER(Data!L48),100*ABS($G48-(Data!L48-$K48)/$M48),0)))</f>
        <v>100</v>
      </c>
      <c r="S48" s="301">
        <f ca="1">IF($H48=0,0,CHOOSE($H48,SUMPRODUCT($O49:$O$55*S49:S$55*($E49:$E$55=$D48)),IF(ISNUMBER(Data!M48),100*ABS($G48-(Data!M48-$K48)/$M48),0),IF(ISNUMBER(Data!M48),100*ABS($G48-(Data!M48-$K48)/$M48),0)))</f>
        <v>0</v>
      </c>
      <c r="T48" s="300">
        <f ca="1">IF($H48=0,0,CHOOSE($H48,SUMPRODUCT($O49:$O$55*T49:T$55*($E49:$E$55=$D48)),IF(ISNUMBER(Data!N48),100*ABS($G48-(Data!N48-$K48)/$M48),0),IF(ISNUMBER(Data!N48),100*ABS($G48-(Data!N48-$K48)/$M48),0)))</f>
        <v>0</v>
      </c>
      <c r="U48" s="301">
        <f ca="1">IF($H48=0,0,CHOOSE($H48,SUMPRODUCT($O49:$O$55*U49:U$55*($E49:$E$55=$D48)),IF(ISNUMBER(Data!O48),100*ABS($G48-(Data!O48-$K48)/$M48),0),IF(ISNUMBER(Data!O48),100*ABS($G48-(Data!O48-$K48)/$M48),0)))</f>
        <v>0</v>
      </c>
      <c r="V48" s="300">
        <f ca="1">IF($H48=0,0,CHOOSE($H48,SUMPRODUCT($O49:$O$55*V49:V$55*($E49:$E$55=$D48)),IF(ISNUMBER(Data!P48),100*ABS($G48-(Data!P48-$K48)/$M48),0),IF(ISNUMBER(Data!P48),100*ABS($G48-(Data!P48-$K48)/$M48),0)))</f>
        <v>0</v>
      </c>
      <c r="W48" s="301">
        <f ca="1">IF($H48=0,0,CHOOSE($H48,SUMPRODUCT($O49:$O$55*W49:W$55*($E49:$E$55=$D48)),IF(ISNUMBER(Data!Q48),100*ABS($G48-(Data!Q48-$K48)/$M48),0),IF(ISNUMBER(Data!Q48),100*ABS($G48-(Data!Q48-$K48)/$M48),0)))</f>
        <v>0</v>
      </c>
      <c r="X48" s="300">
        <f ca="1">IF($H48=0,0,CHOOSE($H48,SUMPRODUCT($O49:$O$55*X49:X$55*($E49:$E$55=$D48)),IF(ISNUMBER(Data!R48),100*ABS($G48-(Data!R48-$K48)/$M48),0),IF(ISNUMBER(Data!R48),100*ABS($G48-(Data!R48-$K48)/$M48),0)))</f>
        <v>0</v>
      </c>
      <c r="Y48" s="301">
        <f ca="1">IF($H48=0,0,CHOOSE($H48,SUMPRODUCT($O49:$O$55*Y49:Y$55*($E49:$E$55=$D48)),IF(ISNUMBER(Data!S48),100*ABS($G48-(Data!S48-$K48)/$M48),0),IF(ISNUMBER(Data!S48),100*ABS($G48-(Data!S48-$K48)/$M48),0)))</f>
        <v>100</v>
      </c>
      <c r="Z48" s="300">
        <f ca="1">IF($H48=0,0,CHOOSE($H48,SUMPRODUCT($O49:$O$55*Z49:Z$55*($E49:$E$55=$D48)),IF(ISNUMBER(Data!T48),100*ABS($G48-(Data!T48-$K48)/$M48),0),IF(ISNUMBER(Data!T48),100*ABS($G48-(Data!T48-$K48)/$M48),0)))</f>
        <v>0</v>
      </c>
      <c r="AA48" s="301">
        <f ca="1">IF($H48=0,0,CHOOSE($H48,SUMPRODUCT($O49:$O$55*AA49:AA$55*($E49:$E$55=$D48)),IF(ISNUMBER(Data!U48),100*ABS($G48-(Data!U48-$K48)/$M48),0),IF(ISNUMBER(Data!U48),100*ABS($G48-(Data!U48-$K48)/$M48),0)))</f>
        <v>0</v>
      </c>
      <c r="AB48" s="300">
        <f ca="1">IF($H48=0,0,CHOOSE($H48,SUMPRODUCT($O49:$O$55*AB49:AB$55*($E49:$E$55=$D48)),IF(ISNUMBER(Data!V48),100*ABS($G48-(Data!V48-$K48)/$M48),0),IF(ISNUMBER(Data!V48),100*ABS($G48-(Data!V48-$K48)/$M48),0)))</f>
        <v>0</v>
      </c>
      <c r="AC48" s="301">
        <f>IF($H48=0,0,CHOOSE($H48,SUMPRODUCT($O49:$O$55*AC49:AC$55*($E49:$E$55=$D48)),IF(ISNUMBER(Data!W48),100*ABS($G48-(Data!W48-$K48)/$M48),0),IF(ISNUMBER(Data!W48),100*ABS($G48-(Data!W48-$K48)/$M48),0)))</f>
        <v>0</v>
      </c>
      <c r="AD48" s="300">
        <f>IF($H48=0,0,CHOOSE($H48,SUMPRODUCT($O49:$O$55*AD49:AD$55*($E49:$E$55=$D48)),IF(ISNUMBER(Data!X48),100*ABS($G48-(Data!X48-$K48)/$M48),0),IF(ISNUMBER(Data!X48),100*ABS($G48-(Data!X48-$K48)/$M48),0)))</f>
        <v>0</v>
      </c>
      <c r="AE48" s="301">
        <f>IF($H48=0,0,CHOOSE($H48,SUMPRODUCT($O49:$O$55*AE49:AE$55*($E49:$E$55=$D48)),IF(ISNUMBER(Data!Y48),100*ABS($G48-(Data!Y48-$K48)/$M48),0),IF(ISNUMBER(Data!Y48),100*ABS($G48-(Data!Y48-$K48)/$M48),0)))</f>
        <v>0</v>
      </c>
      <c r="AF48" s="300">
        <f>IF($H48=0,0,CHOOSE($H48,SUMPRODUCT($O49:$O$55*AF49:AF$55*($E49:$E$55=$D48)),IF(ISNUMBER(Data!Z48),100*ABS($G48-(Data!Z48-$K48)/$M48),0),IF(ISNUMBER(Data!Z48),100*ABS($G48-(Data!Z48-$K48)/$M48),0)))</f>
        <v>0</v>
      </c>
      <c r="AG48" s="301">
        <f>IF($H48=0,0,CHOOSE($H48,SUMPRODUCT($O49:$O$55*AG49:AG$55*($E49:$E$55=$D48)),IF(ISNUMBER(Data!AA48),100*ABS($G48-(Data!AA48-$K48)/$M48),0),IF(ISNUMBER(Data!AA48),100*ABS($G48-(Data!AA48-$K48)/$M48),0)))</f>
        <v>0</v>
      </c>
      <c r="AH48" s="300">
        <f>IF($H48=0,0,CHOOSE($H48,SUMPRODUCT($O49:$O$55*AH49:AH$55*($E49:$E$55=$D48)),IF(ISNUMBER(Data!AB48),100*ABS($G48-(Data!AB48-$K48)/$M48),0),IF(ISNUMBER(Data!AB48),100*ABS($G48-(Data!AB48-$K48)/$M48),0)))</f>
        <v>0</v>
      </c>
      <c r="AI48" s="301">
        <f>IF($H48=0,0,CHOOSE($H48,SUMPRODUCT($O49:$O$55*AI49:AI$55*($E49:$E$55=$D48)),IF(ISNUMBER(Data!AC48),100*ABS($G48-(Data!AC48-$K48)/$M48),0),IF(ISNUMBER(Data!AC48),100*ABS($G48-(Data!AC48-$K48)/$M48),0)))</f>
        <v>0</v>
      </c>
      <c r="AJ48" s="300">
        <f>IF($H48=0,0,CHOOSE($H48,SUMPRODUCT($O49:$O$55*AJ49:AJ$55*($E49:$E$55=$D48)),IF(ISNUMBER(Data!AD48),100*ABS($G48-(Data!AD48-$K48)/$M48),0),IF(ISNUMBER(Data!AD48),100*ABS($G48-(Data!AD48-$K48)/$M48),0)))</f>
        <v>0</v>
      </c>
      <c r="AK48" s="301">
        <f>IF($H48=0,0,CHOOSE($H48,SUMPRODUCT($O49:$O$55*AK49:AK$55*($E49:$E$55=$D48)),IF(ISNUMBER(Data!AE48),100*ABS($G48-(Data!AE48-$K48)/$M48),0),IF(ISNUMBER(Data!AE48),100*ABS($G48-(Data!AE48-$K48)/$M48),0)))</f>
        <v>0</v>
      </c>
    </row>
    <row r="49" spans="1:37" s="78" customFormat="1" ht="30">
      <c r="A49" s="580">
        <f t="shared" si="3"/>
        <v>49</v>
      </c>
      <c r="B49" s="297">
        <f>tblIndicators!A46</f>
        <v>45</v>
      </c>
      <c r="C49" s="297">
        <f>tblIndicators!B46</f>
        <v>0</v>
      </c>
      <c r="D49" s="297" t="str">
        <f>tblIndicators!D46</f>
        <v>MERC3.3.3</v>
      </c>
      <c r="E49" s="297" t="str">
        <f>tblIndicators!E46</f>
        <v>MERC3.3</v>
      </c>
      <c r="F49" s="297">
        <f>tblIndicators!F46</f>
        <v>3</v>
      </c>
      <c r="G49" s="297">
        <f>tblIndicators!Y46</f>
        <v>0</v>
      </c>
      <c r="H49" s="297">
        <f>tblIndicators!Z46</f>
        <v>3</v>
      </c>
      <c r="I49" s="298">
        <f>tblIndicators!AA46</f>
        <v>0</v>
      </c>
      <c r="J49" s="297">
        <f>tblIndicators!AB46</f>
        <v>1</v>
      </c>
      <c r="K49" s="297">
        <f t="shared" ca="1" si="1"/>
        <v>0</v>
      </c>
      <c r="L49" s="299">
        <f t="shared" ca="1" si="2"/>
        <v>1</v>
      </c>
      <c r="M49" s="297">
        <f t="shared" ca="1" si="4"/>
        <v>1</v>
      </c>
      <c r="N49" s="426" t="str">
        <f>REPT(" ",F49)&amp;tblIndicators!AE46</f>
        <v xml:space="preserve">   3.3.3) 32.¿Existen programas de diversificación de los servicios prestados por recicladores?</v>
      </c>
      <c r="O49" s="302">
        <f>tblIndicators!AD46</f>
        <v>0.25</v>
      </c>
      <c r="P49" s="300">
        <f ca="1">IF($H49=0,0,CHOOSE($H49,SUMPRODUCT($O50:$O$55*P50:P$55*($E50:$E$55=$D49)),IF(ISNUMBER(Data!J49),100*ABS($G49-(Data!J49-$K49)/$M49),0),IF(ISNUMBER(Data!J49),100*ABS($G49-(Data!J49-$K49)/$M49),0)))</f>
        <v>0</v>
      </c>
      <c r="Q49" s="301">
        <f ca="1">IF($H49=0,0,CHOOSE($H49,SUMPRODUCT($O50:$O$55*Q50:Q$55*($E50:$E$55=$D49)),IF(ISNUMBER(Data!K49),100*ABS($G49-(Data!K49-$K49)/$M49),0),IF(ISNUMBER(Data!K49),100*ABS($G49-(Data!K49-$K49)/$M49),0)))</f>
        <v>0</v>
      </c>
      <c r="R49" s="300">
        <f ca="1">IF($H49=0,0,CHOOSE($H49,SUMPRODUCT($O50:$O$55*R50:R$55*($E50:$E$55=$D49)),IF(ISNUMBER(Data!L49),100*ABS($G49-(Data!L49-$K49)/$M49),0),IF(ISNUMBER(Data!L49),100*ABS($G49-(Data!L49-$K49)/$M49),0)))</f>
        <v>100</v>
      </c>
      <c r="S49" s="301">
        <f ca="1">IF($H49=0,0,CHOOSE($H49,SUMPRODUCT($O50:$O$55*S50:S$55*($E50:$E$55=$D49)),IF(ISNUMBER(Data!M49),100*ABS($G49-(Data!M49-$K49)/$M49),0),IF(ISNUMBER(Data!M49),100*ABS($G49-(Data!M49-$K49)/$M49),0)))</f>
        <v>0</v>
      </c>
      <c r="T49" s="300">
        <f ca="1">IF($H49=0,0,CHOOSE($H49,SUMPRODUCT($O50:$O$55*T50:T$55*($E50:$E$55=$D49)),IF(ISNUMBER(Data!N49),100*ABS($G49-(Data!N49-$K49)/$M49),0),IF(ISNUMBER(Data!N49),100*ABS($G49-(Data!N49-$K49)/$M49),0)))</f>
        <v>0</v>
      </c>
      <c r="U49" s="301">
        <f ca="1">IF($H49=0,0,CHOOSE($H49,SUMPRODUCT($O50:$O$55*U50:U$55*($E50:$E$55=$D49)),IF(ISNUMBER(Data!O49),100*ABS($G49-(Data!O49-$K49)/$M49),0),IF(ISNUMBER(Data!O49),100*ABS($G49-(Data!O49-$K49)/$M49),0)))</f>
        <v>0</v>
      </c>
      <c r="V49" s="300">
        <f ca="1">IF($H49=0,0,CHOOSE($H49,SUMPRODUCT($O50:$O$55*V50:V$55*($E50:$E$55=$D49)),IF(ISNUMBER(Data!P49),100*ABS($G49-(Data!P49-$K49)/$M49),0),IF(ISNUMBER(Data!P49),100*ABS($G49-(Data!P49-$K49)/$M49),0)))</f>
        <v>0</v>
      </c>
      <c r="W49" s="301">
        <f ca="1">IF($H49=0,0,CHOOSE($H49,SUMPRODUCT($O50:$O$55*W50:W$55*($E50:$E$55=$D49)),IF(ISNUMBER(Data!Q49),100*ABS($G49-(Data!Q49-$K49)/$M49),0),IF(ISNUMBER(Data!Q49),100*ABS($G49-(Data!Q49-$K49)/$M49),0)))</f>
        <v>0</v>
      </c>
      <c r="X49" s="300">
        <f ca="1">IF($H49=0,0,CHOOSE($H49,SUMPRODUCT($O50:$O$55*X50:X$55*($E50:$E$55=$D49)),IF(ISNUMBER(Data!R49),100*ABS($G49-(Data!R49-$K49)/$M49),0),IF(ISNUMBER(Data!R49),100*ABS($G49-(Data!R49-$K49)/$M49),0)))</f>
        <v>0</v>
      </c>
      <c r="Y49" s="301">
        <f ca="1">IF($H49=0,0,CHOOSE($H49,SUMPRODUCT($O50:$O$55*Y50:Y$55*($E50:$E$55=$D49)),IF(ISNUMBER(Data!S49),100*ABS($G49-(Data!S49-$K49)/$M49),0),IF(ISNUMBER(Data!S49),100*ABS($G49-(Data!S49-$K49)/$M49),0)))</f>
        <v>100</v>
      </c>
      <c r="Z49" s="300">
        <f ca="1">IF($H49=0,0,CHOOSE($H49,SUMPRODUCT($O50:$O$55*Z50:Z$55*($E50:$E$55=$D49)),IF(ISNUMBER(Data!T49),100*ABS($G49-(Data!T49-$K49)/$M49),0),IF(ISNUMBER(Data!T49),100*ABS($G49-(Data!T49-$K49)/$M49),0)))</f>
        <v>0</v>
      </c>
      <c r="AA49" s="301">
        <f ca="1">IF($H49=0,0,CHOOSE($H49,SUMPRODUCT($O50:$O$55*AA50:AA$55*($E50:$E$55=$D49)),IF(ISNUMBER(Data!U49),100*ABS($G49-(Data!U49-$K49)/$M49),0),IF(ISNUMBER(Data!U49),100*ABS($G49-(Data!U49-$K49)/$M49),0)))</f>
        <v>0</v>
      </c>
      <c r="AB49" s="300">
        <f ca="1">IF($H49=0,0,CHOOSE($H49,SUMPRODUCT($O50:$O$55*AB50:AB$55*($E50:$E$55=$D49)),IF(ISNUMBER(Data!V49),100*ABS($G49-(Data!V49-$K49)/$M49),0),IF(ISNUMBER(Data!V49),100*ABS($G49-(Data!V49-$K49)/$M49),0)))</f>
        <v>0</v>
      </c>
      <c r="AC49" s="301">
        <f>IF($H49=0,0,CHOOSE($H49,SUMPRODUCT($O50:$O$55*AC50:AC$55*($E50:$E$55=$D49)),IF(ISNUMBER(Data!W49),100*ABS($G49-(Data!W49-$K49)/$M49),0),IF(ISNUMBER(Data!W49),100*ABS($G49-(Data!W49-$K49)/$M49),0)))</f>
        <v>0</v>
      </c>
      <c r="AD49" s="300">
        <f>IF($H49=0,0,CHOOSE($H49,SUMPRODUCT($O50:$O$55*AD50:AD$55*($E50:$E$55=$D49)),IF(ISNUMBER(Data!X49),100*ABS($G49-(Data!X49-$K49)/$M49),0),IF(ISNUMBER(Data!X49),100*ABS($G49-(Data!X49-$K49)/$M49),0)))</f>
        <v>0</v>
      </c>
      <c r="AE49" s="301">
        <f>IF($H49=0,0,CHOOSE($H49,SUMPRODUCT($O50:$O$55*AE50:AE$55*($E50:$E$55=$D49)),IF(ISNUMBER(Data!Y49),100*ABS($G49-(Data!Y49-$K49)/$M49),0),IF(ISNUMBER(Data!Y49),100*ABS($G49-(Data!Y49-$K49)/$M49),0)))</f>
        <v>0</v>
      </c>
      <c r="AF49" s="300">
        <f>IF($H49=0,0,CHOOSE($H49,SUMPRODUCT($O50:$O$55*AF50:AF$55*($E50:$E$55=$D49)),IF(ISNUMBER(Data!Z49),100*ABS($G49-(Data!Z49-$K49)/$M49),0),IF(ISNUMBER(Data!Z49),100*ABS($G49-(Data!Z49-$K49)/$M49),0)))</f>
        <v>0</v>
      </c>
      <c r="AG49" s="301">
        <f>IF($H49=0,0,CHOOSE($H49,SUMPRODUCT($O50:$O$55*AG50:AG$55*($E50:$E$55=$D49)),IF(ISNUMBER(Data!AA49),100*ABS($G49-(Data!AA49-$K49)/$M49),0),IF(ISNUMBER(Data!AA49),100*ABS($G49-(Data!AA49-$K49)/$M49),0)))</f>
        <v>0</v>
      </c>
      <c r="AH49" s="300">
        <f>IF($H49=0,0,CHOOSE($H49,SUMPRODUCT($O50:$O$55*AH50:AH$55*($E50:$E$55=$D49)),IF(ISNUMBER(Data!AB49),100*ABS($G49-(Data!AB49-$K49)/$M49),0),IF(ISNUMBER(Data!AB49),100*ABS($G49-(Data!AB49-$K49)/$M49),0)))</f>
        <v>0</v>
      </c>
      <c r="AI49" s="301">
        <f>IF($H49=0,0,CHOOSE($H49,SUMPRODUCT($O50:$O$55*AI50:AI$55*($E50:$E$55=$D49)),IF(ISNUMBER(Data!AC49),100*ABS($G49-(Data!AC49-$K49)/$M49),0),IF(ISNUMBER(Data!AC49),100*ABS($G49-(Data!AC49-$K49)/$M49),0)))</f>
        <v>0</v>
      </c>
      <c r="AJ49" s="300">
        <f>IF($H49=0,0,CHOOSE($H49,SUMPRODUCT($O50:$O$55*AJ50:AJ$55*($E50:$E$55=$D49)),IF(ISNUMBER(Data!AD49),100*ABS($G49-(Data!AD49-$K49)/$M49),0),IF(ISNUMBER(Data!AD49),100*ABS($G49-(Data!AD49-$K49)/$M49),0)))</f>
        <v>0</v>
      </c>
      <c r="AK49" s="301">
        <f>IF($H49=0,0,CHOOSE($H49,SUMPRODUCT($O50:$O$55*AK50:AK$55*($E50:$E$55=$D49)),IF(ISNUMBER(Data!AE49),100*ABS($G49-(Data!AE49-$K49)/$M49),0),IF(ISNUMBER(Data!AE49),100*ABS($G49-(Data!AE49-$K49)/$M49),0)))</f>
        <v>0</v>
      </c>
    </row>
    <row r="50" spans="1:37" s="78" customFormat="1" ht="30">
      <c r="A50" s="580">
        <f t="shared" si="3"/>
        <v>50</v>
      </c>
      <c r="B50" s="297">
        <f>tblIndicators!A47</f>
        <v>46</v>
      </c>
      <c r="C50" s="297">
        <f>tblIndicators!B47</f>
        <v>0</v>
      </c>
      <c r="D50" s="297" t="str">
        <f>tblIndicators!D47</f>
        <v>MERC3.3.4</v>
      </c>
      <c r="E50" s="297" t="str">
        <f>tblIndicators!E47</f>
        <v>MERC3.3</v>
      </c>
      <c r="F50" s="297">
        <f>tblIndicators!F47</f>
        <v>3</v>
      </c>
      <c r="G50" s="297">
        <f>tblIndicators!Y47</f>
        <v>0</v>
      </c>
      <c r="H50" s="297">
        <f>tblIndicators!Z47</f>
        <v>2</v>
      </c>
      <c r="I50" s="298" t="str">
        <f>tblIndicators!AA47</f>
        <v/>
      </c>
      <c r="J50" s="297">
        <f>tblIndicators!AB47</f>
        <v>0</v>
      </c>
      <c r="K50" s="297">
        <f t="shared" ca="1" si="1"/>
        <v>14.000000000000002</v>
      </c>
      <c r="L50" s="299">
        <f t="shared" ca="1" si="2"/>
        <v>157</v>
      </c>
      <c r="M50" s="297">
        <f t="shared" ca="1" si="4"/>
        <v>143</v>
      </c>
      <c r="N50" s="426" t="str">
        <f>REPT(" ",F50)&amp;tblIndicators!AE47</f>
        <v xml:space="preserve">   3.3.4) 33. Ingreso promedio de los recicladores con respecto al salario mínimo nacional</v>
      </c>
      <c r="O50" s="302">
        <f>tblIndicators!AD47</f>
        <v>0.25</v>
      </c>
      <c r="P50" s="300">
        <f ca="1">IF($H50=0,0,CHOOSE($H50,SUMPRODUCT($O51:$O$55*P51:P$55*($E51:$E$55=$D50)),IF(ISNUMBER(Data!J50),100*ABS($G50-(Data!J50-$K50)/$M50),0),IF(ISNUMBER(Data!J50),100*ABS($G50-(Data!J50-$K50)/$M50),0)))</f>
        <v>15.512668189495074</v>
      </c>
      <c r="Q50" s="301">
        <f ca="1">IF($H50=0,0,CHOOSE($H50,SUMPRODUCT($O51:$O$55*Q51:Q$55*($E51:$E$55=$D50)),IF(ISNUMBER(Data!K50),100*ABS($G50-(Data!K50-$K50)/$M50),0),IF(ISNUMBER(Data!K50),100*ABS($G50-(Data!K50-$K50)/$M50),0)))</f>
        <v>51.066614742271597</v>
      </c>
      <c r="R50" s="300">
        <f ca="1">IF($H50=0,0,CHOOSE($H50,SUMPRODUCT($O51:$O$55*R51:R$55*($E51:$E$55=$D50)),IF(ISNUMBER(Data!L50),100*ABS($G50-(Data!L50-$K50)/$M50),0),IF(ISNUMBER(Data!L50),100*ABS($G50-(Data!L50-$K50)/$M50),0)))</f>
        <v>100</v>
      </c>
      <c r="S50" s="301">
        <f ca="1">IF($H50=0,0,CHOOSE($H50,SUMPRODUCT($O51:$O$55*S51:S$55*($E51:$E$55=$D50)),IF(ISNUMBER(Data!M50),100*ABS($G50-(Data!M50-$K50)/$M50),0),IF(ISNUMBER(Data!M50),100*ABS($G50-(Data!M50-$K50)/$M50),0)))</f>
        <v>95.104895104895107</v>
      </c>
      <c r="T50" s="300">
        <f ca="1">IF($H50=0,0,CHOOSE($H50,SUMPRODUCT($O51:$O$55*T51:T$55*($E51:$E$55=$D50)),IF(ISNUMBER(Data!N50),100*ABS($G50-(Data!N50-$K50)/$M50),0),IF(ISNUMBER(Data!N50),100*ABS($G50-(Data!N50-$K50)/$M50),0)))</f>
        <v>37.76223776223776</v>
      </c>
      <c r="U50" s="301">
        <f ca="1">IF($H50=0,0,CHOOSE($H50,SUMPRODUCT($O51:$O$55*U51:U$55*($E51:$E$55=$D50)),IF(ISNUMBER(Data!O50),100*ABS($G50-(Data!O50-$K50)/$M50),0),IF(ISNUMBER(Data!O50),100*ABS($G50-(Data!O50-$K50)/$M50),0)))</f>
        <v>25.174825174825177</v>
      </c>
      <c r="V50" s="300">
        <f ca="1">IF($H50=0,0,CHOOSE($H50,SUMPRODUCT($O51:$O$55*V51:V$55*($E51:$E$55=$D50)),IF(ISNUMBER(Data!P50),100*ABS($G50-(Data!P50-$K50)/$M50),0),IF(ISNUMBER(Data!P50),100*ABS($G50-(Data!P50-$K50)/$M50),0)))</f>
        <v>65.470852017937219</v>
      </c>
      <c r="W50" s="301">
        <f ca="1">IF($H50=0,0,CHOOSE($H50,SUMPRODUCT($O51:$O$55*W51:W$55*($E51:$E$55=$D50)),IF(ISNUMBER(Data!Q50),100*ABS($G50-(Data!Q50-$K50)/$M50),0),IF(ISNUMBER(Data!Q50),100*ABS($G50-(Data!Q50-$K50)/$M50),0)))</f>
        <v>24.475524475524477</v>
      </c>
      <c r="X50" s="300">
        <f ca="1">IF($H50=0,0,CHOOSE($H50,SUMPRODUCT($O51:$O$55*X51:X$55*($E51:$E$55=$D50)),IF(ISNUMBER(Data!R50),100*ABS($G50-(Data!R50-$K50)/$M50),0),IF(ISNUMBER(Data!R50),100*ABS($G50-(Data!R50-$K50)/$M50),0)))</f>
        <v>0</v>
      </c>
      <c r="Y50" s="301">
        <f ca="1">IF($H50=0,0,CHOOSE($H50,SUMPRODUCT($O51:$O$55*Y51:Y$55*($E51:$E$55=$D50)),IF(ISNUMBER(Data!S50),100*ABS($G50-(Data!S50-$K50)/$M50),0),IF(ISNUMBER(Data!S50),100*ABS($G50-(Data!S50-$K50)/$M50),0)))</f>
        <v>37.889383343928792</v>
      </c>
      <c r="Z50" s="300">
        <f ca="1">IF($H50=0,0,CHOOSE($H50,SUMPRODUCT($O51:$O$55*Z51:Z$55*($E51:$E$55=$D50)),IF(ISNUMBER(Data!T50),100*ABS($G50-(Data!T50-$K50)/$M50),0),IF(ISNUMBER(Data!T50),100*ABS($G50-(Data!T50-$K50)/$M50),0)))</f>
        <v>49.650349650349654</v>
      </c>
      <c r="AA50" s="301">
        <f ca="1">IF($H50=0,0,CHOOSE($H50,SUMPRODUCT($O51:$O$55*AA51:AA$55*($E51:$E$55=$D50)),IF(ISNUMBER(Data!U50),100*ABS($G50-(Data!U50-$K50)/$M50),0),IF(ISNUMBER(Data!U50),100*ABS($G50-(Data!U50-$K50)/$M50),0)))</f>
        <v>42.657342657342653</v>
      </c>
      <c r="AB50" s="300">
        <f ca="1">IF($H50=0,0,CHOOSE($H50,SUMPRODUCT($O51:$O$55*AB51:AB$55*($E51:$E$55=$D50)),IF(ISNUMBER(Data!V50),100*ABS($G50-(Data!V50-$K50)/$M50),0),IF(ISNUMBER(Data!V50),100*ABS($G50-(Data!V50-$K50)/$M50),0)))</f>
        <v>9.7902097902097918</v>
      </c>
      <c r="AC50" s="301">
        <f>IF($H50=0,0,CHOOSE($H50,SUMPRODUCT($O51:$O$55*AC51:AC$55*($E51:$E$55=$D50)),IF(ISNUMBER(Data!W50),100*ABS($G50-(Data!W50-$K50)/$M50),0),IF(ISNUMBER(Data!W50),100*ABS($G50-(Data!W50-$K50)/$M50),0)))</f>
        <v>0</v>
      </c>
      <c r="AD50" s="300">
        <f>IF($H50=0,0,CHOOSE($H50,SUMPRODUCT($O51:$O$55*AD51:AD$55*($E51:$E$55=$D50)),IF(ISNUMBER(Data!X50),100*ABS($G50-(Data!X50-$K50)/$M50),0),IF(ISNUMBER(Data!X50),100*ABS($G50-(Data!X50-$K50)/$M50),0)))</f>
        <v>0</v>
      </c>
      <c r="AE50" s="301">
        <f>IF($H50=0,0,CHOOSE($H50,SUMPRODUCT($O51:$O$55*AE51:AE$55*($E51:$E$55=$D50)),IF(ISNUMBER(Data!Y50),100*ABS($G50-(Data!Y50-$K50)/$M50),0),IF(ISNUMBER(Data!Y50),100*ABS($G50-(Data!Y50-$K50)/$M50),0)))</f>
        <v>0</v>
      </c>
      <c r="AF50" s="300">
        <f>IF($H50=0,0,CHOOSE($H50,SUMPRODUCT($O51:$O$55*AF51:AF$55*($E51:$E$55=$D50)),IF(ISNUMBER(Data!Z50),100*ABS($G50-(Data!Z50-$K50)/$M50),0),IF(ISNUMBER(Data!Z50),100*ABS($G50-(Data!Z50-$K50)/$M50),0)))</f>
        <v>0</v>
      </c>
      <c r="AG50" s="301">
        <f>IF($H50=0,0,CHOOSE($H50,SUMPRODUCT($O51:$O$55*AG51:AG$55*($E51:$E$55=$D50)),IF(ISNUMBER(Data!AA50),100*ABS($G50-(Data!AA50-$K50)/$M50),0),IF(ISNUMBER(Data!AA50),100*ABS($G50-(Data!AA50-$K50)/$M50),0)))</f>
        <v>0</v>
      </c>
      <c r="AH50" s="300">
        <f>IF($H50=0,0,CHOOSE($H50,SUMPRODUCT($O51:$O$55*AH51:AH$55*($E51:$E$55=$D50)),IF(ISNUMBER(Data!AB50),100*ABS($G50-(Data!AB50-$K50)/$M50),0),IF(ISNUMBER(Data!AB50),100*ABS($G50-(Data!AB50-$K50)/$M50),0)))</f>
        <v>0</v>
      </c>
      <c r="AI50" s="301">
        <f>IF($H50=0,0,CHOOSE($H50,SUMPRODUCT($O51:$O$55*AI51:AI$55*($E51:$E$55=$D50)),IF(ISNUMBER(Data!AC50),100*ABS($G50-(Data!AC50-$K50)/$M50),0),IF(ISNUMBER(Data!AC50),100*ABS($G50-(Data!AC50-$K50)/$M50),0)))</f>
        <v>0</v>
      </c>
      <c r="AJ50" s="300">
        <f>IF($H50=0,0,CHOOSE($H50,SUMPRODUCT($O51:$O$55*AJ51:AJ$55*($E51:$E$55=$D50)),IF(ISNUMBER(Data!AD50),100*ABS($G50-(Data!AD50-$K50)/$M50),0),IF(ISNUMBER(Data!AD50),100*ABS($G50-(Data!AD50-$K50)/$M50),0)))</f>
        <v>0</v>
      </c>
      <c r="AK50" s="301">
        <f>IF($H50=0,0,CHOOSE($H50,SUMPRODUCT($O51:$O$55*AK51:AK$55*($E51:$E$55=$D50)),IF(ISNUMBER(Data!AE50),100*ABS($G50-(Data!AE50-$K50)/$M50),0),IF(ISNUMBER(Data!AE50),100*ABS($G50-(Data!AE50-$K50)/$M50),0)))</f>
        <v>0</v>
      </c>
    </row>
    <row r="51" spans="1:37" s="78" customFormat="1" ht="15">
      <c r="A51" s="580">
        <f t="shared" si="3"/>
        <v>51</v>
      </c>
      <c r="B51" s="297">
        <f>tblIndicators!A48</f>
        <v>47</v>
      </c>
      <c r="C51" s="297">
        <f>tblIndicators!B48</f>
        <v>0</v>
      </c>
      <c r="D51" s="297" t="str">
        <f>tblIndicators!D48</f>
        <v>MERC3.4</v>
      </c>
      <c r="E51" s="297" t="str">
        <f>tblIndicators!E48</f>
        <v>MERC</v>
      </c>
      <c r="F51" s="297">
        <f>tblIndicators!F48</f>
        <v>2</v>
      </c>
      <c r="G51" s="297" t="str">
        <f>tblIndicators!Y48</f>
        <v/>
      </c>
      <c r="H51" s="297">
        <f>tblIndicators!Z48</f>
        <v>1</v>
      </c>
      <c r="I51" s="298" t="str">
        <f>tblIndicators!AA48</f>
        <v/>
      </c>
      <c r="J51" s="297">
        <f>tblIndicators!AB48</f>
        <v>0</v>
      </c>
      <c r="K51" s="297" t="str">
        <f t="shared" ca="1" si="1"/>
        <v>-</v>
      </c>
      <c r="L51" s="299" t="str">
        <f t="shared" ca="1" si="2"/>
        <v>-</v>
      </c>
      <c r="M51" s="297" t="str">
        <f t="shared" si="4"/>
        <v>-</v>
      </c>
      <c r="N51" s="426" t="str">
        <f>REPT(" ",F51)&amp;tblIndicators!AE48</f>
        <v xml:space="preserve">  3.4) Condiciones de trabajo de los recicladores de base</v>
      </c>
      <c r="O51" s="302">
        <f>tblIndicators!AD48</f>
        <v>0.25</v>
      </c>
      <c r="P51" s="300">
        <f ca="1">IF($H51=0,0,CHOOSE($H51,SUMPRODUCT($O52:$O$55*P52:P$55*($E52:$E$55=$D51)),IF(ISNUMBER(Data!J51),100*ABS($G51-(Data!J51-$K51)/$M51),0),IF(ISNUMBER(Data!J51),100*ABS($G51-(Data!J51-$K51)/$M51),0)))</f>
        <v>0</v>
      </c>
      <c r="Q51" s="301">
        <f ca="1">IF($H51=0,0,CHOOSE($H51,SUMPRODUCT($O52:$O$55*Q52:Q$55*($E52:$E$55=$D51)),IF(ISNUMBER(Data!K51),100*ABS($G51-(Data!K51-$K51)/$M51),0),IF(ISNUMBER(Data!K51),100*ABS($G51-(Data!K51-$K51)/$M51),0)))</f>
        <v>50</v>
      </c>
      <c r="R51" s="300">
        <f ca="1">IF($H51=0,0,CHOOSE($H51,SUMPRODUCT($O52:$O$55*R52:R$55*($E52:$E$55=$D51)),IF(ISNUMBER(Data!L51),100*ABS($G51-(Data!L51-$K51)/$M51),0),IF(ISNUMBER(Data!L51),100*ABS($G51-(Data!L51-$K51)/$M51),0)))</f>
        <v>75</v>
      </c>
      <c r="S51" s="301">
        <f ca="1">IF($H51=0,0,CHOOSE($H51,SUMPRODUCT($O52:$O$55*S52:S$55*($E52:$E$55=$D51)),IF(ISNUMBER(Data!M51),100*ABS($G51-(Data!M51-$K51)/$M51),0),IF(ISNUMBER(Data!M51),100*ABS($G51-(Data!M51-$K51)/$M51),0)))</f>
        <v>37.5</v>
      </c>
      <c r="T51" s="300">
        <f ca="1">IF($H51=0,0,CHOOSE($H51,SUMPRODUCT($O52:$O$55*T52:T$55*($E52:$E$55=$D51)),IF(ISNUMBER(Data!N51),100*ABS($G51-(Data!N51-$K51)/$M51),0),IF(ISNUMBER(Data!N51),100*ABS($G51-(Data!N51-$K51)/$M51),0)))</f>
        <v>37.5</v>
      </c>
      <c r="U51" s="301">
        <f ca="1">IF($H51=0,0,CHOOSE($H51,SUMPRODUCT($O52:$O$55*U52:U$55*($E52:$E$55=$D51)),IF(ISNUMBER(Data!O51),100*ABS($G51-(Data!O51-$K51)/$M51),0),IF(ISNUMBER(Data!O51),100*ABS($G51-(Data!O51-$K51)/$M51),0)))</f>
        <v>50</v>
      </c>
      <c r="V51" s="300">
        <f ca="1">IF($H51=0,0,CHOOSE($H51,SUMPRODUCT($O52:$O$55*V52:V$55*($E52:$E$55=$D51)),IF(ISNUMBER(Data!P51),100*ABS($G51-(Data!P51-$K51)/$M51),0),IF(ISNUMBER(Data!P51),100*ABS($G51-(Data!P51-$K51)/$M51),0)))</f>
        <v>0</v>
      </c>
      <c r="W51" s="301">
        <f ca="1">IF($H51=0,0,CHOOSE($H51,SUMPRODUCT($O52:$O$55*W52:W$55*($E52:$E$55=$D51)),IF(ISNUMBER(Data!Q51),100*ABS($G51-(Data!Q51-$K51)/$M51),0),IF(ISNUMBER(Data!Q51),100*ABS($G51-(Data!Q51-$K51)/$M51),0)))</f>
        <v>25</v>
      </c>
      <c r="X51" s="300">
        <f ca="1">IF($H51=0,0,CHOOSE($H51,SUMPRODUCT($O52:$O$55*X52:X$55*($E52:$E$55=$D51)),IF(ISNUMBER(Data!R51),100*ABS($G51-(Data!R51-$K51)/$M51),0),IF(ISNUMBER(Data!R51),100*ABS($G51-(Data!R51-$K51)/$M51),0)))</f>
        <v>50</v>
      </c>
      <c r="Y51" s="301">
        <f ca="1">IF($H51=0,0,CHOOSE($H51,SUMPRODUCT($O52:$O$55*Y52:Y$55*($E52:$E$55=$D51)),IF(ISNUMBER(Data!S51),100*ABS($G51-(Data!S51-$K51)/$M51),0),IF(ISNUMBER(Data!S51),100*ABS($G51-(Data!S51-$K51)/$M51),0)))</f>
        <v>50</v>
      </c>
      <c r="Z51" s="300">
        <f ca="1">IF($H51=0,0,CHOOSE($H51,SUMPRODUCT($O52:$O$55*Z52:Z$55*($E52:$E$55=$D51)),IF(ISNUMBER(Data!T51),100*ABS($G51-(Data!T51-$K51)/$M51),0),IF(ISNUMBER(Data!T51),100*ABS($G51-(Data!T51-$K51)/$M51),0)))</f>
        <v>50</v>
      </c>
      <c r="AA51" s="301">
        <f ca="1">IF($H51=0,0,CHOOSE($H51,SUMPRODUCT($O52:$O$55*AA52:AA$55*($E52:$E$55=$D51)),IF(ISNUMBER(Data!U51),100*ABS($G51-(Data!U51-$K51)/$M51),0),IF(ISNUMBER(Data!U51),100*ABS($G51-(Data!U51-$K51)/$M51),0)))</f>
        <v>62.5</v>
      </c>
      <c r="AB51" s="300">
        <f ca="1">IF($H51=0,0,CHOOSE($H51,SUMPRODUCT($O52:$O$55*AB52:AB$55*($E52:$E$55=$D51)),IF(ISNUMBER(Data!V51),100*ABS($G51-(Data!V51-$K51)/$M51),0),IF(ISNUMBER(Data!V51),100*ABS($G51-(Data!V51-$K51)/$M51),0)))</f>
        <v>0</v>
      </c>
      <c r="AC51" s="301">
        <f>IF($H51=0,0,CHOOSE($H51,SUMPRODUCT($O52:$O$55*AC52:AC$55*($E52:$E$55=$D51)),IF(ISNUMBER(Data!W51),100*ABS($G51-(Data!W51-$K51)/$M51),0),IF(ISNUMBER(Data!W51),100*ABS($G51-(Data!W51-$K51)/$M51),0)))</f>
        <v>0</v>
      </c>
      <c r="AD51" s="300">
        <f>IF($H51=0,0,CHOOSE($H51,SUMPRODUCT($O52:$O$55*AD52:AD$55*($E52:$E$55=$D51)),IF(ISNUMBER(Data!X51),100*ABS($G51-(Data!X51-$K51)/$M51),0),IF(ISNUMBER(Data!X51),100*ABS($G51-(Data!X51-$K51)/$M51),0)))</f>
        <v>0</v>
      </c>
      <c r="AE51" s="301">
        <f>IF($H51=0,0,CHOOSE($H51,SUMPRODUCT($O52:$O$55*AE52:AE$55*($E52:$E$55=$D51)),IF(ISNUMBER(Data!Y51),100*ABS($G51-(Data!Y51-$K51)/$M51),0),IF(ISNUMBER(Data!Y51),100*ABS($G51-(Data!Y51-$K51)/$M51),0)))</f>
        <v>0</v>
      </c>
      <c r="AF51" s="300">
        <f>IF($H51=0,0,CHOOSE($H51,SUMPRODUCT($O52:$O$55*AF52:AF$55*($E52:$E$55=$D51)),IF(ISNUMBER(Data!Z51),100*ABS($G51-(Data!Z51-$K51)/$M51),0),IF(ISNUMBER(Data!Z51),100*ABS($G51-(Data!Z51-$K51)/$M51),0)))</f>
        <v>0</v>
      </c>
      <c r="AG51" s="301">
        <f>IF($H51=0,0,CHOOSE($H51,SUMPRODUCT($O52:$O$55*AG52:AG$55*($E52:$E$55=$D51)),IF(ISNUMBER(Data!AA51),100*ABS($G51-(Data!AA51-$K51)/$M51),0),IF(ISNUMBER(Data!AA51),100*ABS($G51-(Data!AA51-$K51)/$M51),0)))</f>
        <v>0</v>
      </c>
      <c r="AH51" s="300">
        <f>IF($H51=0,0,CHOOSE($H51,SUMPRODUCT($O52:$O$55*AH52:AH$55*($E52:$E$55=$D51)),IF(ISNUMBER(Data!AB51),100*ABS($G51-(Data!AB51-$K51)/$M51),0),IF(ISNUMBER(Data!AB51),100*ABS($G51-(Data!AB51-$K51)/$M51),0)))</f>
        <v>0</v>
      </c>
      <c r="AI51" s="301">
        <f>IF($H51=0,0,CHOOSE($H51,SUMPRODUCT($O52:$O$55*AI52:AI$55*($E52:$E$55=$D51)),IF(ISNUMBER(Data!AC51),100*ABS($G51-(Data!AC51-$K51)/$M51),0),IF(ISNUMBER(Data!AC51),100*ABS($G51-(Data!AC51-$K51)/$M51),0)))</f>
        <v>0</v>
      </c>
      <c r="AJ51" s="300">
        <f>IF($H51=0,0,CHOOSE($H51,SUMPRODUCT($O52:$O$55*AJ52:AJ$55*($E52:$E$55=$D51)),IF(ISNUMBER(Data!AD51),100*ABS($G51-(Data!AD51-$K51)/$M51),0),IF(ISNUMBER(Data!AD51),100*ABS($G51-(Data!AD51-$K51)/$M51),0)))</f>
        <v>0</v>
      </c>
      <c r="AK51" s="301">
        <f>IF($H51=0,0,CHOOSE($H51,SUMPRODUCT($O52:$O$55*AK52:AK$55*($E52:$E$55=$D51)),IF(ISNUMBER(Data!AE51),100*ABS($G51-(Data!AE51-$K51)/$M51),0),IF(ISNUMBER(Data!AE51),100*ABS($G51-(Data!AE51-$K51)/$M51),0)))</f>
        <v>0</v>
      </c>
    </row>
    <row r="52" spans="1:37" s="78" customFormat="1" ht="15">
      <c r="A52" s="580">
        <f t="shared" si="3"/>
        <v>52</v>
      </c>
      <c r="B52" s="297">
        <f>tblIndicators!A49</f>
        <v>48</v>
      </c>
      <c r="C52" s="297">
        <f>tblIndicators!B49</f>
        <v>0</v>
      </c>
      <c r="D52" s="297" t="str">
        <f>tblIndicators!D49</f>
        <v>MERC3.4.1</v>
      </c>
      <c r="E52" s="297" t="str">
        <f>tblIndicators!E49</f>
        <v>MERC3.4</v>
      </c>
      <c r="F52" s="297">
        <f>tblIndicators!F49</f>
        <v>3</v>
      </c>
      <c r="G52" s="297">
        <f>tblIndicators!Y49</f>
        <v>0</v>
      </c>
      <c r="H52" s="297">
        <f>tblIndicators!Z49</f>
        <v>3</v>
      </c>
      <c r="I52" s="298">
        <f>tblIndicators!AA49</f>
        <v>0</v>
      </c>
      <c r="J52" s="297">
        <f>tblIndicators!AB49</f>
        <v>2</v>
      </c>
      <c r="K52" s="297">
        <f t="shared" ca="1" si="1"/>
        <v>0</v>
      </c>
      <c r="L52" s="299">
        <f t="shared" ca="1" si="2"/>
        <v>2</v>
      </c>
      <c r="M52" s="297">
        <f t="shared" ca="1" si="4"/>
        <v>2</v>
      </c>
      <c r="N52" s="426" t="str">
        <f>REPT(" ",F52)&amp;tblIndicators!AE49</f>
        <v xml:space="preserve">   3.4.1) 34.¿Existe trabajo infantil en la cadena de manejo de residuos?</v>
      </c>
      <c r="O52" s="302">
        <f>tblIndicators!AD49</f>
        <v>0.25</v>
      </c>
      <c r="P52" s="300">
        <f ca="1">IF($H52=0,0,CHOOSE($H52,SUMPRODUCT($O53:$O$55*P53:P$55*($E53:$E$55=$D52)),IF(ISNUMBER(Data!J52),100*ABS($G52-(Data!J52-$K52)/$M52),0),IF(ISNUMBER(Data!J52),100*ABS($G52-(Data!J52-$K52)/$M52),0)))</f>
        <v>0</v>
      </c>
      <c r="Q52" s="301">
        <f ca="1">IF($H52=0,0,CHOOSE($H52,SUMPRODUCT($O53:$O$55*Q53:Q$55*($E53:$E$55=$D52)),IF(ISNUMBER(Data!K52),100*ABS($G52-(Data!K52-$K52)/$M52),0),IF(ISNUMBER(Data!K52),100*ABS($G52-(Data!K52-$K52)/$M52),0)))</f>
        <v>50</v>
      </c>
      <c r="R52" s="300">
        <f ca="1">IF($H52=0,0,CHOOSE($H52,SUMPRODUCT($O53:$O$55*R53:R$55*($E53:$E$55=$D52)),IF(ISNUMBER(Data!L52),100*ABS($G52-(Data!L52-$K52)/$M52),0),IF(ISNUMBER(Data!L52),100*ABS($G52-(Data!L52-$K52)/$M52),0)))</f>
        <v>50</v>
      </c>
      <c r="S52" s="301">
        <f ca="1">IF($H52=0,0,CHOOSE($H52,SUMPRODUCT($O53:$O$55*S53:S$55*($E53:$E$55=$D52)),IF(ISNUMBER(Data!M52),100*ABS($G52-(Data!M52-$K52)/$M52),0),IF(ISNUMBER(Data!M52),100*ABS($G52-(Data!M52-$K52)/$M52),0)))</f>
        <v>0</v>
      </c>
      <c r="T52" s="300">
        <f ca="1">IF($H52=0,0,CHOOSE($H52,SUMPRODUCT($O53:$O$55*T53:T$55*($E53:$E$55=$D52)),IF(ISNUMBER(Data!N52),100*ABS($G52-(Data!N52-$K52)/$M52),0),IF(ISNUMBER(Data!N52),100*ABS($G52-(Data!N52-$K52)/$M52),0)))</f>
        <v>50</v>
      </c>
      <c r="U52" s="301">
        <f ca="1">IF($H52=0,0,CHOOSE($H52,SUMPRODUCT($O53:$O$55*U53:U$55*($E53:$E$55=$D52)),IF(ISNUMBER(Data!O52),100*ABS($G52-(Data!O52-$K52)/$M52),0),IF(ISNUMBER(Data!O52),100*ABS($G52-(Data!O52-$K52)/$M52),0)))</f>
        <v>50</v>
      </c>
      <c r="V52" s="300">
        <f ca="1">IF($H52=0,0,CHOOSE($H52,SUMPRODUCT($O53:$O$55*V53:V$55*($E53:$E$55=$D52)),IF(ISNUMBER(Data!P52),100*ABS($G52-(Data!P52-$K52)/$M52),0),IF(ISNUMBER(Data!P52),100*ABS($G52-(Data!P52-$K52)/$M52),0)))</f>
        <v>0</v>
      </c>
      <c r="W52" s="301">
        <f ca="1">IF($H52=0,0,CHOOSE($H52,SUMPRODUCT($O53:$O$55*W53:W$55*($E53:$E$55=$D52)),IF(ISNUMBER(Data!Q52),100*ABS($G52-(Data!Q52-$K52)/$M52),0),IF(ISNUMBER(Data!Q52),100*ABS($G52-(Data!Q52-$K52)/$M52),0)))</f>
        <v>0</v>
      </c>
      <c r="X52" s="300">
        <f ca="1">IF($H52=0,0,CHOOSE($H52,SUMPRODUCT($O53:$O$55*X53:X$55*($E53:$E$55=$D52)),IF(ISNUMBER(Data!R52),100*ABS($G52-(Data!R52-$K52)/$M52),0),IF(ISNUMBER(Data!R52),100*ABS($G52-(Data!R52-$K52)/$M52),0)))</f>
        <v>100</v>
      </c>
      <c r="Y52" s="301">
        <f ca="1">IF($H52=0,0,CHOOSE($H52,SUMPRODUCT($O53:$O$55*Y53:Y$55*($E53:$E$55=$D52)),IF(ISNUMBER(Data!S52),100*ABS($G52-(Data!S52-$K52)/$M52),0),IF(ISNUMBER(Data!S52),100*ABS($G52-(Data!S52-$K52)/$M52),0)))</f>
        <v>50</v>
      </c>
      <c r="Z52" s="300">
        <f ca="1">IF($H52=0,0,CHOOSE($H52,SUMPRODUCT($O53:$O$55*Z53:Z$55*($E53:$E$55=$D52)),IF(ISNUMBER(Data!T52),100*ABS($G52-(Data!T52-$K52)/$M52),0),IF(ISNUMBER(Data!T52),100*ABS($G52-(Data!T52-$K52)/$M52),0)))</f>
        <v>0</v>
      </c>
      <c r="AA52" s="301">
        <f ca="1">IF($H52=0,0,CHOOSE($H52,SUMPRODUCT($O53:$O$55*AA53:AA$55*($E53:$E$55=$D52)),IF(ISNUMBER(Data!U52),100*ABS($G52-(Data!U52-$K52)/$M52),0),IF(ISNUMBER(Data!U52),100*ABS($G52-(Data!U52-$K52)/$M52),0)))</f>
        <v>100</v>
      </c>
      <c r="AB52" s="300">
        <f ca="1">IF($H52=0,0,CHOOSE($H52,SUMPRODUCT($O53:$O$55*AB53:AB$55*($E53:$E$55=$D52)),IF(ISNUMBER(Data!V52),100*ABS($G52-(Data!V52-$K52)/$M52),0),IF(ISNUMBER(Data!V52),100*ABS($G52-(Data!V52-$K52)/$M52),0)))</f>
        <v>0</v>
      </c>
      <c r="AC52" s="301">
        <f>IF($H52=0,0,CHOOSE($H52,SUMPRODUCT($O53:$O$55*AC53:AC$55*($E53:$E$55=$D52)),IF(ISNUMBER(Data!W52),100*ABS($G52-(Data!W52-$K52)/$M52),0),IF(ISNUMBER(Data!W52),100*ABS($G52-(Data!W52-$K52)/$M52),0)))</f>
        <v>0</v>
      </c>
      <c r="AD52" s="300">
        <f>IF($H52=0,0,CHOOSE($H52,SUMPRODUCT($O53:$O$55*AD53:AD$55*($E53:$E$55=$D52)),IF(ISNUMBER(Data!X52),100*ABS($G52-(Data!X52-$K52)/$M52),0),IF(ISNUMBER(Data!X52),100*ABS($G52-(Data!X52-$K52)/$M52),0)))</f>
        <v>0</v>
      </c>
      <c r="AE52" s="301">
        <f>IF($H52=0,0,CHOOSE($H52,SUMPRODUCT($O53:$O$55*AE53:AE$55*($E53:$E$55=$D52)),IF(ISNUMBER(Data!Y52),100*ABS($G52-(Data!Y52-$K52)/$M52),0),IF(ISNUMBER(Data!Y52),100*ABS($G52-(Data!Y52-$K52)/$M52),0)))</f>
        <v>0</v>
      </c>
      <c r="AF52" s="300">
        <f>IF($H52=0,0,CHOOSE($H52,SUMPRODUCT($O53:$O$55*AF53:AF$55*($E53:$E$55=$D52)),IF(ISNUMBER(Data!Z52),100*ABS($G52-(Data!Z52-$K52)/$M52),0),IF(ISNUMBER(Data!Z52),100*ABS($G52-(Data!Z52-$K52)/$M52),0)))</f>
        <v>0</v>
      </c>
      <c r="AG52" s="301">
        <f>IF($H52=0,0,CHOOSE($H52,SUMPRODUCT($O53:$O$55*AG53:AG$55*($E53:$E$55=$D52)),IF(ISNUMBER(Data!AA52),100*ABS($G52-(Data!AA52-$K52)/$M52),0),IF(ISNUMBER(Data!AA52),100*ABS($G52-(Data!AA52-$K52)/$M52),0)))</f>
        <v>0</v>
      </c>
      <c r="AH52" s="300">
        <f>IF($H52=0,0,CHOOSE($H52,SUMPRODUCT($O53:$O$55*AH53:AH$55*($E53:$E$55=$D52)),IF(ISNUMBER(Data!AB52),100*ABS($G52-(Data!AB52-$K52)/$M52),0),IF(ISNUMBER(Data!AB52),100*ABS($G52-(Data!AB52-$K52)/$M52),0)))</f>
        <v>0</v>
      </c>
      <c r="AI52" s="301">
        <f>IF($H52=0,0,CHOOSE($H52,SUMPRODUCT($O53:$O$55*AI53:AI$55*($E53:$E$55=$D52)),IF(ISNUMBER(Data!AC52),100*ABS($G52-(Data!AC52-$K52)/$M52),0),IF(ISNUMBER(Data!AC52),100*ABS($G52-(Data!AC52-$K52)/$M52),0)))</f>
        <v>0</v>
      </c>
      <c r="AJ52" s="300">
        <f>IF($H52=0,0,CHOOSE($H52,SUMPRODUCT($O53:$O$55*AJ53:AJ$55*($E53:$E$55=$D52)),IF(ISNUMBER(Data!AD52),100*ABS($G52-(Data!AD52-$K52)/$M52),0),IF(ISNUMBER(Data!AD52),100*ABS($G52-(Data!AD52-$K52)/$M52),0)))</f>
        <v>0</v>
      </c>
      <c r="AK52" s="301">
        <f>IF($H52=0,0,CHOOSE($H52,SUMPRODUCT($O53:$O$55*AK53:AK$55*($E53:$E$55=$D52)),IF(ISNUMBER(Data!AE52),100*ABS($G52-(Data!AE52-$K52)/$M52),0),IF(ISNUMBER(Data!AE52),100*ABS($G52-(Data!AE52-$K52)/$M52),0)))</f>
        <v>0</v>
      </c>
    </row>
    <row r="53" spans="1:37" s="78" customFormat="1" ht="30">
      <c r="A53" s="580">
        <f t="shared" si="3"/>
        <v>53</v>
      </c>
      <c r="B53" s="297">
        <f>tblIndicators!A50</f>
        <v>49</v>
      </c>
      <c r="C53" s="297">
        <f>tblIndicators!B50</f>
        <v>0</v>
      </c>
      <c r="D53" s="297" t="str">
        <f>tblIndicators!D50</f>
        <v>MERC3.4.2</v>
      </c>
      <c r="E53" s="297" t="str">
        <f>tblIndicators!E50</f>
        <v>MERC3.4</v>
      </c>
      <c r="F53" s="297">
        <f>tblIndicators!F50</f>
        <v>3</v>
      </c>
      <c r="G53" s="297">
        <f>tblIndicators!Y50</f>
        <v>0</v>
      </c>
      <c r="H53" s="297">
        <f>tblIndicators!Z50</f>
        <v>3</v>
      </c>
      <c r="I53" s="298">
        <f>tblIndicators!AA50</f>
        <v>0</v>
      </c>
      <c r="J53" s="297">
        <f>tblIndicators!AB50</f>
        <v>2</v>
      </c>
      <c r="K53" s="297">
        <f t="shared" ca="1" si="1"/>
        <v>0</v>
      </c>
      <c r="L53" s="299">
        <f t="shared" ca="1" si="2"/>
        <v>2</v>
      </c>
      <c r="M53" s="297">
        <f t="shared" ca="1" si="4"/>
        <v>2</v>
      </c>
      <c r="N53" s="426" t="str">
        <f>REPT(" ",F53)&amp;tblIndicators!AE50</f>
        <v xml:space="preserve">   3.4.2) 35.¿Cuál es el nivel de enfoque de género en las condiciones de trabajo?</v>
      </c>
      <c r="O53" s="302">
        <f>tblIndicators!AD50</f>
        <v>0.25</v>
      </c>
      <c r="P53" s="300">
        <f ca="1">IF($H53=0,0,CHOOSE($H53,SUMPRODUCT($O54:$O$55*P54:P$55*($E54:$E$55=$D53)),IF(ISNUMBER(Data!J53),100*ABS($G53-(Data!J53-$K53)/$M53),0),IF(ISNUMBER(Data!J53),100*ABS($G53-(Data!J53-$K53)/$M53),0)))</f>
        <v>0</v>
      </c>
      <c r="Q53" s="301">
        <f ca="1">IF($H53=0,0,CHOOSE($H53,SUMPRODUCT($O54:$O$55*Q54:Q$55*($E54:$E$55=$D53)),IF(ISNUMBER(Data!K53),100*ABS($G53-(Data!K53-$K53)/$M53),0),IF(ISNUMBER(Data!K53),100*ABS($G53-(Data!K53-$K53)/$M53),0)))</f>
        <v>0</v>
      </c>
      <c r="R53" s="300">
        <f ca="1">IF($H53=0,0,CHOOSE($H53,SUMPRODUCT($O54:$O$55*R54:R$55*($E54:$E$55=$D53)),IF(ISNUMBER(Data!L53),100*ABS($G53-(Data!L53-$K53)/$M53),0),IF(ISNUMBER(Data!L53),100*ABS($G53-(Data!L53-$K53)/$M53),0)))</f>
        <v>50</v>
      </c>
      <c r="S53" s="301">
        <f ca="1">IF($H53=0,0,CHOOSE($H53,SUMPRODUCT($O54:$O$55*S54:S$55*($E54:$E$55=$D53)),IF(ISNUMBER(Data!M53),100*ABS($G53-(Data!M53-$K53)/$M53),0),IF(ISNUMBER(Data!M53),100*ABS($G53-(Data!M53-$K53)/$M53),0)))</f>
        <v>0</v>
      </c>
      <c r="T53" s="300">
        <f ca="1">IF($H53=0,0,CHOOSE($H53,SUMPRODUCT($O54:$O$55*T54:T$55*($E54:$E$55=$D53)),IF(ISNUMBER(Data!N53),100*ABS($G53-(Data!N53-$K53)/$M53),0),IF(ISNUMBER(Data!N53),100*ABS($G53-(Data!N53-$K53)/$M53),0)))</f>
        <v>0</v>
      </c>
      <c r="U53" s="301">
        <f ca="1">IF($H53=0,0,CHOOSE($H53,SUMPRODUCT($O54:$O$55*U54:U$55*($E54:$E$55=$D53)),IF(ISNUMBER(Data!O53),100*ABS($G53-(Data!O53-$K53)/$M53),0),IF(ISNUMBER(Data!O53),100*ABS($G53-(Data!O53-$K53)/$M53),0)))</f>
        <v>0</v>
      </c>
      <c r="V53" s="300">
        <f ca="1">IF($H53=0,0,CHOOSE($H53,SUMPRODUCT($O54:$O$55*V54:V$55*($E54:$E$55=$D53)),IF(ISNUMBER(Data!P53),100*ABS($G53-(Data!P53-$K53)/$M53),0),IF(ISNUMBER(Data!P53),100*ABS($G53-(Data!P53-$K53)/$M53),0)))</f>
        <v>0</v>
      </c>
      <c r="W53" s="301">
        <f ca="1">IF($H53=0,0,CHOOSE($H53,SUMPRODUCT($O54:$O$55*W54:W$55*($E54:$E$55=$D53)),IF(ISNUMBER(Data!Q53),100*ABS($G53-(Data!Q53-$K53)/$M53),0),IF(ISNUMBER(Data!Q53),100*ABS($G53-(Data!Q53-$K53)/$M53),0)))</f>
        <v>0</v>
      </c>
      <c r="X53" s="300">
        <f ca="1">IF($H53=0,0,CHOOSE($H53,SUMPRODUCT($O54:$O$55*X54:X$55*($E54:$E$55=$D53)),IF(ISNUMBER(Data!R53),100*ABS($G53-(Data!R53-$K53)/$M53),0),IF(ISNUMBER(Data!R53),100*ABS($G53-(Data!R53-$K53)/$M53),0)))</f>
        <v>0</v>
      </c>
      <c r="Y53" s="301">
        <f ca="1">IF($H53=0,0,CHOOSE($H53,SUMPRODUCT($O54:$O$55*Y54:Y$55*($E54:$E$55=$D53)),IF(ISNUMBER(Data!S53),100*ABS($G53-(Data!S53-$K53)/$M53),0),IF(ISNUMBER(Data!S53),100*ABS($G53-(Data!S53-$K53)/$M53),0)))</f>
        <v>0</v>
      </c>
      <c r="Z53" s="300">
        <f ca="1">IF($H53=0,0,CHOOSE($H53,SUMPRODUCT($O54:$O$55*Z54:Z$55*($E54:$E$55=$D53)),IF(ISNUMBER(Data!T53),100*ABS($G53-(Data!T53-$K53)/$M53),0),IF(ISNUMBER(Data!T53),100*ABS($G53-(Data!T53-$K53)/$M53),0)))</f>
        <v>50</v>
      </c>
      <c r="AA53" s="301">
        <f ca="1">IF($H53=0,0,CHOOSE($H53,SUMPRODUCT($O54:$O$55*AA54:AA$55*($E54:$E$55=$D53)),IF(ISNUMBER(Data!U53),100*ABS($G53-(Data!U53-$K53)/$M53),0),IF(ISNUMBER(Data!U53),100*ABS($G53-(Data!U53-$K53)/$M53),0)))</f>
        <v>0</v>
      </c>
      <c r="AB53" s="300">
        <f ca="1">IF($H53=0,0,CHOOSE($H53,SUMPRODUCT($O54:$O$55*AB54:AB$55*($E54:$E$55=$D53)),IF(ISNUMBER(Data!V53),100*ABS($G53-(Data!V53-$K53)/$M53),0),IF(ISNUMBER(Data!V53),100*ABS($G53-(Data!V53-$K53)/$M53),0)))</f>
        <v>0</v>
      </c>
      <c r="AC53" s="301">
        <f>IF($H53=0,0,CHOOSE($H53,SUMPRODUCT($O54:$O$55*AC54:AC$55*($E54:$E$55=$D53)),IF(ISNUMBER(Data!W53),100*ABS($G53-(Data!W53-$K53)/$M53),0),IF(ISNUMBER(Data!W53),100*ABS($G53-(Data!W53-$K53)/$M53),0)))</f>
        <v>0</v>
      </c>
      <c r="AD53" s="300">
        <f>IF($H53=0,0,CHOOSE($H53,SUMPRODUCT($O54:$O$55*AD54:AD$55*($E54:$E$55=$D53)),IF(ISNUMBER(Data!X53),100*ABS($G53-(Data!X53-$K53)/$M53),0),IF(ISNUMBER(Data!X53),100*ABS($G53-(Data!X53-$K53)/$M53),0)))</f>
        <v>0</v>
      </c>
      <c r="AE53" s="301">
        <f>IF($H53=0,0,CHOOSE($H53,SUMPRODUCT($O54:$O$55*AE54:AE$55*($E54:$E$55=$D53)),IF(ISNUMBER(Data!Y53),100*ABS($G53-(Data!Y53-$K53)/$M53),0),IF(ISNUMBER(Data!Y53),100*ABS($G53-(Data!Y53-$K53)/$M53),0)))</f>
        <v>0</v>
      </c>
      <c r="AF53" s="300">
        <f>IF($H53=0,0,CHOOSE($H53,SUMPRODUCT($O54:$O$55*AF54:AF$55*($E54:$E$55=$D53)),IF(ISNUMBER(Data!Z53),100*ABS($G53-(Data!Z53-$K53)/$M53),0),IF(ISNUMBER(Data!Z53),100*ABS($G53-(Data!Z53-$K53)/$M53),0)))</f>
        <v>0</v>
      </c>
      <c r="AG53" s="301">
        <f>IF($H53=0,0,CHOOSE($H53,SUMPRODUCT($O54:$O$55*AG54:AG$55*($E54:$E$55=$D53)),IF(ISNUMBER(Data!AA53),100*ABS($G53-(Data!AA53-$K53)/$M53),0),IF(ISNUMBER(Data!AA53),100*ABS($G53-(Data!AA53-$K53)/$M53),0)))</f>
        <v>0</v>
      </c>
      <c r="AH53" s="300">
        <f>IF($H53=0,0,CHOOSE($H53,SUMPRODUCT($O54:$O$55*AH54:AH$55*($E54:$E$55=$D53)),IF(ISNUMBER(Data!AB53),100*ABS($G53-(Data!AB53-$K53)/$M53),0),IF(ISNUMBER(Data!AB53),100*ABS($G53-(Data!AB53-$K53)/$M53),0)))</f>
        <v>0</v>
      </c>
      <c r="AI53" s="301">
        <f>IF($H53=0,0,CHOOSE($H53,SUMPRODUCT($O54:$O$55*AI54:AI$55*($E54:$E$55=$D53)),IF(ISNUMBER(Data!AC53),100*ABS($G53-(Data!AC53-$K53)/$M53),0),IF(ISNUMBER(Data!AC53),100*ABS($G53-(Data!AC53-$K53)/$M53),0)))</f>
        <v>0</v>
      </c>
      <c r="AJ53" s="300">
        <f>IF($H53=0,0,CHOOSE($H53,SUMPRODUCT($O54:$O$55*AJ54:AJ$55*($E54:$E$55=$D53)),IF(ISNUMBER(Data!AD53),100*ABS($G53-(Data!AD53-$K53)/$M53),0),IF(ISNUMBER(Data!AD53),100*ABS($G53-(Data!AD53-$K53)/$M53),0)))</f>
        <v>0</v>
      </c>
      <c r="AK53" s="301">
        <f>IF($H53=0,0,CHOOSE($H53,SUMPRODUCT($O54:$O$55*AK54:AK$55*($E54:$E$55=$D53)),IF(ISNUMBER(Data!AE53),100*ABS($G53-(Data!AE53-$K53)/$M53),0),IF(ISNUMBER(Data!AE53),100*ABS($G53-(Data!AE53-$K53)/$M53),0)))</f>
        <v>0</v>
      </c>
    </row>
    <row r="54" spans="1:37" s="78" customFormat="1" ht="30">
      <c r="A54" s="580">
        <f t="shared" si="3"/>
        <v>54</v>
      </c>
      <c r="B54" s="297">
        <f>tblIndicators!A51</f>
        <v>50</v>
      </c>
      <c r="C54" s="297">
        <f>tblIndicators!B51</f>
        <v>0</v>
      </c>
      <c r="D54" s="297" t="str">
        <f>tblIndicators!D51</f>
        <v>MERC3.4.3</v>
      </c>
      <c r="E54" s="297" t="str">
        <f>tblIndicators!E51</f>
        <v>MERC3.4</v>
      </c>
      <c r="F54" s="297">
        <f>tblIndicators!F51</f>
        <v>3</v>
      </c>
      <c r="G54" s="297">
        <f>tblIndicators!Y51</f>
        <v>0</v>
      </c>
      <c r="H54" s="297">
        <f>tblIndicators!Z51</f>
        <v>3</v>
      </c>
      <c r="I54" s="298">
        <f>tblIndicators!AA51</f>
        <v>0</v>
      </c>
      <c r="J54" s="297">
        <f>tblIndicators!AB51</f>
        <v>1</v>
      </c>
      <c r="K54" s="297">
        <f t="shared" ca="1" si="1"/>
        <v>0</v>
      </c>
      <c r="L54" s="299">
        <f t="shared" ca="1" si="2"/>
        <v>1</v>
      </c>
      <c r="M54" s="297">
        <f t="shared" ca="1" si="4"/>
        <v>1</v>
      </c>
      <c r="N54" s="426" t="str">
        <f>REPT(" ",F54)&amp;tblIndicators!AE51</f>
        <v xml:space="preserve">   3.4.3) 36.¿Hay planes inclusivos de cierre de vertederos a cielo abierto?</v>
      </c>
      <c r="O54" s="302">
        <f>tblIndicators!AD51</f>
        <v>0.25</v>
      </c>
      <c r="P54" s="300">
        <f ca="1">IF($H54=0,0,CHOOSE($H54,SUMPRODUCT($O55:$O$55*P55:P$55*($E55:$E$55=$D54)),IF(ISNUMBER(Data!J54),100*ABS($G54-(Data!J54-$K54)/$M54),0),IF(ISNUMBER(Data!J54),100*ABS($G54-(Data!J54-$K54)/$M54),0)))</f>
        <v>0</v>
      </c>
      <c r="Q54" s="301">
        <f ca="1">IF($H54=0,0,CHOOSE($H54,SUMPRODUCT($O55:$O$55*Q55:Q$55*($E55:$E$55=$D54)),IF(ISNUMBER(Data!K54),100*ABS($G54-(Data!K54-$K54)/$M54),0),IF(ISNUMBER(Data!K54),100*ABS($G54-(Data!K54-$K54)/$M54),0)))</f>
        <v>100</v>
      </c>
      <c r="R54" s="300">
        <f ca="1">IF($H54=0,0,CHOOSE($H54,SUMPRODUCT($O55:$O$55*R55:R$55*($E55:$E$55=$D54)),IF(ISNUMBER(Data!L54),100*ABS($G54-(Data!L54-$K54)/$M54),0),IF(ISNUMBER(Data!L54),100*ABS($G54-(Data!L54-$K54)/$M54),0)))</f>
        <v>100</v>
      </c>
      <c r="S54" s="301">
        <f ca="1">IF($H54=0,0,CHOOSE($H54,SUMPRODUCT($O55:$O$55*S55:S$55*($E55:$E$55=$D54)),IF(ISNUMBER(Data!M54),100*ABS($G54-(Data!M54-$K54)/$M54),0),IF(ISNUMBER(Data!M54),100*ABS($G54-(Data!M54-$K54)/$M54),0)))</f>
        <v>100</v>
      </c>
      <c r="T54" s="300">
        <f ca="1">IF($H54=0,0,CHOOSE($H54,SUMPRODUCT($O55:$O$55*T55:T$55*($E55:$E$55=$D54)),IF(ISNUMBER(Data!N54),100*ABS($G54-(Data!N54-$K54)/$M54),0),IF(ISNUMBER(Data!N54),100*ABS($G54-(Data!N54-$K54)/$M54),0)))</f>
        <v>100</v>
      </c>
      <c r="U54" s="301">
        <f ca="1">IF($H54=0,0,CHOOSE($H54,SUMPRODUCT($O55:$O$55*U55:U$55*($E55:$E$55=$D54)),IF(ISNUMBER(Data!O54),100*ABS($G54-(Data!O54-$K54)/$M54),0),IF(ISNUMBER(Data!O54),100*ABS($G54-(Data!O54-$K54)/$M54),0)))</f>
        <v>100</v>
      </c>
      <c r="V54" s="300">
        <f ca="1">IF($H54=0,0,CHOOSE($H54,SUMPRODUCT($O55:$O$55*V55:V$55*($E55:$E$55=$D54)),IF(ISNUMBER(Data!P54),100*ABS($G54-(Data!P54-$K54)/$M54),0),IF(ISNUMBER(Data!P54),100*ABS($G54-(Data!P54-$K54)/$M54),0)))</f>
        <v>0</v>
      </c>
      <c r="W54" s="301">
        <f ca="1">IF($H54=0,0,CHOOSE($H54,SUMPRODUCT($O55:$O$55*W55:W$55*($E55:$E$55=$D54)),IF(ISNUMBER(Data!Q54),100*ABS($G54-(Data!Q54-$K54)/$M54),0),IF(ISNUMBER(Data!Q54),100*ABS($G54-(Data!Q54-$K54)/$M54),0)))</f>
        <v>100</v>
      </c>
      <c r="X54" s="300">
        <f ca="1">IF($H54=0,0,CHOOSE($H54,SUMPRODUCT($O55:$O$55*X55:X$55*($E55:$E$55=$D54)),IF(ISNUMBER(Data!R54),100*ABS($G54-(Data!R54-$K54)/$M54),0),IF(ISNUMBER(Data!R54),100*ABS($G54-(Data!R54-$K54)/$M54),0)))</f>
        <v>100</v>
      </c>
      <c r="Y54" s="301">
        <f ca="1">IF($H54=0,0,CHOOSE($H54,SUMPRODUCT($O55:$O$55*Y55:Y$55*($E55:$E$55=$D54)),IF(ISNUMBER(Data!S54),100*ABS($G54-(Data!S54-$K54)/$M54),0),IF(ISNUMBER(Data!S54),100*ABS($G54-(Data!S54-$K54)/$M54),0)))</f>
        <v>100</v>
      </c>
      <c r="Z54" s="300">
        <f ca="1">IF($H54=0,0,CHOOSE($H54,SUMPRODUCT($O55:$O$55*Z55:Z$55*($E55:$E$55=$D54)),IF(ISNUMBER(Data!T54),100*ABS($G54-(Data!T54-$K54)/$M54),0),IF(ISNUMBER(Data!T54),100*ABS($G54-(Data!T54-$K54)/$M54),0)))</f>
        <v>100</v>
      </c>
      <c r="AA54" s="301">
        <f ca="1">IF($H54=0,0,CHOOSE($H54,SUMPRODUCT($O55:$O$55*AA55:AA$55*($E55:$E$55=$D54)),IF(ISNUMBER(Data!U54),100*ABS($G54-(Data!U54-$K54)/$M54),0),IF(ISNUMBER(Data!U54),100*ABS($G54-(Data!U54-$K54)/$M54),0)))</f>
        <v>100</v>
      </c>
      <c r="AB54" s="300">
        <f ca="1">IF($H54=0,0,CHOOSE($H54,SUMPRODUCT($O55:$O$55*AB55:AB$55*($E55:$E$55=$D54)),IF(ISNUMBER(Data!V54),100*ABS($G54-(Data!V54-$K54)/$M54),0),IF(ISNUMBER(Data!V54),100*ABS($G54-(Data!V54-$K54)/$M54),0)))</f>
        <v>0</v>
      </c>
      <c r="AC54" s="301">
        <f>IF($H54=0,0,CHOOSE($H54,SUMPRODUCT($O55:$O$55*AC55:AC$55*($E55:$E$55=$D54)),IF(ISNUMBER(Data!W54),100*ABS($G54-(Data!W54-$K54)/$M54),0),IF(ISNUMBER(Data!W54),100*ABS($G54-(Data!W54-$K54)/$M54),0)))</f>
        <v>0</v>
      </c>
      <c r="AD54" s="300">
        <f>IF($H54=0,0,CHOOSE($H54,SUMPRODUCT($O55:$O$55*AD55:AD$55*($E55:$E$55=$D54)),IF(ISNUMBER(Data!X54),100*ABS($G54-(Data!X54-$K54)/$M54),0),IF(ISNUMBER(Data!X54),100*ABS($G54-(Data!X54-$K54)/$M54),0)))</f>
        <v>0</v>
      </c>
      <c r="AE54" s="301">
        <f>IF($H54=0,0,CHOOSE($H54,SUMPRODUCT($O55:$O$55*AE55:AE$55*($E55:$E$55=$D54)),IF(ISNUMBER(Data!Y54),100*ABS($G54-(Data!Y54-$K54)/$M54),0),IF(ISNUMBER(Data!Y54),100*ABS($G54-(Data!Y54-$K54)/$M54),0)))</f>
        <v>0</v>
      </c>
      <c r="AF54" s="300">
        <f>IF($H54=0,0,CHOOSE($H54,SUMPRODUCT($O55:$O$55*AF55:AF$55*($E55:$E$55=$D54)),IF(ISNUMBER(Data!Z54),100*ABS($G54-(Data!Z54-$K54)/$M54),0),IF(ISNUMBER(Data!Z54),100*ABS($G54-(Data!Z54-$K54)/$M54),0)))</f>
        <v>0</v>
      </c>
      <c r="AG54" s="301">
        <f>IF($H54=0,0,CHOOSE($H54,SUMPRODUCT($O55:$O$55*AG55:AG$55*($E55:$E$55=$D54)),IF(ISNUMBER(Data!AA54),100*ABS($G54-(Data!AA54-$K54)/$M54),0),IF(ISNUMBER(Data!AA54),100*ABS($G54-(Data!AA54-$K54)/$M54),0)))</f>
        <v>0</v>
      </c>
      <c r="AH54" s="300">
        <f>IF($H54=0,0,CHOOSE($H54,SUMPRODUCT($O55:$O$55*AH55:AH$55*($E55:$E$55=$D54)),IF(ISNUMBER(Data!AB54),100*ABS($G54-(Data!AB54-$K54)/$M54),0),IF(ISNUMBER(Data!AB54),100*ABS($G54-(Data!AB54-$K54)/$M54),0)))</f>
        <v>0</v>
      </c>
      <c r="AI54" s="301">
        <f>IF($H54=0,0,CHOOSE($H54,SUMPRODUCT($O55:$O$55*AI55:AI$55*($E55:$E$55=$D54)),IF(ISNUMBER(Data!AC54),100*ABS($G54-(Data!AC54-$K54)/$M54),0),IF(ISNUMBER(Data!AC54),100*ABS($G54-(Data!AC54-$K54)/$M54),0)))</f>
        <v>0</v>
      </c>
      <c r="AJ54" s="300">
        <f>IF($H54=0,0,CHOOSE($H54,SUMPRODUCT($O55:$O$55*AJ55:AJ$55*($E55:$E$55=$D54)),IF(ISNUMBER(Data!AD54),100*ABS($G54-(Data!AD54-$K54)/$M54),0),IF(ISNUMBER(Data!AD54),100*ABS($G54-(Data!AD54-$K54)/$M54),0)))</f>
        <v>0</v>
      </c>
      <c r="AK54" s="301">
        <f>IF($H54=0,0,CHOOSE($H54,SUMPRODUCT($O55:$O$55*AK55:AK$55*($E55:$E$55=$D54)),IF(ISNUMBER(Data!AE54),100*ABS($G54-(Data!AE54-$K54)/$M54),0),IF(ISNUMBER(Data!AE54),100*ABS($G54-(Data!AE54-$K54)/$M54),0)))</f>
        <v>0</v>
      </c>
    </row>
    <row r="55" spans="1:37" s="78" customFormat="1" ht="30">
      <c r="A55" s="580">
        <f t="shared" si="3"/>
        <v>55</v>
      </c>
      <c r="B55" s="297">
        <f>tblIndicators!A52</f>
        <v>51</v>
      </c>
      <c r="C55" s="297">
        <f>tblIndicators!B52</f>
        <v>0</v>
      </c>
      <c r="D55" s="297" t="str">
        <f>tblIndicators!D52</f>
        <v>MERC3.4.4</v>
      </c>
      <c r="E55" s="297" t="str">
        <f>tblIndicators!E52</f>
        <v>MERC3.4</v>
      </c>
      <c r="F55" s="297">
        <f>tblIndicators!F52</f>
        <v>3</v>
      </c>
      <c r="G55" s="297">
        <f>tblIndicators!Y52</f>
        <v>0</v>
      </c>
      <c r="H55" s="297">
        <f>tblIndicators!Z52</f>
        <v>3</v>
      </c>
      <c r="I55" s="298">
        <f>tblIndicators!AA52</f>
        <v>0</v>
      </c>
      <c r="J55" s="297">
        <f>tblIndicators!AB52</f>
        <v>2</v>
      </c>
      <c r="K55" s="297">
        <f t="shared" ca="1" si="1"/>
        <v>0</v>
      </c>
      <c r="L55" s="299">
        <f t="shared" ca="1" si="2"/>
        <v>2</v>
      </c>
      <c r="M55" s="297">
        <f t="shared" ca="1" si="4"/>
        <v>2</v>
      </c>
      <c r="N55" s="426" t="str">
        <f>REPT(" ",F55)&amp;tblIndicators!AE52</f>
        <v xml:space="preserve">   3.4.4) 37.¿Los recicladores tienen acceso a herramientas de trabajo adecuadas?</v>
      </c>
      <c r="O55" s="302">
        <f>tblIndicators!AD52</f>
        <v>0.25</v>
      </c>
      <c r="P55" s="300">
        <f ca="1">IF($H55=0,0,CHOOSE($H55,SUMPRODUCT(#REF!*#REF!*(#REF!=$D55)),IF(ISNUMBER(Data!J55),100*ABS($G55-(Data!J55-$K55)/$M55),0),IF(ISNUMBER(Data!J55),100*ABS($G55-(Data!J55-$K55)/$M55),0)))</f>
        <v>0</v>
      </c>
      <c r="Q55" s="301">
        <f ca="1">IF($H55=0,0,CHOOSE($H55,SUMPRODUCT(#REF!*#REF!*(#REF!=$D55)),IF(ISNUMBER(Data!K55),100*ABS($G55-(Data!K55-$K55)/$M55),0),IF(ISNUMBER(Data!K55),100*ABS($G55-(Data!K55-$K55)/$M55),0)))</f>
        <v>50</v>
      </c>
      <c r="R55" s="300">
        <f ca="1">IF($H55=0,0,CHOOSE($H55,SUMPRODUCT(#REF!*#REF!*(#REF!=$D55)),IF(ISNUMBER(Data!L55),100*ABS($G55-(Data!L55-$K55)/$M55),0),IF(ISNUMBER(Data!L55),100*ABS($G55-(Data!L55-$K55)/$M55),0)))</f>
        <v>100</v>
      </c>
      <c r="S55" s="301">
        <f ca="1">IF($H55=0,0,CHOOSE($H55,SUMPRODUCT(#REF!*#REF!*(#REF!=$D55)),IF(ISNUMBER(Data!M55),100*ABS($G55-(Data!M55-$K55)/$M55),0),IF(ISNUMBER(Data!M55),100*ABS($G55-(Data!M55-$K55)/$M55),0)))</f>
        <v>50</v>
      </c>
      <c r="T55" s="300">
        <f ca="1">IF($H55=0,0,CHOOSE($H55,SUMPRODUCT(#REF!*#REF!*(#REF!=$D55)),IF(ISNUMBER(Data!N55),100*ABS($G55-(Data!N55-$K55)/$M55),0),IF(ISNUMBER(Data!N55),100*ABS($G55-(Data!N55-$K55)/$M55),0)))</f>
        <v>0</v>
      </c>
      <c r="U55" s="301">
        <f ca="1">IF($H55=0,0,CHOOSE($H55,SUMPRODUCT(#REF!*#REF!*(#REF!=$D55)),IF(ISNUMBER(Data!O55),100*ABS($G55-(Data!O55-$K55)/$M55),0),IF(ISNUMBER(Data!O55),100*ABS($G55-(Data!O55-$K55)/$M55),0)))</f>
        <v>50</v>
      </c>
      <c r="V55" s="300">
        <f ca="1">IF($H55=0,0,CHOOSE($H55,SUMPRODUCT(#REF!*#REF!*(#REF!=$D55)),IF(ISNUMBER(Data!P55),100*ABS($G55-(Data!P55-$K55)/$M55),0),IF(ISNUMBER(Data!P55),100*ABS($G55-(Data!P55-$K55)/$M55),0)))</f>
        <v>0</v>
      </c>
      <c r="W55" s="301">
        <f ca="1">IF($H55=0,0,CHOOSE($H55,SUMPRODUCT(#REF!*#REF!*(#REF!=$D55)),IF(ISNUMBER(Data!Q55),100*ABS($G55-(Data!Q55-$K55)/$M55),0),IF(ISNUMBER(Data!Q55),100*ABS($G55-(Data!Q55-$K55)/$M55),0)))</f>
        <v>0</v>
      </c>
      <c r="X55" s="300">
        <f ca="1">IF($H55=0,0,CHOOSE($H55,SUMPRODUCT(#REF!*#REF!*(#REF!=$D55)),IF(ISNUMBER(Data!R55),100*ABS($G55-(Data!R55-$K55)/$M55),0),IF(ISNUMBER(Data!R55),100*ABS($G55-(Data!R55-$K55)/$M55),0)))</f>
        <v>0</v>
      </c>
      <c r="Y55" s="301">
        <f ca="1">IF($H55=0,0,CHOOSE($H55,SUMPRODUCT(#REF!*#REF!*(#REF!=$D55)),IF(ISNUMBER(Data!S55),100*ABS($G55-(Data!S55-$K55)/$M55),0),IF(ISNUMBER(Data!S55),100*ABS($G55-(Data!S55-$K55)/$M55),0)))</f>
        <v>50</v>
      </c>
      <c r="Z55" s="300">
        <f ca="1">IF($H55=0,0,CHOOSE($H55,SUMPRODUCT(#REF!*#REF!*(#REF!=$D55)),IF(ISNUMBER(Data!T55),100*ABS($G55-(Data!T55-$K55)/$M55),0),IF(ISNUMBER(Data!T55),100*ABS($G55-(Data!T55-$K55)/$M55),0)))</f>
        <v>50</v>
      </c>
      <c r="AA55" s="301">
        <f ca="1">IF($H55=0,0,CHOOSE($H55,SUMPRODUCT(#REF!*#REF!*(#REF!=$D55)),IF(ISNUMBER(Data!U55),100*ABS($G55-(Data!U55-$K55)/$M55),0),IF(ISNUMBER(Data!U55),100*ABS($G55-(Data!U55-$K55)/$M55),0)))</f>
        <v>50</v>
      </c>
      <c r="AB55" s="300">
        <f ca="1">IF($H55=0,0,CHOOSE($H55,SUMPRODUCT($O$55:$O56*AB$55:AB56*($E$55:$E56=$D55)),IF(ISNUMBER(Data!V55),100*ABS($G55-(Data!V55-$K55)/$M55),0),IF(ISNUMBER(Data!V55),100*ABS($G55-(Data!V55-$K55)/$M55),0)))</f>
        <v>0</v>
      </c>
      <c r="AC55" s="301">
        <f>IF($H55=0,0,CHOOSE($H55,SUMPRODUCT($O$55:$O56*AC$55:AC56*($E$55:$E56=$D55)),IF(ISNUMBER(Data!W55),100*ABS($G55-(Data!W55-$K55)/$M55),0),IF(ISNUMBER(Data!W55),100*ABS($G55-(Data!W55-$K55)/$M55),0)))</f>
        <v>0</v>
      </c>
      <c r="AD55" s="300">
        <f>IF($H55=0,0,CHOOSE($H55,SUMPRODUCT($O$55:$O56*AD$55:AD56*($E$55:$E56=$D55)),IF(ISNUMBER(Data!X55),100*ABS($G55-(Data!X55-$K55)/$M55),0),IF(ISNUMBER(Data!X55),100*ABS($G55-(Data!X55-$K55)/$M55),0)))</f>
        <v>0</v>
      </c>
      <c r="AE55" s="301">
        <f>IF($H55=0,0,CHOOSE($H55,SUMPRODUCT($O$55:$O56*AE$55:AE56*($E$55:$E56=$D55)),IF(ISNUMBER(Data!Y55),100*ABS($G55-(Data!Y55-$K55)/$M55),0),IF(ISNUMBER(Data!Y55),100*ABS($G55-(Data!Y55-$K55)/$M55),0)))</f>
        <v>0</v>
      </c>
      <c r="AF55" s="300">
        <f>IF($H55=0,0,CHOOSE($H55,SUMPRODUCT($O$55:$O56*AF$55:AF56*($E$55:$E56=$D55)),IF(ISNUMBER(Data!Z55),100*ABS($G55-(Data!Z55-$K55)/$M55),0),IF(ISNUMBER(Data!Z55),100*ABS($G55-(Data!Z55-$K55)/$M55),0)))</f>
        <v>0</v>
      </c>
      <c r="AG55" s="301">
        <f>IF($H55=0,0,CHOOSE($H55,SUMPRODUCT($O$55:$O56*AG$55:AG56*($E$55:$E56=$D55)),IF(ISNUMBER(Data!AA55),100*ABS($G55-(Data!AA55-$K55)/$M55),0),IF(ISNUMBER(Data!AA55),100*ABS($G55-(Data!AA55-$K55)/$M55),0)))</f>
        <v>0</v>
      </c>
      <c r="AH55" s="300">
        <f>IF($H55=0,0,CHOOSE($H55,SUMPRODUCT($O$55:$O56*AH$55:AH56*($E$55:$E56=$D55)),IF(ISNUMBER(Data!AB55),100*ABS($G55-(Data!AB55-$K55)/$M55),0),IF(ISNUMBER(Data!AB55),100*ABS($G55-(Data!AB55-$K55)/$M55),0)))</f>
        <v>0</v>
      </c>
      <c r="AI55" s="301">
        <f>IF($H55=0,0,CHOOSE($H55,SUMPRODUCT($O$55:$O56*AI$55:AI56*($E$55:$E56=$D55)),IF(ISNUMBER(Data!AC55),100*ABS($G55-(Data!AC55-$K55)/$M55),0),IF(ISNUMBER(Data!AC55),100*ABS($G55-(Data!AC55-$K55)/$M55),0)))</f>
        <v>0</v>
      </c>
      <c r="AJ55" s="300">
        <f>IF($H55=0,0,CHOOSE($H55,SUMPRODUCT($O$55:$O56*AJ$55:AJ56*($E$55:$E56=$D55)),IF(ISNUMBER(Data!AD55),100*ABS($G55-(Data!AD55-$K55)/$M55),0),IF(ISNUMBER(Data!AD55),100*ABS($G55-(Data!AD55-$K55)/$M55),0)))</f>
        <v>0</v>
      </c>
      <c r="AK55" s="301">
        <f>IF($H55=0,0,CHOOSE($H55,SUMPRODUCT($O$55:$O56*AK$55:AK56*($E$55:$E56=$D55)),IF(ISNUMBER(Data!AE55),100*ABS($G55-(Data!AE55-$K55)/$M55),0),IF(ISNUMBER(Data!AE55),100*ABS($G55-(Data!AE55-$K55)/$M55),0)))</f>
        <v>0</v>
      </c>
    </row>
    <row r="56" spans="1:37" s="78" customFormat="1" ht="15">
      <c r="A56" s="93"/>
      <c r="N56" s="257"/>
    </row>
    <row r="57" spans="1:37" s="78" customFormat="1" ht="15">
      <c r="N57" s="427"/>
    </row>
    <row r="58" spans="1:37" s="78" customFormat="1" ht="15">
      <c r="N58" s="427"/>
    </row>
    <row r="59" spans="1:37" s="78" customFormat="1" ht="15">
      <c r="N59" s="427"/>
    </row>
    <row r="60" spans="1:37" s="78" customFormat="1" ht="15">
      <c r="N60" s="427"/>
    </row>
    <row r="61" spans="1:37" s="78" customFormat="1" ht="15">
      <c r="N61" s="427"/>
    </row>
    <row r="62" spans="1:37" s="78" customFormat="1" ht="15">
      <c r="N62" s="427"/>
    </row>
    <row r="63" spans="1:37" s="78" customFormat="1" ht="15">
      <c r="N63" s="427"/>
    </row>
    <row r="64" spans="1:37" s="78" customFormat="1" ht="15">
      <c r="N64" s="427"/>
    </row>
    <row r="65" spans="14:14" s="78" customFormat="1" ht="15">
      <c r="N65" s="427"/>
    </row>
    <row r="66" spans="14:14" s="78" customFormat="1" ht="15">
      <c r="N66" s="427"/>
    </row>
    <row r="67" spans="14:14" s="78" customFormat="1" ht="15">
      <c r="N67" s="427"/>
    </row>
    <row r="68" spans="14:14" s="78" customFormat="1" ht="15">
      <c r="N68" s="427"/>
    </row>
    <row r="69" spans="14:14" s="78" customFormat="1" ht="15">
      <c r="N69" s="427"/>
    </row>
    <row r="70" spans="14:14" s="78" customFormat="1" ht="15">
      <c r="N70" s="427"/>
    </row>
    <row r="71" spans="14:14" s="78" customFormat="1" ht="15">
      <c r="N71" s="427"/>
    </row>
    <row r="72" spans="14:14" s="78" customFormat="1" ht="15">
      <c r="N72" s="427"/>
    </row>
    <row r="73" spans="14:14" s="78" customFormat="1" ht="15">
      <c r="N73" s="427"/>
    </row>
    <row r="74" spans="14:14" s="78" customFormat="1" ht="15">
      <c r="N74" s="427"/>
    </row>
  </sheetData>
  <phoneticPr fontId="4" type="noConversion"/>
  <conditionalFormatting sqref="O5 O7:O55 P5:AA55 A5:N55 AB5:AK5">
    <cfRule type="expression" dxfId="21" priority="3">
      <formula>$F5=1</formula>
    </cfRule>
    <cfRule type="expression" dxfId="20" priority="4">
      <formula>$F5=0</formula>
    </cfRule>
  </conditionalFormatting>
  <conditionalFormatting sqref="AB5:AK55">
    <cfRule type="expression" dxfId="19" priority="1">
      <formula>$F5=1</formula>
    </cfRule>
    <cfRule type="expression" dxfId="18" priority="2">
      <formula>$F5=0</formula>
    </cfRule>
  </conditionalFormatting>
  <pageMargins left="0.55118110236220474" right="0.55118110236220474" top="0.59055118110236227" bottom="0.78740157480314965" header="0.51181102362204722" footer="0.51181102362204722"/>
  <pageSetup paperSize="9" scale="49" orientation="landscape" horizontalDpi="1200" verticalDpi="1200" r:id="rId1"/>
  <headerFooter alignWithMargins="0">
    <oddHeader>&amp;RResultados del Modelo de Reciclaje Inclusivo</oddHeader>
  </headerFooter>
  <drawing r:id="rId2"/>
  <legacyDrawing r:id="rId3"/>
</worksheet>
</file>

<file path=xl/worksheets/sheet32.xml><?xml version="1.0" encoding="utf-8"?>
<worksheet xmlns="http://schemas.openxmlformats.org/spreadsheetml/2006/main" xmlns:r="http://schemas.openxmlformats.org/officeDocument/2006/relationships">
  <sheetPr codeName="Sheet33">
    <tabColor rgb="FFFFC000"/>
    <pageSetUpPr fitToPage="1"/>
  </sheetPr>
  <dimension ref="A1:EJ97"/>
  <sheetViews>
    <sheetView showRowColHeaders="0" topLeftCell="AP47" zoomScale="80" zoomScaleNormal="80" workbookViewId="0">
      <selection activeCell="B6" sqref="B6"/>
    </sheetView>
  </sheetViews>
  <sheetFormatPr defaultColWidth="9.140625" defaultRowHeight="15"/>
  <cols>
    <col min="1" max="1" width="9.28515625" style="6" bestFit="1" customWidth="1"/>
    <col min="2" max="2" width="9.140625" style="6"/>
    <col min="3" max="13" width="9.28515625" style="6" bestFit="1" customWidth="1"/>
    <col min="14" max="14" width="0" style="6" hidden="1" customWidth="1"/>
    <col min="15" max="16" width="9.140625" style="6" hidden="1" customWidth="1"/>
    <col min="17" max="18" width="6.5703125" style="6" bestFit="1" customWidth="1"/>
    <col min="19" max="19" width="4" style="6" customWidth="1"/>
    <col min="20" max="20" width="6.5703125" style="6" bestFit="1" customWidth="1"/>
    <col min="21" max="22" width="4" style="6" customWidth="1"/>
    <col min="23" max="23" width="8.28515625" style="6" customWidth="1"/>
    <col min="24" max="24" width="27.7109375" style="6" customWidth="1"/>
    <col min="25" max="25" width="10.5703125" style="6" bestFit="1" customWidth="1"/>
    <col min="26" max="26" width="5.5703125" style="6" bestFit="1" customWidth="1"/>
    <col min="27" max="27" width="8" style="6" bestFit="1" customWidth="1"/>
    <col min="28" max="28" width="5.5703125" style="6" bestFit="1" customWidth="1"/>
    <col min="29" max="30" width="5.42578125" style="6" customWidth="1"/>
    <col min="31" max="31" width="8" style="6" bestFit="1" customWidth="1"/>
    <col min="32" max="32" width="5.42578125" style="6" customWidth="1"/>
    <col min="33" max="33" width="7.42578125" style="6" bestFit="1" customWidth="1"/>
    <col min="34" max="35" width="5.140625" style="6" customWidth="1"/>
    <col min="36" max="36" width="11.140625" style="6" customWidth="1"/>
    <col min="37" max="39" width="4" style="6" customWidth="1"/>
    <col min="40" max="40" width="9.140625" style="6"/>
    <col min="41" max="56" width="12.5703125" style="28" customWidth="1"/>
    <col min="57" max="57" width="8.7109375" style="28" bestFit="1" customWidth="1"/>
    <col min="58" max="58" width="8.42578125" style="28" hidden="1" customWidth="1"/>
    <col min="59" max="59" width="8.140625" style="28" hidden="1" customWidth="1"/>
    <col min="60" max="60" width="24.5703125" style="28" bestFit="1" customWidth="1"/>
    <col min="61" max="89" width="12.5703125" style="28" customWidth="1"/>
    <col min="90" max="16384" width="9.140625" style="6"/>
  </cols>
  <sheetData>
    <row r="1" spans="1:41">
      <c r="A1" s="6" t="s">
        <v>85</v>
      </c>
      <c r="D1" s="6" t="s">
        <v>42</v>
      </c>
      <c r="E1" s="6" t="s">
        <v>48</v>
      </c>
    </row>
    <row r="2" spans="1:41">
      <c r="A2" s="6" t="str">
        <f>uxb_works!A24</f>
        <v>CITY1_ID</v>
      </c>
      <c r="B2" s="6">
        <f>uxb_works!B24</f>
        <v>1</v>
      </c>
      <c r="C2" s="6" t="str">
        <f ca="1">CONCATENATE("Description: ",uxb_works!C24)</f>
        <v>Description: Asunción</v>
      </c>
      <c r="D2" s="6">
        <f ca="1">E8</f>
        <v>29.531599128521769</v>
      </c>
      <c r="E2" s="6" t="str">
        <f ca="1">INDEX(aRank,1,B2)</f>
        <v>10</v>
      </c>
      <c r="F2" s="6" t="str">
        <f ca="1">IF(E2&lt;E3,"*","")</f>
        <v>*</v>
      </c>
      <c r="H2" s="6" t="str">
        <f ca="1">uxb_works!C24</f>
        <v>Asunción</v>
      </c>
    </row>
    <row r="3" spans="1:41">
      <c r="A3" s="6" t="str">
        <f>uxb_works!A25</f>
        <v>CITY2_ID</v>
      </c>
      <c r="B3" s="6">
        <f>uxb_works!B25</f>
        <v>12</v>
      </c>
      <c r="C3" s="6" t="str">
        <f ca="1">CONCATENATE("Description: ",uxb_works!C25)</f>
        <v>Description: Santiago de Chile</v>
      </c>
      <c r="D3" s="6">
        <f ca="1">G8</f>
        <v>42.9813511372177</v>
      </c>
      <c r="E3" s="6" t="str">
        <f ca="1">INDEX(aRank,1,B3)</f>
        <v>7</v>
      </c>
      <c r="F3" s="6" t="str">
        <f ca="1">IF(E3&lt;E2,"*","")</f>
        <v/>
      </c>
      <c r="H3" s="6" t="str">
        <f ca="1">uxb_works!C25</f>
        <v>Santiago de Chile</v>
      </c>
    </row>
    <row r="4" spans="1:41">
      <c r="A4" s="6" t="str">
        <f>uxb_works!A26</f>
        <v>CITY3_ID</v>
      </c>
      <c r="B4" s="6">
        <f>uxb_works!B26-1</f>
        <v>0</v>
      </c>
      <c r="C4" s="6" t="str">
        <f ca="1">CONCATENATE("Description: ",uxb_works!C26)</f>
        <v>Description: &lt;ninguno&gt;</v>
      </c>
      <c r="D4" s="6" t="e">
        <f>I8</f>
        <v>#VALUE!</v>
      </c>
      <c r="E4" s="6" t="str">
        <f ca="1">INDEX(aRank,1,B4)</f>
        <v>1</v>
      </c>
      <c r="F4" s="6" t="str">
        <f ca="1">IF(E4&lt;E3,"*","")</f>
        <v>*</v>
      </c>
      <c r="H4" s="6" t="str">
        <f ca="1">uxb_works!C26</f>
        <v>&lt;ninguno&gt;</v>
      </c>
    </row>
    <row r="5" spans="1:41">
      <c r="A5" s="6" t="str">
        <f>uxb_works!A27</f>
        <v>CITY2_ID</v>
      </c>
      <c r="B5" s="6">
        <f>uxb_works!B27-1</f>
        <v>0</v>
      </c>
      <c r="C5" s="6" t="str">
        <f ca="1">CONCATENATE("Description: ",uxb_works!C27)</f>
        <v>Description: &lt;ninguno&gt;</v>
      </c>
      <c r="D5" s="6" t="e">
        <f>K8</f>
        <v>#VALUE!</v>
      </c>
      <c r="E5" s="6" t="str">
        <f ca="1">INDEX(aRank,1,B5)</f>
        <v>1</v>
      </c>
      <c r="F5" s="6" t="str">
        <f ca="1">IF(E5&lt;E4,"*","")</f>
        <v/>
      </c>
      <c r="H5" s="6" t="str">
        <f ca="1">uxb_works!C27</f>
        <v>&lt;ninguno&gt;</v>
      </c>
    </row>
    <row r="6" spans="1:41">
      <c r="A6" s="6" t="str">
        <f>uxb_works!A9</f>
        <v>GROUP_HIGHLIGHT_DD</v>
      </c>
      <c r="B6" s="6">
        <f>uxb_works!B9</f>
        <v>1</v>
      </c>
      <c r="C6" s="6" t="str">
        <f>uxb_works!C9</f>
        <v>All Country Average</v>
      </c>
    </row>
    <row r="7" spans="1:41">
      <c r="E7" s="6" t="s">
        <v>42</v>
      </c>
      <c r="F7" s="6" t="s">
        <v>98</v>
      </c>
      <c r="G7" s="6" t="s">
        <v>42</v>
      </c>
      <c r="H7" s="6" t="s">
        <v>48</v>
      </c>
      <c r="I7" s="6" t="s">
        <v>42</v>
      </c>
      <c r="J7" s="6" t="s">
        <v>48</v>
      </c>
      <c r="K7" s="6" t="s">
        <v>42</v>
      </c>
      <c r="L7" s="6" t="s">
        <v>48</v>
      </c>
      <c r="X7" s="6" t="s">
        <v>96</v>
      </c>
    </row>
    <row r="8" spans="1:41">
      <c r="E8" s="6">
        <f ca="1">INDEX(aScores,1,$B$2)</f>
        <v>29.531599128521769</v>
      </c>
      <c r="F8" s="6" t="str">
        <f ca="1">INDEX(aRank,1,$B$2)</f>
        <v>10</v>
      </c>
      <c r="G8" s="6">
        <f ca="1">INDEX(aScores,1,$B$3)</f>
        <v>42.9813511372177</v>
      </c>
      <c r="H8" s="6" t="str">
        <f ca="1">INDEX(aRank,1,$B$3)</f>
        <v>7</v>
      </c>
      <c r="I8" s="6" t="e">
        <f>INDEX(aScores,1,$B$5)</f>
        <v>#VALUE!</v>
      </c>
      <c r="J8" s="6" t="str">
        <f ca="1">INDEX(aRank,1,$B$4)</f>
        <v>8</v>
      </c>
      <c r="K8" s="6" t="e">
        <f>INDEX(aScores,1,$B$5)</f>
        <v>#VALUE!</v>
      </c>
      <c r="L8" s="6" t="str">
        <f ca="1">INDEX(aRank,1,$B$5)</f>
        <v>2</v>
      </c>
      <c r="Q8" s="68">
        <v>1</v>
      </c>
      <c r="AA8" s="68"/>
    </row>
    <row r="9" spans="1:41">
      <c r="E9" s="6" t="s">
        <v>143</v>
      </c>
      <c r="G9" s="6" t="s">
        <v>142</v>
      </c>
      <c r="I9" s="6" t="s">
        <v>142</v>
      </c>
      <c r="K9" s="6" t="s">
        <v>142</v>
      </c>
      <c r="Q9" s="6">
        <f>INDEX(tblIndiSets!$B$5:$B$9,Q8)</f>
        <v>1</v>
      </c>
      <c r="X9" s="6">
        <v>1</v>
      </c>
      <c r="Y9" s="6">
        <v>1</v>
      </c>
      <c r="Z9" s="6">
        <v>2</v>
      </c>
      <c r="AA9" s="6">
        <v>3</v>
      </c>
      <c r="AB9" s="6">
        <v>4</v>
      </c>
      <c r="AC9" s="6">
        <v>5</v>
      </c>
      <c r="AD9" s="6">
        <v>6</v>
      </c>
      <c r="AE9" s="6">
        <v>7</v>
      </c>
      <c r="AF9" s="6">
        <v>8</v>
      </c>
      <c r="AG9" s="6">
        <v>9</v>
      </c>
    </row>
    <row r="10" spans="1:41">
      <c r="C10" s="6" t="s">
        <v>41</v>
      </c>
      <c r="E10" s="6" t="s">
        <v>42</v>
      </c>
      <c r="F10" s="6" t="s">
        <v>64</v>
      </c>
      <c r="G10" s="6" t="s">
        <v>42</v>
      </c>
      <c r="H10" s="6" t="s">
        <v>64</v>
      </c>
      <c r="I10" s="6" t="s">
        <v>42</v>
      </c>
      <c r="J10" s="6" t="s">
        <v>64</v>
      </c>
      <c r="K10" s="6" t="s">
        <v>42</v>
      </c>
      <c r="L10" s="6" t="s">
        <v>64</v>
      </c>
      <c r="M10" s="6" t="s">
        <v>67</v>
      </c>
      <c r="Q10" s="6" t="s">
        <v>42</v>
      </c>
      <c r="R10" s="6" t="s">
        <v>48</v>
      </c>
      <c r="S10" s="6" t="s">
        <v>45</v>
      </c>
      <c r="T10" s="6" t="s">
        <v>48</v>
      </c>
      <c r="X10" s="6" t="s">
        <v>21</v>
      </c>
      <c r="Y10" s="6" t="s">
        <v>42</v>
      </c>
      <c r="Z10" s="6" t="s">
        <v>64</v>
      </c>
      <c r="AA10" s="6" t="s">
        <v>42</v>
      </c>
      <c r="AB10" s="6" t="s">
        <v>64</v>
      </c>
      <c r="AC10" s="6" t="s">
        <v>42</v>
      </c>
      <c r="AD10" s="6" t="s">
        <v>64</v>
      </c>
      <c r="AE10" s="6" t="s">
        <v>42</v>
      </c>
      <c r="AF10" s="6" t="s">
        <v>64</v>
      </c>
      <c r="AG10" s="6" t="s">
        <v>67</v>
      </c>
      <c r="AH10" s="6" t="s">
        <v>86</v>
      </c>
      <c r="AJ10" s="6" t="s">
        <v>87</v>
      </c>
      <c r="AK10" s="6" t="s">
        <v>88</v>
      </c>
      <c r="AL10" s="69" t="s">
        <v>88</v>
      </c>
      <c r="AM10" s="69"/>
      <c r="AO10" s="6" t="s">
        <v>87</v>
      </c>
    </row>
    <row r="11" spans="1:41" s="28" customFormat="1">
      <c r="A11" s="6">
        <f>tblCategories!A3</f>
        <v>1</v>
      </c>
      <c r="B11" s="6" t="str">
        <f>tblCategories!D3</f>
        <v>1) NORMATIVA</v>
      </c>
      <c r="C11" s="6">
        <f>tblCategories!T3</f>
        <v>0</v>
      </c>
      <c r="D11" s="6">
        <v>1</v>
      </c>
      <c r="E11" s="6">
        <f t="shared" ref="E11:E60" ca="1" si="0">INDEX(aScores,$A11+1,$B$2)</f>
        <v>32.8125</v>
      </c>
      <c r="F11" s="6" t="str">
        <f t="shared" ref="F11:F60" si="1">IF(INDEX(aData,$A11+1,$B$2)="","",INDEX(aData,$A11+1,$B$2))</f>
        <v/>
      </c>
      <c r="G11" s="6">
        <f t="shared" ref="G11:G60" ca="1" si="2">INDEX(aScores,$A11+1,$B$3)</f>
        <v>39.0625</v>
      </c>
      <c r="H11" s="6" t="str">
        <f t="shared" ref="H11:H60" si="3">IF(INDEX(aData,$A11+1,$B$3)="","",INDEX(aData,$A11+1,$B$3))</f>
        <v/>
      </c>
      <c r="I11" s="6" t="e">
        <f t="shared" ref="I11:I60" si="4">INDEX(aScores,$A11+1,$B$4)</f>
        <v>#VALUE!</v>
      </c>
      <c r="J11" s="6" t="str">
        <f t="shared" ref="J11:J60" si="5">IF(INDEX(aData,$A11+1,$B$4)="","",INDEX(aData,$A11+1,$B$4))</f>
        <v/>
      </c>
      <c r="K11" s="6" t="e">
        <f t="shared" ref="K11:K60" si="6">INDEX(aScores,$A11+1,$B$5)</f>
        <v>#VALUE!</v>
      </c>
      <c r="L11" s="6" t="str">
        <f t="shared" ref="L11:L60" si="7">IF(INDEX(aData,$A11+1,$B$5)="","",INDEX(aData,$A11+1,$B$5))</f>
        <v/>
      </c>
      <c r="M11" s="6">
        <f t="shared" ref="M11:M42" ca="1" si="8">INDEX(aScoresGroup,A11+1,$B$6)</f>
        <v>45.441666666666663</v>
      </c>
      <c r="N11" s="6"/>
      <c r="O11" s="6"/>
      <c r="P11" s="6"/>
      <c r="Q11" s="6" t="str">
        <f t="shared" ref="Q11:Q42" si="9">IF($C11=0,"",(INDEX($D$11:$H$60,$A11,Q$9)))</f>
        <v/>
      </c>
      <c r="R11" s="6" t="str">
        <f>IF($C11=0,"",RANK(Q11,Q$11:Q$60,1)+COUNTIF(Q$11:Q11,Q11)-1)</f>
        <v/>
      </c>
      <c r="S11" s="6">
        <f t="shared" ref="S11:S42" si="10">IF(ISERROR(MATCH($A11,R$11:R$60,0)),"",MATCH($A11,R$11:R$60,0))</f>
        <v>2</v>
      </c>
      <c r="T11" s="70">
        <f t="shared" ref="T11:T42" ca="1" si="11">IF(S11="","",RANK(Y11,Y$11:Y$60,0))</f>
        <v>3</v>
      </c>
      <c r="U11" s="70">
        <f t="shared" ref="U11:U42" ca="1" si="12">IF(S11="","",COUNTIF(Y$11:Y$60,Y11))</f>
        <v>2</v>
      </c>
      <c r="V11" s="70">
        <f t="shared" ref="V11:V42" si="13">IF(S11="",0,INDEX($D$11:$D$60,S11))</f>
        <v>1</v>
      </c>
      <c r="W11" s="69" t="str">
        <f ca="1">IF(S11="","",IF(U11&gt;1,CONCATENATE("=",T11),T11))</f>
        <v>=3</v>
      </c>
      <c r="X11" s="6" t="str">
        <f t="shared" ref="X11:X42" si="14">IF($S11="","",INDEX($B$11:$H$60,$S11,X$9))</f>
        <v>1.1) Normativa sobre gestión de residuos</v>
      </c>
      <c r="Y11" s="6">
        <f t="shared" ref="Y11:Z30" ca="1" si="15">IF($S11="","",INDEX($E$11:$O$60,$S11,Y$9))</f>
        <v>25</v>
      </c>
      <c r="Z11" s="6" t="str">
        <f t="shared" si="15"/>
        <v/>
      </c>
      <c r="AA11" s="6">
        <f t="shared" ref="AA11:AA42" ca="1" si="16">IF($S11="","",INDEX($E$11:$L$60,$S11,AA$9))</f>
        <v>50</v>
      </c>
      <c r="AB11" s="6" t="str">
        <f t="shared" ref="AB11:AB42" si="17">IF($S11="","",INDEX($E$11:$O$60,$S11,AB$9))</f>
        <v/>
      </c>
      <c r="AC11" s="6" t="e">
        <f t="shared" ref="AC11:AC42" si="18">IF($S11="","",INDEX($E$11:$L$60,$S11,AC$9))</f>
        <v>#VALUE!</v>
      </c>
      <c r="AD11" s="6" t="str">
        <f t="shared" ref="AD11:AD42" si="19">IF($S11="","",INDEX($E$11:$O$60,$S11,AD$9))</f>
        <v/>
      </c>
      <c r="AE11" s="6" t="e">
        <f t="shared" ref="AE11:AE42" si="20">IF($S11="","",INDEX($E$11:$L$60,$S11,AE$9))</f>
        <v>#VALUE!</v>
      </c>
      <c r="AF11" s="6" t="str">
        <f t="shared" ref="AF11:AG30" si="21">IF($S11="","",INDEX($E$11:$O$60,$S11,AF$9))</f>
        <v/>
      </c>
      <c r="AG11" s="6">
        <f t="shared" ca="1" si="21"/>
        <v>43.75</v>
      </c>
      <c r="AH11" s="6" t="str">
        <f ca="1">IF(T11="","",IF(ISERROR(INDEX(aRank,$S11+1,uxb_works!$B$25)),"",INDEX(aRank,$S11+1,uxb_works!$B$25)))</f>
        <v>6</v>
      </c>
      <c r="AI11" s="6"/>
      <c r="AJ11" s="14" t="str">
        <f>IF(S11="","",INDEX(tblIndicators!$H$3:$H$66,iCCompSpider!S11))</f>
        <v>Normativa sobre gestión de residuos</v>
      </c>
      <c r="AK11" s="6" t="str">
        <f ca="1">IF(AG11&lt;AH11,"*","")</f>
        <v>*</v>
      </c>
      <c r="AL11" s="71" t="str">
        <f ca="1">IF(AH11&lt;AG11,"*","")</f>
        <v/>
      </c>
      <c r="AM11" s="6"/>
      <c r="AN11" s="6"/>
      <c r="AO11" s="28" t="str">
        <f>IF(S11="","",INDEX(tblIndicators!$V$3:$V$52,iCCompSpider!S11))</f>
        <v>0.0</v>
      </c>
    </row>
    <row r="12" spans="1:41" s="28" customFormat="1">
      <c r="A12" s="6">
        <f>tblCategories!A4</f>
        <v>2</v>
      </c>
      <c r="B12" s="6" t="str">
        <f>tblCategories!D4</f>
        <v>1.1) Normativa sobre gestión de residuos</v>
      </c>
      <c r="C12" s="6">
        <f>tblCategories!T4</f>
        <v>1</v>
      </c>
      <c r="D12" s="6">
        <v>1</v>
      </c>
      <c r="E12" s="6">
        <f t="shared" ca="1" si="0"/>
        <v>25</v>
      </c>
      <c r="F12" s="6" t="str">
        <f t="shared" si="1"/>
        <v/>
      </c>
      <c r="G12" s="6">
        <f t="shared" ca="1" si="2"/>
        <v>50</v>
      </c>
      <c r="H12" s="6" t="str">
        <f t="shared" si="3"/>
        <v/>
      </c>
      <c r="I12" s="6" t="e">
        <f t="shared" si="4"/>
        <v>#VALUE!</v>
      </c>
      <c r="J12" s="6" t="str">
        <f t="shared" si="5"/>
        <v/>
      </c>
      <c r="K12" s="6" t="e">
        <f t="shared" si="6"/>
        <v>#VALUE!</v>
      </c>
      <c r="L12" s="6" t="str">
        <f t="shared" si="7"/>
        <v/>
      </c>
      <c r="M12" s="6">
        <f t="shared" ca="1" si="8"/>
        <v>43.75</v>
      </c>
      <c r="N12" s="6"/>
      <c r="O12" s="6"/>
      <c r="P12" s="6"/>
      <c r="Q12" s="6">
        <f t="shared" si="9"/>
        <v>1</v>
      </c>
      <c r="R12" s="6">
        <f>IF($C12=0,"",RANK(Q12,Q$11:Q$60,1)+COUNTIF(Q$11:Q12,Q12)-1)</f>
        <v>1</v>
      </c>
      <c r="S12" s="6">
        <f t="shared" si="10"/>
        <v>7</v>
      </c>
      <c r="T12" s="70">
        <f t="shared" ca="1" si="11"/>
        <v>2</v>
      </c>
      <c r="U12" s="70">
        <f t="shared" ca="1" si="12"/>
        <v>1</v>
      </c>
      <c r="V12" s="70">
        <f t="shared" si="13"/>
        <v>1</v>
      </c>
      <c r="W12" s="69">
        <f t="shared" ref="W12:W60" ca="1" si="22">IF(S12="","",IF(U12&gt;1,CONCATENATE("=",T12),T12))</f>
        <v>2</v>
      </c>
      <c r="X12" s="6" t="str">
        <f t="shared" si="14"/>
        <v>1.2) Integración del reciclador de base</v>
      </c>
      <c r="Y12" s="6">
        <f t="shared" ca="1" si="15"/>
        <v>31.25</v>
      </c>
      <c r="Z12" s="6" t="str">
        <f t="shared" si="15"/>
        <v/>
      </c>
      <c r="AA12" s="6">
        <f t="shared" ca="1" si="16"/>
        <v>31.25</v>
      </c>
      <c r="AB12" s="6" t="str">
        <f t="shared" si="17"/>
        <v/>
      </c>
      <c r="AC12" s="6" t="e">
        <f t="shared" si="18"/>
        <v>#VALUE!</v>
      </c>
      <c r="AD12" s="6" t="str">
        <f t="shared" si="19"/>
        <v/>
      </c>
      <c r="AE12" s="6" t="e">
        <f t="shared" si="20"/>
        <v>#VALUE!</v>
      </c>
      <c r="AF12" s="6" t="str">
        <f t="shared" si="21"/>
        <v/>
      </c>
      <c r="AG12" s="6">
        <f t="shared" ca="1" si="21"/>
        <v>40.116666666666667</v>
      </c>
      <c r="AH12" s="6" t="str">
        <f ca="1">IF(T12="","",IF(ISERROR(INDEX(aRank,$S12+1,uxb_works!$B$25)),"",INDEX(aRank,$S12+1,uxb_works!$B$25)))</f>
        <v>=7</v>
      </c>
      <c r="AI12" s="6"/>
      <c r="AJ12" s="14" t="str">
        <f>IF(S12="","",INDEX(tblIndicators!$H$3:$H$66,iCCompSpider!S12))</f>
        <v>Integración del reciclador de base</v>
      </c>
      <c r="AK12" s="6" t="str">
        <f t="shared" ref="AK12:AK60" ca="1" si="23">IF(AG12&lt;AH12,"*","")</f>
        <v>*</v>
      </c>
      <c r="AL12" s="71" t="str">
        <f t="shared" ref="AL12:AL60" ca="1" si="24">IF(AH12&lt;AG12,"*","")</f>
        <v/>
      </c>
      <c r="AM12" s="6"/>
      <c r="AN12" s="6"/>
      <c r="AO12" s="28" t="str">
        <f>IF(S12="","",INDEX(tblIndicators!$V$3:$V$52,iCCompSpider!S12))</f>
        <v>0.0</v>
      </c>
    </row>
    <row r="13" spans="1:41" s="28" customFormat="1">
      <c r="A13" s="6">
        <f>tblCategories!A5</f>
        <v>3</v>
      </c>
      <c r="B13" s="6" t="str">
        <f>tblCategories!D5</f>
        <v>1.1.1) 1.¿ Existe un marco legal nacional para la gestión de residuos orientado al reciclaje con la inclusión de actores informales?</v>
      </c>
      <c r="C13" s="6">
        <f>tblCategories!T5</f>
        <v>0</v>
      </c>
      <c r="D13" s="6">
        <v>1</v>
      </c>
      <c r="E13" s="6">
        <f t="shared" ca="1" si="0"/>
        <v>0</v>
      </c>
      <c r="F13" s="6">
        <f t="shared" si="1"/>
        <v>0</v>
      </c>
      <c r="G13" s="6">
        <f t="shared" ca="1" si="2"/>
        <v>50</v>
      </c>
      <c r="H13" s="6">
        <f t="shared" si="3"/>
        <v>1</v>
      </c>
      <c r="I13" s="6" t="e">
        <f t="shared" si="4"/>
        <v>#VALUE!</v>
      </c>
      <c r="J13" s="6">
        <f t="shared" si="5"/>
        <v>0</v>
      </c>
      <c r="K13" s="6" t="e">
        <f t="shared" si="6"/>
        <v>#VALUE!</v>
      </c>
      <c r="L13" s="6">
        <f t="shared" si="7"/>
        <v>0</v>
      </c>
      <c r="M13" s="6">
        <f t="shared" ca="1" si="8"/>
        <v>37.5</v>
      </c>
      <c r="N13" s="6"/>
      <c r="O13" s="6"/>
      <c r="P13" s="6"/>
      <c r="Q13" s="6" t="str">
        <f t="shared" si="9"/>
        <v/>
      </c>
      <c r="R13" s="6" t="str">
        <f>IF($C13=0,"",RANK(Q13,Q$11:Q$60,1)+COUNTIF(Q$11:Q13,Q13)-1)</f>
        <v/>
      </c>
      <c r="S13" s="6">
        <f t="shared" si="10"/>
        <v>16</v>
      </c>
      <c r="T13" s="70">
        <f t="shared" ca="1" si="11"/>
        <v>3</v>
      </c>
      <c r="U13" s="70">
        <f t="shared" ca="1" si="12"/>
        <v>2</v>
      </c>
      <c r="V13" s="70">
        <f t="shared" si="13"/>
        <v>1</v>
      </c>
      <c r="W13" s="69" t="str">
        <f t="shared" ca="1" si="22"/>
        <v>=3</v>
      </c>
      <c r="X13" s="6" t="str">
        <f t="shared" si="14"/>
        <v>1.3) Generación de información</v>
      </c>
      <c r="Y13" s="6">
        <f t="shared" ca="1" si="15"/>
        <v>25</v>
      </c>
      <c r="Z13" s="6" t="str">
        <f t="shared" si="15"/>
        <v/>
      </c>
      <c r="AA13" s="6">
        <f t="shared" ca="1" si="16"/>
        <v>25</v>
      </c>
      <c r="AB13" s="6" t="str">
        <f t="shared" si="17"/>
        <v/>
      </c>
      <c r="AC13" s="6" t="e">
        <f t="shared" si="18"/>
        <v>#VALUE!</v>
      </c>
      <c r="AD13" s="6" t="str">
        <f t="shared" si="19"/>
        <v/>
      </c>
      <c r="AE13" s="6" t="e">
        <f t="shared" si="20"/>
        <v>#VALUE!</v>
      </c>
      <c r="AF13" s="6" t="str">
        <f t="shared" si="21"/>
        <v/>
      </c>
      <c r="AG13" s="6">
        <f t="shared" ca="1" si="21"/>
        <v>31.25</v>
      </c>
      <c r="AH13" s="6" t="str">
        <f ca="1">IF(T13="","",IF(ISERROR(INDEX(aRank,$S13+1,uxb_works!$B$25)),"",INDEX(aRank,$S13+1,uxb_works!$B$25)))</f>
        <v>=5</v>
      </c>
      <c r="AI13" s="6"/>
      <c r="AJ13" s="14" t="str">
        <f>IF(S13="","",INDEX(tblIndicators!$H$3:$H$66,iCCompSpider!S13))</f>
        <v>Generación de información</v>
      </c>
      <c r="AK13" s="6" t="str">
        <f t="shared" ca="1" si="23"/>
        <v>*</v>
      </c>
      <c r="AL13" s="71" t="str">
        <f t="shared" ca="1" si="24"/>
        <v/>
      </c>
      <c r="AM13" s="6"/>
      <c r="AN13" s="6"/>
      <c r="AO13" s="28" t="str">
        <f>IF(S13="","",INDEX(tblIndicators!$V$3:$V$52,iCCompSpider!S13))</f>
        <v>0.0</v>
      </c>
    </row>
    <row r="14" spans="1:41" s="28" customFormat="1">
      <c r="A14" s="6">
        <f>tblCategories!A6</f>
        <v>4</v>
      </c>
      <c r="B14" s="6" t="str">
        <f>tblCategories!D6</f>
        <v>1.1.2) 2.¿Existe un marco legal municipal para la gestión de residuos orientado al reciclaje y la inclusión de actores informales?</v>
      </c>
      <c r="C14" s="6">
        <f>tblCategories!T6</f>
        <v>0</v>
      </c>
      <c r="D14" s="6">
        <v>1</v>
      </c>
      <c r="E14" s="6">
        <f t="shared" ca="1" si="0"/>
        <v>50</v>
      </c>
      <c r="F14" s="6">
        <f t="shared" si="1"/>
        <v>1</v>
      </c>
      <c r="G14" s="6">
        <f t="shared" ca="1" si="2"/>
        <v>50</v>
      </c>
      <c r="H14" s="6">
        <f t="shared" si="3"/>
        <v>1</v>
      </c>
      <c r="I14" s="6" t="e">
        <f t="shared" si="4"/>
        <v>#VALUE!</v>
      </c>
      <c r="J14" s="6">
        <f t="shared" si="5"/>
        <v>1</v>
      </c>
      <c r="K14" s="6" t="e">
        <f t="shared" si="6"/>
        <v>#VALUE!</v>
      </c>
      <c r="L14" s="6">
        <f t="shared" si="7"/>
        <v>2</v>
      </c>
      <c r="M14" s="6">
        <f t="shared" ca="1" si="8"/>
        <v>54.166666666666664</v>
      </c>
      <c r="N14" s="6"/>
      <c r="O14" s="6"/>
      <c r="P14" s="6"/>
      <c r="Q14" s="6" t="str">
        <f t="shared" si="9"/>
        <v/>
      </c>
      <c r="R14" s="6" t="str">
        <f>IF($C14=0,"",RANK(Q14,Q$11:Q$60,1)+COUNTIF(Q$11:Q14,Q14)-1)</f>
        <v/>
      </c>
      <c r="S14" s="6">
        <f t="shared" si="10"/>
        <v>19</v>
      </c>
      <c r="T14" s="70">
        <f t="shared" ca="1" si="11"/>
        <v>1</v>
      </c>
      <c r="U14" s="70">
        <f t="shared" ca="1" si="12"/>
        <v>1</v>
      </c>
      <c r="V14" s="70">
        <f t="shared" si="13"/>
        <v>1</v>
      </c>
      <c r="W14" s="69">
        <f t="shared" ca="1" si="22"/>
        <v>1</v>
      </c>
      <c r="X14" s="6" t="str">
        <f t="shared" si="14"/>
        <v>1.4) Salud pública y el medioambiente</v>
      </c>
      <c r="Y14" s="6">
        <f t="shared" ca="1" si="15"/>
        <v>50</v>
      </c>
      <c r="Z14" s="6" t="str">
        <f t="shared" si="15"/>
        <v/>
      </c>
      <c r="AA14" s="6">
        <f t="shared" ca="1" si="16"/>
        <v>50</v>
      </c>
      <c r="AB14" s="6" t="str">
        <f t="shared" si="17"/>
        <v/>
      </c>
      <c r="AC14" s="6" t="e">
        <f t="shared" si="18"/>
        <v>#VALUE!</v>
      </c>
      <c r="AD14" s="6" t="str">
        <f t="shared" si="19"/>
        <v/>
      </c>
      <c r="AE14" s="6" t="e">
        <f t="shared" si="20"/>
        <v>#VALUE!</v>
      </c>
      <c r="AF14" s="6" t="str">
        <f t="shared" si="21"/>
        <v/>
      </c>
      <c r="AG14" s="6">
        <f t="shared" ca="1" si="21"/>
        <v>66.666666666666671</v>
      </c>
      <c r="AH14" s="6" t="str">
        <f ca="1">IF(T14="","",IF(ISERROR(INDEX(aRank,$S14+1,uxb_works!$B$25)),"",INDEX(aRank,$S14+1,uxb_works!$B$25)))</f>
        <v>=5</v>
      </c>
      <c r="AI14" s="6"/>
      <c r="AJ14" s="14" t="str">
        <f>IF(S14="","",INDEX(tblIndicators!$H$3:$H$66,iCCompSpider!S14))</f>
        <v>Salud pública y el medioambiente</v>
      </c>
      <c r="AK14" s="6" t="str">
        <f t="shared" ca="1" si="23"/>
        <v>*</v>
      </c>
      <c r="AL14" s="71" t="str">
        <f t="shared" ca="1" si="24"/>
        <v/>
      </c>
      <c r="AM14" s="6"/>
      <c r="AN14" s="6"/>
      <c r="AO14" s="28" t="str">
        <f>IF(S14="","",INDEX(tblIndicators!$V$3:$V$52,iCCompSpider!S14))</f>
        <v>0.0</v>
      </c>
    </row>
    <row r="15" spans="1:41" s="28" customFormat="1">
      <c r="A15" s="6">
        <f>tblCategories!A7</f>
        <v>5</v>
      </c>
      <c r="B15" s="6" t="str">
        <f>tblCategories!D7</f>
        <v>1.1.3) 3.¿Son las políticas municipales suficientemente estables para garantizar la continuidad en materia de políticas de reciclaje inclusivo?</v>
      </c>
      <c r="C15" s="6">
        <f>tblCategories!T7</f>
        <v>0</v>
      </c>
      <c r="D15" s="6">
        <v>1</v>
      </c>
      <c r="E15" s="6">
        <f t="shared" ca="1" si="0"/>
        <v>50</v>
      </c>
      <c r="F15" s="6">
        <f t="shared" si="1"/>
        <v>1</v>
      </c>
      <c r="G15" s="6">
        <f t="shared" ca="1" si="2"/>
        <v>0</v>
      </c>
      <c r="H15" s="6">
        <f t="shared" si="3"/>
        <v>0</v>
      </c>
      <c r="I15" s="6" t="e">
        <f t="shared" si="4"/>
        <v>#VALUE!</v>
      </c>
      <c r="J15" s="6">
        <f t="shared" si="5"/>
        <v>1</v>
      </c>
      <c r="K15" s="6" t="e">
        <f t="shared" si="6"/>
        <v>#VALUE!</v>
      </c>
      <c r="L15" s="6">
        <f t="shared" si="7"/>
        <v>2</v>
      </c>
      <c r="M15" s="6">
        <f t="shared" ca="1" si="8"/>
        <v>33.333333333333336</v>
      </c>
      <c r="N15" s="6"/>
      <c r="O15" s="6"/>
      <c r="P15" s="6"/>
      <c r="Q15" s="6" t="str">
        <f t="shared" si="9"/>
        <v/>
      </c>
      <c r="R15" s="6" t="str">
        <f>IF($C15=0,"",RANK(Q15,Q$11:Q$60,1)+COUNTIF(Q$11:Q15,Q15)-1)</f>
        <v/>
      </c>
      <c r="S15" s="6" t="str">
        <f t="shared" si="10"/>
        <v/>
      </c>
      <c r="T15" s="70" t="str">
        <f t="shared" si="11"/>
        <v/>
      </c>
      <c r="U15" s="70" t="str">
        <f t="shared" si="12"/>
        <v/>
      </c>
      <c r="V15" s="70">
        <f t="shared" si="13"/>
        <v>0</v>
      </c>
      <c r="W15" s="69" t="str">
        <f t="shared" si="22"/>
        <v/>
      </c>
      <c r="X15" s="6" t="str">
        <f t="shared" si="14"/>
        <v/>
      </c>
      <c r="Y15" s="6" t="str">
        <f t="shared" si="15"/>
        <v/>
      </c>
      <c r="Z15" s="6" t="str">
        <f t="shared" si="15"/>
        <v/>
      </c>
      <c r="AA15" s="6" t="str">
        <f t="shared" si="16"/>
        <v/>
      </c>
      <c r="AB15" s="6" t="str">
        <f t="shared" si="17"/>
        <v/>
      </c>
      <c r="AC15" s="6" t="str">
        <f t="shared" si="18"/>
        <v/>
      </c>
      <c r="AD15" s="6" t="str">
        <f t="shared" si="19"/>
        <v/>
      </c>
      <c r="AE15" s="6" t="str">
        <f t="shared" si="20"/>
        <v/>
      </c>
      <c r="AF15" s="6" t="str">
        <f t="shared" si="21"/>
        <v/>
      </c>
      <c r="AG15" s="6" t="str">
        <f t="shared" si="21"/>
        <v/>
      </c>
      <c r="AH15" s="6" t="str">
        <f>IF(T15="","",IF(ISERROR(INDEX(aRank,$S15+1,uxb_works!$B$25)),"",INDEX(aRank,$S15+1,uxb_works!$B$25)))</f>
        <v/>
      </c>
      <c r="AI15" s="6"/>
      <c r="AJ15" s="14" t="str">
        <f>IF(S15="","",INDEX(tblIndicators!$H$3:$H$66,iCCompSpider!S15))</f>
        <v/>
      </c>
      <c r="AK15" s="6" t="str">
        <f t="shared" si="23"/>
        <v/>
      </c>
      <c r="AL15" s="71" t="str">
        <f t="shared" si="24"/>
        <v/>
      </c>
      <c r="AM15" s="6"/>
      <c r="AN15" s="6"/>
      <c r="AO15" s="28" t="str">
        <f>IF(S15="","",INDEX(tblIndicators!$V$3:$V$52,iCCompSpider!S15))</f>
        <v/>
      </c>
    </row>
    <row r="16" spans="1:41" s="28" customFormat="1">
      <c r="A16" s="6">
        <f>tblCategories!A8</f>
        <v>6</v>
      </c>
      <c r="B16" s="6" t="str">
        <f>tblCategories!D8</f>
        <v>1.1.4) 4.¿Existe un presupuesto (o mecanismo de financiación) municipal asignado para el reciclaje inclusivo?</v>
      </c>
      <c r="C16" s="6">
        <f>tblCategories!T8</f>
        <v>0</v>
      </c>
      <c r="D16" s="6">
        <v>1</v>
      </c>
      <c r="E16" s="6">
        <f t="shared" ca="1" si="0"/>
        <v>0</v>
      </c>
      <c r="F16" s="6">
        <f t="shared" si="1"/>
        <v>0</v>
      </c>
      <c r="G16" s="6">
        <f t="shared" ca="1" si="2"/>
        <v>100</v>
      </c>
      <c r="H16" s="6">
        <f t="shared" si="3"/>
        <v>2</v>
      </c>
      <c r="I16" s="6" t="e">
        <f t="shared" si="4"/>
        <v>#VALUE!</v>
      </c>
      <c r="J16" s="6">
        <f t="shared" si="5"/>
        <v>0</v>
      </c>
      <c r="K16" s="6" t="e">
        <f t="shared" si="6"/>
        <v>#VALUE!</v>
      </c>
      <c r="L16" s="6">
        <f t="shared" si="7"/>
        <v>2</v>
      </c>
      <c r="M16" s="6">
        <f t="shared" ca="1" si="8"/>
        <v>50</v>
      </c>
      <c r="N16" s="6"/>
      <c r="O16" s="6"/>
      <c r="P16" s="6"/>
      <c r="Q16" s="6" t="str">
        <f t="shared" si="9"/>
        <v/>
      </c>
      <c r="R16" s="6" t="str">
        <f>IF($C16=0,"",RANK(Q16,Q$11:Q$60,1)+COUNTIF(Q$11:Q16,Q16)-1)</f>
        <v/>
      </c>
      <c r="S16" s="6" t="str">
        <f t="shared" si="10"/>
        <v/>
      </c>
      <c r="T16" s="70" t="str">
        <f t="shared" si="11"/>
        <v/>
      </c>
      <c r="U16" s="70" t="str">
        <f t="shared" si="12"/>
        <v/>
      </c>
      <c r="V16" s="70">
        <f t="shared" si="13"/>
        <v>0</v>
      </c>
      <c r="W16" s="69" t="str">
        <f t="shared" si="22"/>
        <v/>
      </c>
      <c r="X16" s="6" t="str">
        <f t="shared" si="14"/>
        <v/>
      </c>
      <c r="Y16" s="6" t="str">
        <f t="shared" si="15"/>
        <v/>
      </c>
      <c r="Z16" s="6" t="str">
        <f t="shared" si="15"/>
        <v/>
      </c>
      <c r="AA16" s="6" t="str">
        <f t="shared" si="16"/>
        <v/>
      </c>
      <c r="AB16" s="6" t="str">
        <f t="shared" si="17"/>
        <v/>
      </c>
      <c r="AC16" s="6" t="str">
        <f t="shared" si="18"/>
        <v/>
      </c>
      <c r="AD16" s="6" t="str">
        <f t="shared" si="19"/>
        <v/>
      </c>
      <c r="AE16" s="6" t="str">
        <f t="shared" si="20"/>
        <v/>
      </c>
      <c r="AF16" s="6" t="str">
        <f t="shared" si="21"/>
        <v/>
      </c>
      <c r="AG16" s="6" t="str">
        <f t="shared" si="21"/>
        <v/>
      </c>
      <c r="AH16" s="6" t="str">
        <f>IF(T16="","",IF(ISERROR(INDEX(aRank,$S16+1,uxb_works!$B$25)),"",INDEX(aRank,$S16+1,uxb_works!$B$25)))</f>
        <v/>
      </c>
      <c r="AI16" s="6"/>
      <c r="AJ16" s="14" t="str">
        <f>IF(S16="","",INDEX(tblIndicators!$H$3:$H$66,iCCompSpider!S16))</f>
        <v/>
      </c>
      <c r="AK16" s="6" t="str">
        <f t="shared" si="23"/>
        <v/>
      </c>
      <c r="AL16" s="71" t="str">
        <f t="shared" si="24"/>
        <v/>
      </c>
      <c r="AM16" s="6"/>
      <c r="AN16" s="6"/>
      <c r="AO16" s="28" t="str">
        <f>IF(S16="","",INDEX(tblIndicators!$V$3:$V$52,iCCompSpider!S16))</f>
        <v/>
      </c>
    </row>
    <row r="17" spans="1:41" s="28" customFormat="1">
      <c r="A17" s="6">
        <f>tblCategories!A9</f>
        <v>7</v>
      </c>
      <c r="B17" s="6" t="str">
        <f>tblCategories!D9</f>
        <v>1.2) Integración del reciclador de base</v>
      </c>
      <c r="C17" s="6">
        <f>tblCategories!T9</f>
        <v>1</v>
      </c>
      <c r="D17" s="6">
        <v>1</v>
      </c>
      <c r="E17" s="6">
        <f t="shared" ca="1" si="0"/>
        <v>31.25</v>
      </c>
      <c r="F17" s="6" t="str">
        <f t="shared" si="1"/>
        <v/>
      </c>
      <c r="G17" s="6">
        <f t="shared" ca="1" si="2"/>
        <v>31.25</v>
      </c>
      <c r="H17" s="6" t="str">
        <f t="shared" si="3"/>
        <v/>
      </c>
      <c r="I17" s="6" t="e">
        <f t="shared" si="4"/>
        <v>#VALUE!</v>
      </c>
      <c r="J17" s="6" t="str">
        <f t="shared" si="5"/>
        <v/>
      </c>
      <c r="K17" s="6" t="e">
        <f t="shared" si="6"/>
        <v>#VALUE!</v>
      </c>
      <c r="L17" s="6" t="str">
        <f t="shared" si="7"/>
        <v/>
      </c>
      <c r="M17" s="6">
        <f t="shared" ca="1" si="8"/>
        <v>40.116666666666667</v>
      </c>
      <c r="N17" s="6"/>
      <c r="O17" s="6"/>
      <c r="P17" s="6"/>
      <c r="Q17" s="6">
        <f t="shared" si="9"/>
        <v>1</v>
      </c>
      <c r="R17" s="6">
        <f>IF($C17=0,"",RANK(Q17,Q$11:Q$60,1)+COUNTIF(Q$11:Q17,Q17)-1)</f>
        <v>2</v>
      </c>
      <c r="S17" s="6" t="str">
        <f t="shared" si="10"/>
        <v/>
      </c>
      <c r="T17" s="70" t="str">
        <f t="shared" si="11"/>
        <v/>
      </c>
      <c r="U17" s="70" t="str">
        <f t="shared" si="12"/>
        <v/>
      </c>
      <c r="V17" s="70">
        <f t="shared" si="13"/>
        <v>0</v>
      </c>
      <c r="W17" s="69" t="str">
        <f t="shared" si="22"/>
        <v/>
      </c>
      <c r="X17" s="6" t="str">
        <f t="shared" si="14"/>
        <v/>
      </c>
      <c r="Y17" s="6" t="str">
        <f t="shared" si="15"/>
        <v/>
      </c>
      <c r="Z17" s="6" t="str">
        <f t="shared" si="15"/>
        <v/>
      </c>
      <c r="AA17" s="6" t="str">
        <f t="shared" si="16"/>
        <v/>
      </c>
      <c r="AB17" s="6" t="str">
        <f t="shared" si="17"/>
        <v/>
      </c>
      <c r="AC17" s="6" t="str">
        <f t="shared" si="18"/>
        <v/>
      </c>
      <c r="AD17" s="6" t="str">
        <f t="shared" si="19"/>
        <v/>
      </c>
      <c r="AE17" s="6" t="str">
        <f t="shared" si="20"/>
        <v/>
      </c>
      <c r="AF17" s="6" t="str">
        <f t="shared" si="21"/>
        <v/>
      </c>
      <c r="AG17" s="6" t="str">
        <f t="shared" si="21"/>
        <v/>
      </c>
      <c r="AH17" s="6" t="str">
        <f>IF(T17="","",IF(ISERROR(INDEX(aRank,$S17+1,uxb_works!$B$25)),"",INDEX(aRank,$S17+1,uxb_works!$B$25)))</f>
        <v/>
      </c>
      <c r="AI17" s="6"/>
      <c r="AJ17" s="14" t="str">
        <f>IF(S17="","",INDEX(tblIndicators!$H$3:$H$66,iCCompSpider!S17))</f>
        <v/>
      </c>
      <c r="AK17" s="6" t="str">
        <f t="shared" si="23"/>
        <v/>
      </c>
      <c r="AL17" s="71" t="str">
        <f t="shared" si="24"/>
        <v/>
      </c>
      <c r="AM17" s="6"/>
      <c r="AN17" s="6"/>
      <c r="AO17" s="28" t="str">
        <f>IF(S17="","",INDEX(tblIndicators!$V$3:$V$52,iCCompSpider!S17))</f>
        <v/>
      </c>
    </row>
    <row r="18" spans="1:41" s="28" customFormat="1">
      <c r="A18" s="6">
        <f>tblCategories!A10</f>
        <v>8</v>
      </c>
      <c r="B18" s="6" t="str">
        <f>tblCategories!D10</f>
        <v>1.2.1) 5.¿Existe reconocimiento legal de la ocupación de reciclador de base?</v>
      </c>
      <c r="C18" s="6">
        <f>tblCategories!T10</f>
        <v>0</v>
      </c>
      <c r="D18" s="6">
        <v>1</v>
      </c>
      <c r="E18" s="6">
        <f t="shared" ca="1" si="0"/>
        <v>0</v>
      </c>
      <c r="F18" s="6">
        <f t="shared" si="1"/>
        <v>0</v>
      </c>
      <c r="G18" s="6">
        <f t="shared" ca="1" si="2"/>
        <v>0</v>
      </c>
      <c r="H18" s="6">
        <f t="shared" si="3"/>
        <v>0</v>
      </c>
      <c r="I18" s="6" t="e">
        <f t="shared" si="4"/>
        <v>#VALUE!</v>
      </c>
      <c r="J18" s="6">
        <f t="shared" si="5"/>
        <v>0</v>
      </c>
      <c r="K18" s="6" t="e">
        <f t="shared" si="6"/>
        <v>#VALUE!</v>
      </c>
      <c r="L18" s="6">
        <f t="shared" si="7"/>
        <v>1</v>
      </c>
      <c r="M18" s="6">
        <f t="shared" ca="1" si="8"/>
        <v>33.333333333333336</v>
      </c>
      <c r="N18" s="6"/>
      <c r="O18" s="6"/>
      <c r="P18" s="6"/>
      <c r="Q18" s="6" t="str">
        <f t="shared" si="9"/>
        <v/>
      </c>
      <c r="R18" s="6" t="str">
        <f>IF($C18=0,"",RANK(Q18,Q$11:Q$60,1)+COUNTIF(Q$11:Q18,Q18)-1)</f>
        <v/>
      </c>
      <c r="S18" s="6" t="str">
        <f t="shared" si="10"/>
        <v/>
      </c>
      <c r="T18" s="70" t="str">
        <f t="shared" si="11"/>
        <v/>
      </c>
      <c r="U18" s="70" t="str">
        <f t="shared" si="12"/>
        <v/>
      </c>
      <c r="V18" s="70">
        <f t="shared" si="13"/>
        <v>0</v>
      </c>
      <c r="W18" s="69" t="str">
        <f t="shared" si="22"/>
        <v/>
      </c>
      <c r="X18" s="6" t="str">
        <f t="shared" si="14"/>
        <v/>
      </c>
      <c r="Y18" s="6" t="str">
        <f t="shared" si="15"/>
        <v/>
      </c>
      <c r="Z18" s="6" t="str">
        <f t="shared" si="15"/>
        <v/>
      </c>
      <c r="AA18" s="6" t="str">
        <f t="shared" si="16"/>
        <v/>
      </c>
      <c r="AB18" s="6" t="str">
        <f t="shared" si="17"/>
        <v/>
      </c>
      <c r="AC18" s="6" t="str">
        <f t="shared" si="18"/>
        <v/>
      </c>
      <c r="AD18" s="6" t="str">
        <f t="shared" si="19"/>
        <v/>
      </c>
      <c r="AE18" s="6" t="str">
        <f t="shared" si="20"/>
        <v/>
      </c>
      <c r="AF18" s="6" t="str">
        <f t="shared" si="21"/>
        <v/>
      </c>
      <c r="AG18" s="6" t="str">
        <f t="shared" si="21"/>
        <v/>
      </c>
      <c r="AH18" s="6" t="str">
        <f>IF(T18="","",IF(ISERROR(INDEX(aRank,$S18+1,uxb_works!$B$25)),"",INDEX(aRank,$S18+1,uxb_works!$B$25)))</f>
        <v/>
      </c>
      <c r="AI18" s="6"/>
      <c r="AJ18" s="14" t="str">
        <f>IF(S18="","",INDEX(tblIndicators!$H$3:$H$66,iCCompSpider!S18))</f>
        <v/>
      </c>
      <c r="AK18" s="6" t="str">
        <f t="shared" si="23"/>
        <v/>
      </c>
      <c r="AL18" s="71" t="str">
        <f t="shared" si="24"/>
        <v/>
      </c>
      <c r="AM18" s="6"/>
      <c r="AN18" s="6"/>
      <c r="AO18" s="28" t="str">
        <f>IF(S18="","",INDEX(tblIndicators!$V$3:$V$52,iCCompSpider!S18))</f>
        <v/>
      </c>
    </row>
    <row r="19" spans="1:41" s="28" customFormat="1">
      <c r="A19" s="6">
        <f>tblCategories!A11</f>
        <v>9</v>
      </c>
      <c r="B19" s="6" t="str">
        <f>tblCategories!D11</f>
        <v>1.2.2) 6.¿Se reconoce a los recicladores de base como prestadores de servicio en la gestión de residuos?</v>
      </c>
      <c r="C19" s="6">
        <f>tblCategories!T11</f>
        <v>0</v>
      </c>
      <c r="D19" s="6">
        <v>1</v>
      </c>
      <c r="E19" s="6">
        <f t="shared" ca="1" si="0"/>
        <v>50</v>
      </c>
      <c r="F19" s="6">
        <f t="shared" si="1"/>
        <v>1</v>
      </c>
      <c r="G19" s="6">
        <f t="shared" ca="1" si="2"/>
        <v>0</v>
      </c>
      <c r="H19" s="6">
        <f t="shared" si="3"/>
        <v>0</v>
      </c>
      <c r="I19" s="6" t="e">
        <f t="shared" si="4"/>
        <v>#VALUE!</v>
      </c>
      <c r="J19" s="6">
        <f t="shared" si="5"/>
        <v>1</v>
      </c>
      <c r="K19" s="6" t="e">
        <f t="shared" si="6"/>
        <v>#VALUE!</v>
      </c>
      <c r="L19" s="6">
        <f t="shared" si="7"/>
        <v>2</v>
      </c>
      <c r="M19" s="6">
        <f t="shared" ca="1" si="8"/>
        <v>45.833333333333336</v>
      </c>
      <c r="N19" s="6"/>
      <c r="O19" s="6"/>
      <c r="P19" s="6"/>
      <c r="Q19" s="6" t="str">
        <f t="shared" si="9"/>
        <v/>
      </c>
      <c r="R19" s="6" t="str">
        <f>IF($C19=0,"",RANK(Q19,Q$11:Q$60,1)+COUNTIF(Q$11:Q19,Q19)-1)</f>
        <v/>
      </c>
      <c r="S19" s="6" t="str">
        <f t="shared" si="10"/>
        <v/>
      </c>
      <c r="T19" s="70" t="str">
        <f t="shared" si="11"/>
        <v/>
      </c>
      <c r="U19" s="70" t="str">
        <f t="shared" si="12"/>
        <v/>
      </c>
      <c r="V19" s="70">
        <f t="shared" si="13"/>
        <v>0</v>
      </c>
      <c r="W19" s="69" t="str">
        <f t="shared" si="22"/>
        <v/>
      </c>
      <c r="X19" s="6" t="str">
        <f t="shared" si="14"/>
        <v/>
      </c>
      <c r="Y19" s="6" t="str">
        <f t="shared" si="15"/>
        <v/>
      </c>
      <c r="Z19" s="6" t="str">
        <f t="shared" si="15"/>
        <v/>
      </c>
      <c r="AA19" s="6" t="str">
        <f t="shared" si="16"/>
        <v/>
      </c>
      <c r="AB19" s="6" t="str">
        <f t="shared" si="17"/>
        <v/>
      </c>
      <c r="AC19" s="6" t="str">
        <f t="shared" si="18"/>
        <v/>
      </c>
      <c r="AD19" s="6" t="str">
        <f t="shared" si="19"/>
        <v/>
      </c>
      <c r="AE19" s="6" t="str">
        <f t="shared" si="20"/>
        <v/>
      </c>
      <c r="AF19" s="6" t="str">
        <f t="shared" si="21"/>
        <v/>
      </c>
      <c r="AG19" s="6" t="str">
        <f t="shared" si="21"/>
        <v/>
      </c>
      <c r="AH19" s="6" t="str">
        <f>IF(T19="","",IF(ISERROR(INDEX(aRank,$S19+1,uxb_works!$B$25)),"",INDEX(aRank,$S19+1,uxb_works!$B$25)))</f>
        <v/>
      </c>
      <c r="AI19" s="6"/>
      <c r="AJ19" s="14" t="str">
        <f>IF(S19="","",INDEX(tblIndicators!$H$3:$H$66,iCCompSpider!S19))</f>
        <v/>
      </c>
      <c r="AK19" s="6" t="str">
        <f t="shared" si="23"/>
        <v/>
      </c>
      <c r="AL19" s="71" t="str">
        <f t="shared" si="24"/>
        <v/>
      </c>
      <c r="AM19" s="6"/>
      <c r="AN19" s="6"/>
      <c r="AO19" s="28" t="str">
        <f>IF(S19="","",INDEX(tblIndicators!$V$3:$V$52,iCCompSpider!S19))</f>
        <v/>
      </c>
    </row>
    <row r="20" spans="1:41" s="28" customFormat="1">
      <c r="A20" s="6">
        <f>tblCategories!A12</f>
        <v>10</v>
      </c>
      <c r="B20" s="6" t="str">
        <f>tblCategories!D12</f>
        <v>1.2.3) 7.¿Se ha identificado la población de recicladores de base a través de un censo?</v>
      </c>
      <c r="C20" s="6">
        <f>tblCategories!T12</f>
        <v>0</v>
      </c>
      <c r="D20" s="6">
        <v>1</v>
      </c>
      <c r="E20" s="6">
        <f t="shared" ca="1" si="0"/>
        <v>0</v>
      </c>
      <c r="F20" s="6">
        <f t="shared" si="1"/>
        <v>0</v>
      </c>
      <c r="G20" s="6">
        <f t="shared" ca="1" si="2"/>
        <v>0</v>
      </c>
      <c r="H20" s="6">
        <f t="shared" si="3"/>
        <v>0</v>
      </c>
      <c r="I20" s="6" t="e">
        <f t="shared" si="4"/>
        <v>#VALUE!</v>
      </c>
      <c r="J20" s="6">
        <f t="shared" si="5"/>
        <v>0</v>
      </c>
      <c r="K20" s="6" t="e">
        <f t="shared" si="6"/>
        <v>#VALUE!</v>
      </c>
      <c r="L20" s="6">
        <f t="shared" si="7"/>
        <v>0</v>
      </c>
      <c r="M20" s="6">
        <f t="shared" ca="1" si="8"/>
        <v>41.666666666666664</v>
      </c>
      <c r="N20" s="6"/>
      <c r="O20" s="6"/>
      <c r="P20" s="6"/>
      <c r="Q20" s="6" t="str">
        <f t="shared" si="9"/>
        <v/>
      </c>
      <c r="R20" s="6" t="str">
        <f>IF($C20=0,"",RANK(Q20,Q$11:Q$60,1)+COUNTIF(Q$11:Q20,Q20)-1)</f>
        <v/>
      </c>
      <c r="S20" s="6" t="str">
        <f t="shared" si="10"/>
        <v/>
      </c>
      <c r="T20" s="70" t="str">
        <f t="shared" si="11"/>
        <v/>
      </c>
      <c r="U20" s="70" t="str">
        <f t="shared" si="12"/>
        <v/>
      </c>
      <c r="V20" s="70">
        <f t="shared" si="13"/>
        <v>0</v>
      </c>
      <c r="W20" s="69" t="str">
        <f t="shared" si="22"/>
        <v/>
      </c>
      <c r="X20" s="6" t="str">
        <f t="shared" si="14"/>
        <v/>
      </c>
      <c r="Y20" s="6" t="str">
        <f t="shared" si="15"/>
        <v/>
      </c>
      <c r="Z20" s="6" t="str">
        <f t="shared" si="15"/>
        <v/>
      </c>
      <c r="AA20" s="6" t="str">
        <f t="shared" si="16"/>
        <v/>
      </c>
      <c r="AB20" s="6" t="str">
        <f t="shared" si="17"/>
        <v/>
      </c>
      <c r="AC20" s="6" t="str">
        <f t="shared" si="18"/>
        <v/>
      </c>
      <c r="AD20" s="6" t="str">
        <f t="shared" si="19"/>
        <v/>
      </c>
      <c r="AE20" s="6" t="str">
        <f t="shared" si="20"/>
        <v/>
      </c>
      <c r="AF20" s="6" t="str">
        <f t="shared" si="21"/>
        <v/>
      </c>
      <c r="AG20" s="6" t="str">
        <f t="shared" si="21"/>
        <v/>
      </c>
      <c r="AH20" s="6" t="str">
        <f>IF(T20="","",IF(ISERROR(INDEX(aRank,$S20+1,uxb_works!$B$25)),"",INDEX(aRank,$S20+1,uxb_works!$B$25)))</f>
        <v/>
      </c>
      <c r="AI20" s="6"/>
      <c r="AJ20" s="14" t="str">
        <f>IF(S20="","",INDEX(tblIndicators!$H$3:$H$66,iCCompSpider!S20))</f>
        <v/>
      </c>
      <c r="AK20" s="6" t="str">
        <f t="shared" si="23"/>
        <v/>
      </c>
      <c r="AL20" s="71" t="str">
        <f t="shared" si="24"/>
        <v/>
      </c>
      <c r="AM20" s="6"/>
      <c r="AN20" s="6"/>
      <c r="AO20" s="28" t="str">
        <f>IF(S20="","",INDEX(tblIndicators!$V$3:$V$52,iCCompSpider!S20))</f>
        <v/>
      </c>
    </row>
    <row r="21" spans="1:41" s="28" customFormat="1">
      <c r="A21" s="6">
        <f>tblCategories!A13</f>
        <v>11</v>
      </c>
      <c r="B21" s="6" t="str">
        <f>tblCategories!D13</f>
        <v>1.2.4) 8.¿Cuál es el grado de transparencia e inclusión en los procesos de licitación para el reciclaje?</v>
      </c>
      <c r="C21" s="6">
        <f>tblCategories!T13</f>
        <v>0</v>
      </c>
      <c r="D21" s="6">
        <v>1</v>
      </c>
      <c r="E21" s="6">
        <f t="shared" ca="1" si="0"/>
        <v>50</v>
      </c>
      <c r="F21" s="6">
        <f t="shared" si="1"/>
        <v>1</v>
      </c>
      <c r="G21" s="6">
        <f t="shared" ca="1" si="2"/>
        <v>0</v>
      </c>
      <c r="H21" s="6">
        <f t="shared" si="3"/>
        <v>0</v>
      </c>
      <c r="I21" s="6" t="e">
        <f t="shared" si="4"/>
        <v>#VALUE!</v>
      </c>
      <c r="J21" s="6">
        <f t="shared" si="5"/>
        <v>1</v>
      </c>
      <c r="K21" s="6" t="e">
        <f t="shared" si="6"/>
        <v>#VALUE!</v>
      </c>
      <c r="L21" s="6">
        <f t="shared" si="7"/>
        <v>1</v>
      </c>
      <c r="M21" s="6">
        <f t="shared" ca="1" si="8"/>
        <v>25</v>
      </c>
      <c r="N21" s="6"/>
      <c r="O21" s="6"/>
      <c r="P21" s="6"/>
      <c r="Q21" s="6" t="str">
        <f t="shared" si="9"/>
        <v/>
      </c>
      <c r="R21" s="6" t="str">
        <f>IF($C21=0,"",RANK(Q21,Q$11:Q$60,1)+COUNTIF(Q$11:Q21,Q21)-1)</f>
        <v/>
      </c>
      <c r="S21" s="6" t="str">
        <f t="shared" si="10"/>
        <v/>
      </c>
      <c r="T21" s="70" t="str">
        <f t="shared" si="11"/>
        <v/>
      </c>
      <c r="U21" s="70" t="str">
        <f t="shared" si="12"/>
        <v/>
      </c>
      <c r="V21" s="70">
        <f t="shared" si="13"/>
        <v>0</v>
      </c>
      <c r="W21" s="69" t="str">
        <f t="shared" si="22"/>
        <v/>
      </c>
      <c r="X21" s="6" t="str">
        <f t="shared" si="14"/>
        <v/>
      </c>
      <c r="Y21" s="6" t="str">
        <f t="shared" si="15"/>
        <v/>
      </c>
      <c r="Z21" s="6" t="str">
        <f t="shared" si="15"/>
        <v/>
      </c>
      <c r="AA21" s="6" t="str">
        <f t="shared" si="16"/>
        <v/>
      </c>
      <c r="AB21" s="6" t="str">
        <f t="shared" si="17"/>
        <v/>
      </c>
      <c r="AC21" s="6" t="str">
        <f t="shared" si="18"/>
        <v/>
      </c>
      <c r="AD21" s="6" t="str">
        <f t="shared" si="19"/>
        <v/>
      </c>
      <c r="AE21" s="6" t="str">
        <f t="shared" si="20"/>
        <v/>
      </c>
      <c r="AF21" s="6" t="str">
        <f t="shared" si="21"/>
        <v/>
      </c>
      <c r="AG21" s="6" t="str">
        <f t="shared" si="21"/>
        <v/>
      </c>
      <c r="AH21" s="6" t="str">
        <f>IF(T21="","",IF(ISERROR(INDEX(aRank,$S21+1,uxb_works!$B$25)),"",INDEX(aRank,$S21+1,uxb_works!$B$25)))</f>
        <v/>
      </c>
      <c r="AI21" s="6"/>
      <c r="AJ21" s="14" t="str">
        <f>IF(S21="","",INDEX(tblIndicators!$H$3:$H$66,iCCompSpider!S21))</f>
        <v/>
      </c>
      <c r="AK21" s="6" t="str">
        <f t="shared" si="23"/>
        <v/>
      </c>
      <c r="AL21" s="71" t="str">
        <f t="shared" si="24"/>
        <v/>
      </c>
      <c r="AM21" s="6"/>
      <c r="AN21" s="6"/>
      <c r="AO21" s="28" t="str">
        <f>IF(S21="","",INDEX(tblIndicators!$V$3:$V$52,iCCompSpider!S21))</f>
        <v/>
      </c>
    </row>
    <row r="22" spans="1:41" s="28" customFormat="1">
      <c r="A22" s="6">
        <f>tblCategories!A14</f>
        <v>12</v>
      </c>
      <c r="B22" s="6" t="str">
        <f>tblCategories!D14</f>
        <v>1.2.5) 9.¿La normativa/ estrategia municipal de residuos sólidos: fue desarrollada de manera participativa?</v>
      </c>
      <c r="C22" s="6">
        <f>tblCategories!T14</f>
        <v>0</v>
      </c>
      <c r="D22" s="6">
        <v>1</v>
      </c>
      <c r="E22" s="6">
        <f t="shared" ca="1" si="0"/>
        <v>100</v>
      </c>
      <c r="F22" s="6">
        <f t="shared" si="1"/>
        <v>2</v>
      </c>
      <c r="G22" s="6">
        <f t="shared" ca="1" si="2"/>
        <v>50</v>
      </c>
      <c r="H22" s="6">
        <f t="shared" si="3"/>
        <v>1</v>
      </c>
      <c r="I22" s="6" t="e">
        <f t="shared" si="4"/>
        <v>#VALUE!</v>
      </c>
      <c r="J22" s="6">
        <f t="shared" si="5"/>
        <v>2</v>
      </c>
      <c r="K22" s="6" t="e">
        <f t="shared" si="6"/>
        <v>#VALUE!</v>
      </c>
      <c r="L22" s="6">
        <f t="shared" si="7"/>
        <v>2</v>
      </c>
      <c r="M22" s="6">
        <f t="shared" ca="1" si="8"/>
        <v>45.833333333333336</v>
      </c>
      <c r="N22" s="6"/>
      <c r="O22" s="6"/>
      <c r="P22" s="6"/>
      <c r="Q22" s="6" t="str">
        <f t="shared" si="9"/>
        <v/>
      </c>
      <c r="R22" s="6" t="str">
        <f>IF($C22=0,"",RANK(Q22,Q$11:Q$60,1)+COUNTIF(Q$11:Q22,Q22)-1)</f>
        <v/>
      </c>
      <c r="S22" s="6" t="str">
        <f t="shared" si="10"/>
        <v/>
      </c>
      <c r="T22" s="70" t="str">
        <f t="shared" si="11"/>
        <v/>
      </c>
      <c r="U22" s="70" t="str">
        <f t="shared" si="12"/>
        <v/>
      </c>
      <c r="V22" s="70">
        <f t="shared" si="13"/>
        <v>0</v>
      </c>
      <c r="W22" s="69" t="str">
        <f t="shared" si="22"/>
        <v/>
      </c>
      <c r="X22" s="6" t="str">
        <f t="shared" si="14"/>
        <v/>
      </c>
      <c r="Y22" s="6" t="str">
        <f t="shared" si="15"/>
        <v/>
      </c>
      <c r="Z22" s="6" t="str">
        <f t="shared" si="15"/>
        <v/>
      </c>
      <c r="AA22" s="6" t="str">
        <f t="shared" si="16"/>
        <v/>
      </c>
      <c r="AB22" s="6" t="str">
        <f t="shared" si="17"/>
        <v/>
      </c>
      <c r="AC22" s="6" t="str">
        <f t="shared" si="18"/>
        <v/>
      </c>
      <c r="AD22" s="6" t="str">
        <f t="shared" si="19"/>
        <v/>
      </c>
      <c r="AE22" s="6" t="str">
        <f t="shared" si="20"/>
        <v/>
      </c>
      <c r="AF22" s="6" t="str">
        <f t="shared" si="21"/>
        <v/>
      </c>
      <c r="AG22" s="6" t="str">
        <f t="shared" si="21"/>
        <v/>
      </c>
      <c r="AH22" s="6" t="str">
        <f>IF(T22="","",IF(ISERROR(INDEX(aRank,$S22+1,uxb_works!$B$25)),"",INDEX(aRank,$S22+1,uxb_works!$B$25)))</f>
        <v/>
      </c>
      <c r="AI22" s="6"/>
      <c r="AJ22" s="14" t="str">
        <f>IF(S22="","",INDEX(tblIndicators!$H$3:$H$66,iCCompSpider!S22))</f>
        <v/>
      </c>
      <c r="AK22" s="6" t="str">
        <f t="shared" si="23"/>
        <v/>
      </c>
      <c r="AL22" s="71" t="str">
        <f t="shared" si="24"/>
        <v/>
      </c>
      <c r="AM22" s="6"/>
      <c r="AN22" s="6"/>
      <c r="AO22" s="28" t="str">
        <f>IF(S22="","",INDEX(tblIndicators!$V$3:$V$52,iCCompSpider!S22))</f>
        <v/>
      </c>
    </row>
    <row r="23" spans="1:41" s="28" customFormat="1">
      <c r="A23" s="6">
        <f>tblCategories!A15</f>
        <v>13</v>
      </c>
      <c r="B23" s="6" t="str">
        <f>tblCategories!D15</f>
        <v>1.2.6) 10.¿Hay programas de formación/capacitación a nivel municipal?</v>
      </c>
      <c r="C23" s="6">
        <f>tblCategories!T15</f>
        <v>0</v>
      </c>
      <c r="D23" s="6">
        <v>1</v>
      </c>
      <c r="E23" s="6">
        <f t="shared" ca="1" si="0"/>
        <v>0</v>
      </c>
      <c r="F23" s="6">
        <f t="shared" si="1"/>
        <v>0</v>
      </c>
      <c r="G23" s="6">
        <f t="shared" ca="1" si="2"/>
        <v>100</v>
      </c>
      <c r="H23" s="6">
        <f t="shared" si="3"/>
        <v>3</v>
      </c>
      <c r="I23" s="6" t="e">
        <f t="shared" si="4"/>
        <v>#VALUE!</v>
      </c>
      <c r="J23" s="6">
        <f t="shared" si="5"/>
        <v>0</v>
      </c>
      <c r="K23" s="6" t="e">
        <f t="shared" si="6"/>
        <v>#VALUE!</v>
      </c>
      <c r="L23" s="6">
        <f t="shared" si="7"/>
        <v>1</v>
      </c>
      <c r="M23" s="6">
        <f t="shared" ca="1" si="8"/>
        <v>49.991666666666674</v>
      </c>
      <c r="N23" s="6"/>
      <c r="O23" s="6"/>
      <c r="P23" s="6"/>
      <c r="Q23" s="6" t="str">
        <f t="shared" si="9"/>
        <v/>
      </c>
      <c r="R23" s="6" t="str">
        <f>IF($C23=0,"",RANK(Q23,Q$11:Q$60,1)+COUNTIF(Q$11:Q23,Q23)-1)</f>
        <v/>
      </c>
      <c r="S23" s="6" t="str">
        <f t="shared" si="10"/>
        <v/>
      </c>
      <c r="T23" s="70" t="str">
        <f t="shared" si="11"/>
        <v/>
      </c>
      <c r="U23" s="70" t="str">
        <f t="shared" si="12"/>
        <v/>
      </c>
      <c r="V23" s="70">
        <f t="shared" si="13"/>
        <v>0</v>
      </c>
      <c r="W23" s="69" t="str">
        <f t="shared" si="22"/>
        <v/>
      </c>
      <c r="X23" s="6" t="str">
        <f t="shared" si="14"/>
        <v/>
      </c>
      <c r="Y23" s="6" t="str">
        <f t="shared" si="15"/>
        <v/>
      </c>
      <c r="Z23" s="6" t="str">
        <f t="shared" si="15"/>
        <v/>
      </c>
      <c r="AA23" s="6" t="str">
        <f t="shared" si="16"/>
        <v/>
      </c>
      <c r="AB23" s="6" t="str">
        <f t="shared" si="17"/>
        <v/>
      </c>
      <c r="AC23" s="6" t="str">
        <f t="shared" si="18"/>
        <v/>
      </c>
      <c r="AD23" s="6" t="str">
        <f t="shared" si="19"/>
        <v/>
      </c>
      <c r="AE23" s="6" t="str">
        <f t="shared" si="20"/>
        <v/>
      </c>
      <c r="AF23" s="6" t="str">
        <f t="shared" si="21"/>
        <v/>
      </c>
      <c r="AG23" s="6" t="str">
        <f t="shared" si="21"/>
        <v/>
      </c>
      <c r="AH23" s="6" t="str">
        <f>IF(T23="","",IF(ISERROR(INDEX(aRank,$S23+1,uxb_works!$B$25)),"",INDEX(aRank,$S23+1,uxb_works!$B$25)))</f>
        <v/>
      </c>
      <c r="AI23" s="6"/>
      <c r="AJ23" s="14" t="str">
        <f>IF(S23="","",INDEX(tblIndicators!$H$3:$H$66,iCCompSpider!S23))</f>
        <v/>
      </c>
      <c r="AK23" s="6" t="str">
        <f t="shared" si="23"/>
        <v/>
      </c>
      <c r="AL23" s="71" t="str">
        <f t="shared" si="24"/>
        <v/>
      </c>
      <c r="AM23" s="6"/>
      <c r="AN23" s="6"/>
      <c r="AO23" s="28" t="str">
        <f>IF(S23="","",INDEX(tblIndicators!$V$3:$V$52,iCCompSpider!S23))</f>
        <v/>
      </c>
    </row>
    <row r="24" spans="1:41" s="28" customFormat="1">
      <c r="A24" s="6">
        <f>tblCategories!A16</f>
        <v>14</v>
      </c>
      <c r="B24" s="6" t="str">
        <f>tblCategories!D16</f>
        <v>1.2.7) 11.¿Existen incentivos, programas y/o acciones concretas para el fortalecimiento de la ocupación del reciclador de base?</v>
      </c>
      <c r="C24" s="6">
        <f>tblCategories!T16</f>
        <v>0</v>
      </c>
      <c r="D24" s="6">
        <v>1</v>
      </c>
      <c r="E24" s="6">
        <f t="shared" ca="1" si="0"/>
        <v>50</v>
      </c>
      <c r="F24" s="6">
        <f t="shared" si="1"/>
        <v>1</v>
      </c>
      <c r="G24" s="6">
        <f t="shared" ca="1" si="2"/>
        <v>50</v>
      </c>
      <c r="H24" s="6">
        <f t="shared" si="3"/>
        <v>1</v>
      </c>
      <c r="I24" s="6" t="e">
        <f t="shared" si="4"/>
        <v>#VALUE!</v>
      </c>
      <c r="J24" s="6">
        <f t="shared" si="5"/>
        <v>1</v>
      </c>
      <c r="K24" s="6" t="e">
        <f t="shared" si="6"/>
        <v>#VALUE!</v>
      </c>
      <c r="L24" s="6">
        <f t="shared" si="7"/>
        <v>2</v>
      </c>
      <c r="M24" s="6">
        <f t="shared" ca="1" si="8"/>
        <v>58.333333333333336</v>
      </c>
      <c r="N24" s="6"/>
      <c r="O24" s="6"/>
      <c r="P24" s="6"/>
      <c r="Q24" s="6" t="str">
        <f t="shared" si="9"/>
        <v/>
      </c>
      <c r="R24" s="6" t="str">
        <f>IF($C24=0,"",RANK(Q24,Q$11:Q$60,1)+COUNTIF(Q$11:Q24,Q24)-1)</f>
        <v/>
      </c>
      <c r="S24" s="6" t="str">
        <f t="shared" si="10"/>
        <v/>
      </c>
      <c r="T24" s="70" t="str">
        <f t="shared" si="11"/>
        <v/>
      </c>
      <c r="U24" s="70" t="str">
        <f t="shared" si="12"/>
        <v/>
      </c>
      <c r="V24" s="70">
        <f t="shared" si="13"/>
        <v>0</v>
      </c>
      <c r="W24" s="69" t="str">
        <f t="shared" si="22"/>
        <v/>
      </c>
      <c r="X24" s="6" t="str">
        <f t="shared" si="14"/>
        <v/>
      </c>
      <c r="Y24" s="6" t="str">
        <f t="shared" si="15"/>
        <v/>
      </c>
      <c r="Z24" s="6" t="str">
        <f t="shared" si="15"/>
        <v/>
      </c>
      <c r="AA24" s="6" t="str">
        <f t="shared" si="16"/>
        <v/>
      </c>
      <c r="AB24" s="6" t="str">
        <f t="shared" si="17"/>
        <v/>
      </c>
      <c r="AC24" s="6" t="str">
        <f t="shared" si="18"/>
        <v/>
      </c>
      <c r="AD24" s="6" t="str">
        <f t="shared" si="19"/>
        <v/>
      </c>
      <c r="AE24" s="6" t="str">
        <f t="shared" si="20"/>
        <v/>
      </c>
      <c r="AF24" s="6" t="str">
        <f t="shared" si="21"/>
        <v/>
      </c>
      <c r="AG24" s="6" t="str">
        <f t="shared" si="21"/>
        <v/>
      </c>
      <c r="AH24" s="6" t="str">
        <f>IF(T24="","",IF(ISERROR(INDEX(aRank,$S24+1,uxb_works!$B$25)),"",INDEX(aRank,$S24+1,uxb_works!$B$25)))</f>
        <v/>
      </c>
      <c r="AI24" s="6"/>
      <c r="AJ24" s="14" t="str">
        <f>IF(S24="","",INDEX(tblIndicators!$H$3:$H$66,iCCompSpider!S24))</f>
        <v/>
      </c>
      <c r="AK24" s="6" t="str">
        <f t="shared" si="23"/>
        <v/>
      </c>
      <c r="AL24" s="71" t="str">
        <f t="shared" si="24"/>
        <v/>
      </c>
      <c r="AM24" s="6"/>
      <c r="AN24" s="6"/>
      <c r="AO24" s="28" t="str">
        <f>IF(S24="","",INDEX(tblIndicators!$V$3:$V$52,iCCompSpider!S24))</f>
        <v/>
      </c>
    </row>
    <row r="25" spans="1:41" s="28" customFormat="1">
      <c r="A25" s="6">
        <f>tblCategories!A17</f>
        <v>15</v>
      </c>
      <c r="B25" s="6" t="str">
        <f>tblCategories!D17</f>
        <v xml:space="preserve">1.2.8) 12.¿Existen incentivos de reciclaje para los usuarios? </v>
      </c>
      <c r="C25" s="6">
        <f>tblCategories!T17</f>
        <v>0</v>
      </c>
      <c r="D25" s="6">
        <v>1</v>
      </c>
      <c r="E25" s="6">
        <f t="shared" ca="1" si="0"/>
        <v>0</v>
      </c>
      <c r="F25" s="6">
        <f t="shared" si="1"/>
        <v>0</v>
      </c>
      <c r="G25" s="6">
        <f t="shared" ca="1" si="2"/>
        <v>50</v>
      </c>
      <c r="H25" s="6">
        <f t="shared" si="3"/>
        <v>1</v>
      </c>
      <c r="I25" s="6" t="e">
        <f t="shared" si="4"/>
        <v>#VALUE!</v>
      </c>
      <c r="J25" s="6">
        <f t="shared" si="5"/>
        <v>0</v>
      </c>
      <c r="K25" s="6" t="e">
        <f t="shared" si="6"/>
        <v>#VALUE!</v>
      </c>
      <c r="L25" s="6">
        <f t="shared" si="7"/>
        <v>0</v>
      </c>
      <c r="M25" s="6">
        <f t="shared" ca="1" si="8"/>
        <v>20.833333333333332</v>
      </c>
      <c r="N25" s="6"/>
      <c r="O25" s="6"/>
      <c r="P25" s="6"/>
      <c r="Q25" s="6" t="str">
        <f t="shared" si="9"/>
        <v/>
      </c>
      <c r="R25" s="6" t="str">
        <f>IF($C25=0,"",RANK(Q25,Q$11:Q$60,1)+COUNTIF(Q$11:Q25,Q25)-1)</f>
        <v/>
      </c>
      <c r="S25" s="6" t="str">
        <f t="shared" si="10"/>
        <v/>
      </c>
      <c r="T25" s="70" t="str">
        <f t="shared" si="11"/>
        <v/>
      </c>
      <c r="U25" s="70" t="str">
        <f t="shared" si="12"/>
        <v/>
      </c>
      <c r="V25" s="70">
        <f t="shared" si="13"/>
        <v>0</v>
      </c>
      <c r="W25" s="69" t="str">
        <f t="shared" si="22"/>
        <v/>
      </c>
      <c r="X25" s="6" t="str">
        <f t="shared" si="14"/>
        <v/>
      </c>
      <c r="Y25" s="6" t="str">
        <f t="shared" si="15"/>
        <v/>
      </c>
      <c r="Z25" s="6" t="str">
        <f t="shared" si="15"/>
        <v/>
      </c>
      <c r="AA25" s="6" t="str">
        <f t="shared" si="16"/>
        <v/>
      </c>
      <c r="AB25" s="6" t="str">
        <f t="shared" si="17"/>
        <v/>
      </c>
      <c r="AC25" s="6" t="str">
        <f t="shared" si="18"/>
        <v/>
      </c>
      <c r="AD25" s="6" t="str">
        <f t="shared" si="19"/>
        <v/>
      </c>
      <c r="AE25" s="6" t="str">
        <f t="shared" si="20"/>
        <v/>
      </c>
      <c r="AF25" s="6" t="str">
        <f t="shared" si="21"/>
        <v/>
      </c>
      <c r="AG25" s="6" t="str">
        <f t="shared" si="21"/>
        <v/>
      </c>
      <c r="AH25" s="6" t="str">
        <f>IF(T25="","",IF(ISERROR(INDEX(aRank,$S25+1,uxb_works!$B$25)),"",INDEX(aRank,$S25+1,uxb_works!$B$25)))</f>
        <v/>
      </c>
      <c r="AI25" s="6"/>
      <c r="AJ25" s="14" t="str">
        <f>IF(S25="","",INDEX(tblIndicators!$H$3:$H$66,iCCompSpider!S25))</f>
        <v/>
      </c>
      <c r="AK25" s="6" t="str">
        <f t="shared" si="23"/>
        <v/>
      </c>
      <c r="AL25" s="71" t="str">
        <f t="shared" si="24"/>
        <v/>
      </c>
      <c r="AM25" s="6"/>
      <c r="AN25" s="6"/>
      <c r="AO25" s="28" t="str">
        <f>IF(S25="","",INDEX(tblIndicators!$V$3:$V$52,iCCompSpider!S25))</f>
        <v/>
      </c>
    </row>
    <row r="26" spans="1:41" s="28" customFormat="1">
      <c r="A26" s="6">
        <f>tblCategories!A18</f>
        <v>16</v>
      </c>
      <c r="B26" s="6" t="str">
        <f>tblCategories!D18</f>
        <v>1.3) Generación de información</v>
      </c>
      <c r="C26" s="6">
        <f>tblCategories!T18</f>
        <v>1</v>
      </c>
      <c r="D26" s="6">
        <v>1</v>
      </c>
      <c r="E26" s="6">
        <f t="shared" ca="1" si="0"/>
        <v>25</v>
      </c>
      <c r="F26" s="6" t="str">
        <f t="shared" si="1"/>
        <v/>
      </c>
      <c r="G26" s="6">
        <f t="shared" ca="1" si="2"/>
        <v>25</v>
      </c>
      <c r="H26" s="6" t="str">
        <f t="shared" si="3"/>
        <v/>
      </c>
      <c r="I26" s="6" t="e">
        <f t="shared" si="4"/>
        <v>#VALUE!</v>
      </c>
      <c r="J26" s="6" t="str">
        <f t="shared" si="5"/>
        <v/>
      </c>
      <c r="K26" s="6" t="e">
        <f t="shared" si="6"/>
        <v>#VALUE!</v>
      </c>
      <c r="L26" s="6" t="str">
        <f t="shared" si="7"/>
        <v/>
      </c>
      <c r="M26" s="6">
        <f t="shared" ca="1" si="8"/>
        <v>31.25</v>
      </c>
      <c r="N26" s="6"/>
      <c r="O26" s="6"/>
      <c r="P26" s="6"/>
      <c r="Q26" s="6">
        <f t="shared" si="9"/>
        <v>1</v>
      </c>
      <c r="R26" s="6">
        <f>IF($C26=0,"",RANK(Q26,Q$11:Q$60,1)+COUNTIF(Q$11:Q26,Q26)-1)</f>
        <v>3</v>
      </c>
      <c r="S26" s="6" t="str">
        <f t="shared" si="10"/>
        <v/>
      </c>
      <c r="T26" s="70" t="str">
        <f t="shared" si="11"/>
        <v/>
      </c>
      <c r="U26" s="70" t="str">
        <f t="shared" si="12"/>
        <v/>
      </c>
      <c r="V26" s="70">
        <f t="shared" si="13"/>
        <v>0</v>
      </c>
      <c r="W26" s="69" t="str">
        <f t="shared" si="22"/>
        <v/>
      </c>
      <c r="X26" s="6" t="str">
        <f t="shared" si="14"/>
        <v/>
      </c>
      <c r="Y26" s="6" t="str">
        <f t="shared" si="15"/>
        <v/>
      </c>
      <c r="Z26" s="6" t="str">
        <f t="shared" si="15"/>
        <v/>
      </c>
      <c r="AA26" s="6" t="str">
        <f t="shared" si="16"/>
        <v/>
      </c>
      <c r="AB26" s="6" t="str">
        <f t="shared" si="17"/>
        <v/>
      </c>
      <c r="AC26" s="6" t="str">
        <f t="shared" si="18"/>
        <v/>
      </c>
      <c r="AD26" s="6" t="str">
        <f t="shared" si="19"/>
        <v/>
      </c>
      <c r="AE26" s="6" t="str">
        <f t="shared" si="20"/>
        <v/>
      </c>
      <c r="AF26" s="6" t="str">
        <f t="shared" si="21"/>
        <v/>
      </c>
      <c r="AG26" s="6" t="str">
        <f t="shared" si="21"/>
        <v/>
      </c>
      <c r="AH26" s="6" t="str">
        <f>IF(T26="","",IF(ISERROR(INDEX(aRank,$S26+1,uxb_works!$B$25)),"",INDEX(aRank,$S26+1,uxb_works!$B$25)))</f>
        <v/>
      </c>
      <c r="AI26" s="6"/>
      <c r="AJ26" s="14" t="str">
        <f>IF(S26="","",INDEX(tblIndicators!$H$3:$H$66,iCCompSpider!S26))</f>
        <v/>
      </c>
      <c r="AK26" s="6" t="str">
        <f t="shared" si="23"/>
        <v/>
      </c>
      <c r="AL26" s="71" t="str">
        <f t="shared" si="24"/>
        <v/>
      </c>
      <c r="AM26" s="6"/>
      <c r="AN26" s="6"/>
      <c r="AO26" s="28" t="str">
        <f>IF(S26="","",INDEX(tblIndicators!$V$3:$V$52,iCCompSpider!S26))</f>
        <v/>
      </c>
    </row>
    <row r="27" spans="1:41" s="28" customFormat="1">
      <c r="A27" s="6">
        <f>tblCategories!A19</f>
        <v>17</v>
      </c>
      <c r="B27" s="6" t="str">
        <f>tblCategories!D19</f>
        <v>1.3.1) 13.¿Hay un sistema municipal de recolección de información de reciclaje inclusivo?</v>
      </c>
      <c r="C27" s="6">
        <f>tblCategories!T19</f>
        <v>0</v>
      </c>
      <c r="D27" s="6">
        <v>1</v>
      </c>
      <c r="E27" s="6">
        <f t="shared" ca="1" si="0"/>
        <v>0</v>
      </c>
      <c r="F27" s="6">
        <f t="shared" si="1"/>
        <v>0</v>
      </c>
      <c r="G27" s="6">
        <f t="shared" ca="1" si="2"/>
        <v>0</v>
      </c>
      <c r="H27" s="6">
        <f t="shared" si="3"/>
        <v>0</v>
      </c>
      <c r="I27" s="6" t="e">
        <f t="shared" si="4"/>
        <v>#VALUE!</v>
      </c>
      <c r="J27" s="6">
        <f t="shared" si="5"/>
        <v>0</v>
      </c>
      <c r="K27" s="6" t="e">
        <f t="shared" si="6"/>
        <v>#VALUE!</v>
      </c>
      <c r="L27" s="6">
        <f t="shared" si="7"/>
        <v>0</v>
      </c>
      <c r="M27" s="6">
        <f t="shared" ca="1" si="8"/>
        <v>12.5</v>
      </c>
      <c r="N27" s="6"/>
      <c r="O27" s="6"/>
      <c r="P27" s="6"/>
      <c r="Q27" s="6" t="str">
        <f t="shared" si="9"/>
        <v/>
      </c>
      <c r="R27" s="6" t="str">
        <f>IF($C27=0,"",RANK(Q27,Q$11:Q$60,1)+COUNTIF(Q$11:Q27,Q27)-1)</f>
        <v/>
      </c>
      <c r="S27" s="6" t="str">
        <f t="shared" si="10"/>
        <v/>
      </c>
      <c r="T27" s="70" t="str">
        <f t="shared" si="11"/>
        <v/>
      </c>
      <c r="U27" s="70" t="str">
        <f t="shared" si="12"/>
        <v/>
      </c>
      <c r="V27" s="70">
        <f t="shared" si="13"/>
        <v>0</v>
      </c>
      <c r="W27" s="69" t="str">
        <f t="shared" si="22"/>
        <v/>
      </c>
      <c r="X27" s="6" t="str">
        <f t="shared" si="14"/>
        <v/>
      </c>
      <c r="Y27" s="6" t="str">
        <f t="shared" si="15"/>
        <v/>
      </c>
      <c r="Z27" s="6" t="str">
        <f t="shared" si="15"/>
        <v/>
      </c>
      <c r="AA27" s="6" t="str">
        <f t="shared" si="16"/>
        <v/>
      </c>
      <c r="AB27" s="6" t="str">
        <f t="shared" si="17"/>
        <v/>
      </c>
      <c r="AC27" s="6" t="str">
        <f t="shared" si="18"/>
        <v/>
      </c>
      <c r="AD27" s="6" t="str">
        <f t="shared" si="19"/>
        <v/>
      </c>
      <c r="AE27" s="6" t="str">
        <f t="shared" si="20"/>
        <v/>
      </c>
      <c r="AF27" s="6" t="str">
        <f t="shared" si="21"/>
        <v/>
      </c>
      <c r="AG27" s="6" t="str">
        <f t="shared" si="21"/>
        <v/>
      </c>
      <c r="AH27" s="6" t="str">
        <f>IF(T27="","",IF(ISERROR(INDEX(aRank,$S27+1,uxb_works!$B$25)),"",INDEX(aRank,$S27+1,uxb_works!$B$25)))</f>
        <v/>
      </c>
      <c r="AI27" s="6"/>
      <c r="AJ27" s="14" t="str">
        <f>IF(S27="","",INDEX(tblIndicators!$H$3:$H$66,iCCompSpider!S27))</f>
        <v/>
      </c>
      <c r="AK27" s="6" t="str">
        <f t="shared" si="23"/>
        <v/>
      </c>
      <c r="AL27" s="71" t="str">
        <f t="shared" si="24"/>
        <v/>
      </c>
      <c r="AM27" s="6"/>
      <c r="AN27" s="6"/>
      <c r="AO27" s="28" t="str">
        <f>IF(S27="","",INDEX(tblIndicators!$V$3:$V$52,iCCompSpider!S27))</f>
        <v/>
      </c>
    </row>
    <row r="28" spans="1:41" s="28" customFormat="1">
      <c r="A28" s="6">
        <f>tblCategories!A20</f>
        <v>18</v>
      </c>
      <c r="B28" s="6" t="str">
        <f>tblCategories!D20</f>
        <v>1.3.2) 14.¿Hay campañas de comunicación para fomentar el reciclaje inclusivo con difusión en el municipio?</v>
      </c>
      <c r="C28" s="6">
        <f>tblCategories!T20</f>
        <v>0</v>
      </c>
      <c r="D28" s="6">
        <v>1</v>
      </c>
      <c r="E28" s="6">
        <f t="shared" ca="1" si="0"/>
        <v>50</v>
      </c>
      <c r="F28" s="6">
        <f t="shared" si="1"/>
        <v>1</v>
      </c>
      <c r="G28" s="6">
        <f t="shared" ca="1" si="2"/>
        <v>50</v>
      </c>
      <c r="H28" s="6">
        <f t="shared" si="3"/>
        <v>1</v>
      </c>
      <c r="I28" s="6" t="e">
        <f t="shared" si="4"/>
        <v>#VALUE!</v>
      </c>
      <c r="J28" s="6">
        <f t="shared" si="5"/>
        <v>1</v>
      </c>
      <c r="K28" s="6" t="e">
        <f t="shared" si="6"/>
        <v>#VALUE!</v>
      </c>
      <c r="L28" s="6">
        <f t="shared" si="7"/>
        <v>1</v>
      </c>
      <c r="M28" s="6">
        <f t="shared" ca="1" si="8"/>
        <v>50</v>
      </c>
      <c r="N28" s="6"/>
      <c r="O28" s="6"/>
      <c r="P28" s="6"/>
      <c r="Q28" s="6" t="str">
        <f t="shared" si="9"/>
        <v/>
      </c>
      <c r="R28" s="6" t="str">
        <f>IF($C28=0,"",RANK(Q28,Q$11:Q$60,1)+COUNTIF(Q$11:Q28,Q28)-1)</f>
        <v/>
      </c>
      <c r="S28" s="6" t="str">
        <f t="shared" si="10"/>
        <v/>
      </c>
      <c r="T28" s="70" t="str">
        <f t="shared" si="11"/>
        <v/>
      </c>
      <c r="U28" s="70" t="str">
        <f t="shared" si="12"/>
        <v/>
      </c>
      <c r="V28" s="70">
        <f t="shared" si="13"/>
        <v>0</v>
      </c>
      <c r="W28" s="69" t="str">
        <f t="shared" si="22"/>
        <v/>
      </c>
      <c r="X28" s="6" t="str">
        <f t="shared" si="14"/>
        <v/>
      </c>
      <c r="Y28" s="6" t="str">
        <f t="shared" si="15"/>
        <v/>
      </c>
      <c r="Z28" s="6" t="str">
        <f t="shared" si="15"/>
        <v/>
      </c>
      <c r="AA28" s="6" t="str">
        <f t="shared" si="16"/>
        <v/>
      </c>
      <c r="AB28" s="6" t="str">
        <f t="shared" si="17"/>
        <v/>
      </c>
      <c r="AC28" s="6" t="str">
        <f t="shared" si="18"/>
        <v/>
      </c>
      <c r="AD28" s="6" t="str">
        <f t="shared" si="19"/>
        <v/>
      </c>
      <c r="AE28" s="6" t="str">
        <f t="shared" si="20"/>
        <v/>
      </c>
      <c r="AF28" s="6" t="str">
        <f t="shared" si="21"/>
        <v/>
      </c>
      <c r="AG28" s="6" t="str">
        <f t="shared" si="21"/>
        <v/>
      </c>
      <c r="AH28" s="6" t="str">
        <f>IF(T28="","",IF(ISERROR(INDEX(aRank,$S28+1,uxb_works!$B$25)),"",INDEX(aRank,$S28+1,uxb_works!$B$25)))</f>
        <v/>
      </c>
      <c r="AI28" s="6"/>
      <c r="AJ28" s="14" t="str">
        <f>IF(S28="","",INDEX(tblIndicators!$H$3:$H$66,iCCompSpider!S28))</f>
        <v/>
      </c>
      <c r="AK28" s="6" t="str">
        <f t="shared" si="23"/>
        <v/>
      </c>
      <c r="AL28" s="71" t="str">
        <f t="shared" si="24"/>
        <v/>
      </c>
      <c r="AM28" s="6"/>
      <c r="AN28" s="6"/>
      <c r="AO28" s="28" t="str">
        <f>IF(S28="","",INDEX(tblIndicators!$V$3:$V$52,iCCompSpider!S28))</f>
        <v/>
      </c>
    </row>
    <row r="29" spans="1:41" s="28" customFormat="1">
      <c r="A29" s="6">
        <f>tblCategories!A21</f>
        <v>19</v>
      </c>
      <c r="B29" s="6" t="str">
        <f>tblCategories!D21</f>
        <v>1.4) Salud pública y el medioambiente</v>
      </c>
      <c r="C29" s="6">
        <f>tblCategories!T21</f>
        <v>1</v>
      </c>
      <c r="D29" s="6">
        <v>1</v>
      </c>
      <c r="E29" s="6">
        <f t="shared" ca="1" si="0"/>
        <v>50</v>
      </c>
      <c r="F29" s="6" t="str">
        <f t="shared" si="1"/>
        <v/>
      </c>
      <c r="G29" s="6">
        <f t="shared" ca="1" si="2"/>
        <v>50</v>
      </c>
      <c r="H29" s="6" t="str">
        <f t="shared" si="3"/>
        <v/>
      </c>
      <c r="I29" s="6" t="e">
        <f t="shared" si="4"/>
        <v>#VALUE!</v>
      </c>
      <c r="J29" s="6" t="str">
        <f t="shared" si="5"/>
        <v/>
      </c>
      <c r="K29" s="6" t="e">
        <f t="shared" si="6"/>
        <v>#VALUE!</v>
      </c>
      <c r="L29" s="6" t="str">
        <f t="shared" si="7"/>
        <v/>
      </c>
      <c r="M29" s="6">
        <f t="shared" ca="1" si="8"/>
        <v>66.666666666666671</v>
      </c>
      <c r="N29" s="6"/>
      <c r="O29" s="6"/>
      <c r="P29" s="6"/>
      <c r="Q29" s="6">
        <f t="shared" si="9"/>
        <v>1</v>
      </c>
      <c r="R29" s="6">
        <f>IF($C29=0,"",RANK(Q29,Q$11:Q$60,1)+COUNTIF(Q$11:Q29,Q29)-1)</f>
        <v>4</v>
      </c>
      <c r="S29" s="6" t="str">
        <f t="shared" si="10"/>
        <v/>
      </c>
      <c r="T29" s="70" t="str">
        <f t="shared" si="11"/>
        <v/>
      </c>
      <c r="U29" s="70" t="str">
        <f t="shared" si="12"/>
        <v/>
      </c>
      <c r="V29" s="70">
        <f t="shared" si="13"/>
        <v>0</v>
      </c>
      <c r="W29" s="69" t="str">
        <f t="shared" si="22"/>
        <v/>
      </c>
      <c r="X29" s="6" t="str">
        <f t="shared" si="14"/>
        <v/>
      </c>
      <c r="Y29" s="6" t="str">
        <f t="shared" si="15"/>
        <v/>
      </c>
      <c r="Z29" s="6" t="str">
        <f t="shared" si="15"/>
        <v/>
      </c>
      <c r="AA29" s="6" t="str">
        <f t="shared" si="16"/>
        <v/>
      </c>
      <c r="AB29" s="6" t="str">
        <f t="shared" si="17"/>
        <v/>
      </c>
      <c r="AC29" s="6" t="str">
        <f t="shared" si="18"/>
        <v/>
      </c>
      <c r="AD29" s="6" t="str">
        <f t="shared" si="19"/>
        <v/>
      </c>
      <c r="AE29" s="6" t="str">
        <f t="shared" si="20"/>
        <v/>
      </c>
      <c r="AF29" s="6" t="str">
        <f t="shared" si="21"/>
        <v/>
      </c>
      <c r="AG29" s="6" t="str">
        <f t="shared" si="21"/>
        <v/>
      </c>
      <c r="AH29" s="6" t="str">
        <f>IF(T29="","",IF(ISERROR(INDEX(aRank,$S29+1,uxb_works!$B$25)),"",INDEX(aRank,$S29+1,uxb_works!$B$25)))</f>
        <v/>
      </c>
      <c r="AI29" s="6"/>
      <c r="AJ29" s="14" t="str">
        <f>IF(S29="","",INDEX(tblIndicators!$H$3:$H$66,iCCompSpider!S29))</f>
        <v/>
      </c>
      <c r="AK29" s="6" t="str">
        <f t="shared" si="23"/>
        <v/>
      </c>
      <c r="AL29" s="71" t="str">
        <f t="shared" si="24"/>
        <v/>
      </c>
      <c r="AM29" s="6"/>
      <c r="AN29" s="6"/>
      <c r="AO29" s="28" t="str">
        <f>IF(S29="","",INDEX(tblIndicators!$V$3:$V$52,iCCompSpider!S29))</f>
        <v/>
      </c>
    </row>
    <row r="30" spans="1:41" s="28" customFormat="1">
      <c r="A30" s="6">
        <f>tblCategories!A22</f>
        <v>20</v>
      </c>
      <c r="B30" s="6" t="str">
        <f>tblCategories!D22</f>
        <v>1.4.1) 15.¿Existe adecuada regulación y control sobre clasificación y manejo de desechos especiales y/o  peligrosos y sobre clasificación en la calle?</v>
      </c>
      <c r="C30" s="6">
        <f>tblCategories!T22</f>
        <v>0</v>
      </c>
      <c r="D30" s="6">
        <v>1</v>
      </c>
      <c r="E30" s="6">
        <f t="shared" ca="1" si="0"/>
        <v>50</v>
      </c>
      <c r="F30" s="6">
        <f t="shared" si="1"/>
        <v>1</v>
      </c>
      <c r="G30" s="6">
        <f t="shared" ca="1" si="2"/>
        <v>50</v>
      </c>
      <c r="H30" s="6">
        <f t="shared" si="3"/>
        <v>1</v>
      </c>
      <c r="I30" s="6" t="e">
        <f t="shared" si="4"/>
        <v>#VALUE!</v>
      </c>
      <c r="J30" s="6">
        <f t="shared" si="5"/>
        <v>1</v>
      </c>
      <c r="K30" s="6" t="e">
        <f t="shared" si="6"/>
        <v>#VALUE!</v>
      </c>
      <c r="L30" s="6">
        <f t="shared" si="7"/>
        <v>2</v>
      </c>
      <c r="M30" s="6">
        <f t="shared" ca="1" si="8"/>
        <v>66.666666666666671</v>
      </c>
      <c r="N30" s="6"/>
      <c r="O30" s="6"/>
      <c r="P30" s="6"/>
      <c r="Q30" s="6" t="str">
        <f t="shared" si="9"/>
        <v/>
      </c>
      <c r="R30" s="6" t="str">
        <f>IF($C30=0,"",RANK(Q30,Q$11:Q$60,1)+COUNTIF(Q$11:Q30,Q30)-1)</f>
        <v/>
      </c>
      <c r="S30" s="6" t="str">
        <f t="shared" si="10"/>
        <v/>
      </c>
      <c r="T30" s="70" t="str">
        <f t="shared" si="11"/>
        <v/>
      </c>
      <c r="U30" s="70" t="str">
        <f t="shared" si="12"/>
        <v/>
      </c>
      <c r="V30" s="70">
        <f t="shared" si="13"/>
        <v>0</v>
      </c>
      <c r="W30" s="69" t="str">
        <f t="shared" si="22"/>
        <v/>
      </c>
      <c r="X30" s="6" t="str">
        <f t="shared" si="14"/>
        <v/>
      </c>
      <c r="Y30" s="6" t="str">
        <f t="shared" si="15"/>
        <v/>
      </c>
      <c r="Z30" s="6" t="str">
        <f t="shared" si="15"/>
        <v/>
      </c>
      <c r="AA30" s="6" t="str">
        <f t="shared" si="16"/>
        <v/>
      </c>
      <c r="AB30" s="6" t="str">
        <f t="shared" si="17"/>
        <v/>
      </c>
      <c r="AC30" s="6" t="str">
        <f t="shared" si="18"/>
        <v/>
      </c>
      <c r="AD30" s="6" t="str">
        <f t="shared" si="19"/>
        <v/>
      </c>
      <c r="AE30" s="6" t="str">
        <f t="shared" si="20"/>
        <v/>
      </c>
      <c r="AF30" s="6" t="str">
        <f t="shared" si="21"/>
        <v/>
      </c>
      <c r="AG30" s="6" t="str">
        <f t="shared" si="21"/>
        <v/>
      </c>
      <c r="AH30" s="6" t="str">
        <f>IF(T30="","",IF(ISERROR(INDEX(aRank,$S30+1,uxb_works!$B$25)),"",INDEX(aRank,$S30+1,uxb_works!$B$25)))</f>
        <v/>
      </c>
      <c r="AI30" s="6"/>
      <c r="AJ30" s="14" t="str">
        <f>IF(S30="","",INDEX(tblIndicators!$H$3:$H$66,iCCompSpider!S30))</f>
        <v/>
      </c>
      <c r="AK30" s="6" t="str">
        <f t="shared" si="23"/>
        <v/>
      </c>
      <c r="AL30" s="71" t="str">
        <f t="shared" si="24"/>
        <v/>
      </c>
      <c r="AM30" s="6"/>
      <c r="AN30" s="6"/>
      <c r="AO30" s="28" t="str">
        <f>IF(S30="","",INDEX(tblIndicators!$V$3:$V$52,iCCompSpider!S30))</f>
        <v/>
      </c>
    </row>
    <row r="31" spans="1:41" s="28" customFormat="1">
      <c r="A31" s="6">
        <f>tblCategories!A23</f>
        <v>21</v>
      </c>
      <c r="B31" s="6" t="str">
        <f>tblCategories!D23</f>
        <v>2) ORGANIZATIVA</v>
      </c>
      <c r="C31" s="6">
        <f>tblCategories!T23</f>
        <v>0</v>
      </c>
      <c r="D31" s="6">
        <v>1</v>
      </c>
      <c r="E31" s="6">
        <f t="shared" ca="1" si="0"/>
        <v>28.333333333333332</v>
      </c>
      <c r="F31" s="6" t="str">
        <f t="shared" si="1"/>
        <v/>
      </c>
      <c r="G31" s="6">
        <f t="shared" ca="1" si="2"/>
        <v>34.444444444444443</v>
      </c>
      <c r="H31" s="6" t="str">
        <f t="shared" si="3"/>
        <v/>
      </c>
      <c r="I31" s="6" t="e">
        <f t="shared" si="4"/>
        <v>#VALUE!</v>
      </c>
      <c r="J31" s="6" t="str">
        <f t="shared" si="5"/>
        <v/>
      </c>
      <c r="K31" s="6" t="e">
        <f t="shared" si="6"/>
        <v>#VALUE!</v>
      </c>
      <c r="L31" s="6" t="str">
        <f t="shared" si="7"/>
        <v/>
      </c>
      <c r="M31" s="6">
        <f t="shared" ca="1" si="8"/>
        <v>42.174999999999997</v>
      </c>
      <c r="N31" s="6"/>
      <c r="O31" s="6"/>
      <c r="P31" s="6"/>
      <c r="Q31" s="6" t="str">
        <f t="shared" si="9"/>
        <v/>
      </c>
      <c r="R31" s="6" t="str">
        <f>IF($C31=0,"",RANK(Q31,Q$11:Q$60,1)+COUNTIF(Q$11:Q31,Q31)-1)</f>
        <v/>
      </c>
      <c r="S31" s="6" t="str">
        <f t="shared" si="10"/>
        <v/>
      </c>
      <c r="T31" s="70" t="str">
        <f t="shared" si="11"/>
        <v/>
      </c>
      <c r="U31" s="70" t="str">
        <f t="shared" si="12"/>
        <v/>
      </c>
      <c r="V31" s="70">
        <f t="shared" si="13"/>
        <v>0</v>
      </c>
      <c r="W31" s="69" t="str">
        <f t="shared" si="22"/>
        <v/>
      </c>
      <c r="X31" s="6" t="str">
        <f t="shared" si="14"/>
        <v/>
      </c>
      <c r="Y31" s="6" t="str">
        <f t="shared" ref="Y31:Z50" si="25">IF($S31="","",INDEX($E$11:$O$60,$S31,Y$9))</f>
        <v/>
      </c>
      <c r="Z31" s="6" t="str">
        <f t="shared" si="25"/>
        <v/>
      </c>
      <c r="AA31" s="6" t="str">
        <f t="shared" si="16"/>
        <v/>
      </c>
      <c r="AB31" s="6" t="str">
        <f t="shared" si="17"/>
        <v/>
      </c>
      <c r="AC31" s="6" t="str">
        <f t="shared" si="18"/>
        <v/>
      </c>
      <c r="AD31" s="6" t="str">
        <f t="shared" si="19"/>
        <v/>
      </c>
      <c r="AE31" s="6" t="str">
        <f t="shared" si="20"/>
        <v/>
      </c>
      <c r="AF31" s="6" t="str">
        <f t="shared" ref="AF31:AG50" si="26">IF($S31="","",INDEX($E$11:$O$60,$S31,AF$9))</f>
        <v/>
      </c>
      <c r="AG31" s="6" t="str">
        <f t="shared" si="26"/>
        <v/>
      </c>
      <c r="AH31" s="6" t="str">
        <f>IF(T31="","",IF(ISERROR(INDEX(aRank,$S31+1,uxb_works!$B$25)),"",INDEX(aRank,$S31+1,uxb_works!$B$25)))</f>
        <v/>
      </c>
      <c r="AI31" s="6"/>
      <c r="AJ31" s="14" t="str">
        <f>IF(S31="","",INDEX(tblIndicators!$H$3:$H$66,iCCompSpider!S31))</f>
        <v/>
      </c>
      <c r="AK31" s="6" t="str">
        <f t="shared" si="23"/>
        <v/>
      </c>
      <c r="AL31" s="71" t="str">
        <f t="shared" si="24"/>
        <v/>
      </c>
      <c r="AM31" s="6"/>
      <c r="AN31" s="6"/>
      <c r="AO31" s="28" t="str">
        <f>IF(S31="","",INDEX(tblIndicators!$V$3:$V$52,iCCompSpider!S31))</f>
        <v/>
      </c>
    </row>
    <row r="32" spans="1:41" s="28" customFormat="1">
      <c r="A32" s="6">
        <f>tblCategories!A24</f>
        <v>22</v>
      </c>
      <c r="B32" s="6" t="str">
        <f>tblCategories!D24</f>
        <v>2.1) Asociatividad</v>
      </c>
      <c r="C32" s="6">
        <f>tblCategories!T24</f>
        <v>0</v>
      </c>
      <c r="D32" s="6">
        <v>1</v>
      </c>
      <c r="E32" s="6">
        <f t="shared" ca="1" si="0"/>
        <v>40</v>
      </c>
      <c r="F32" s="6" t="str">
        <f t="shared" si="1"/>
        <v/>
      </c>
      <c r="G32" s="6">
        <f t="shared" ca="1" si="2"/>
        <v>30</v>
      </c>
      <c r="H32" s="6" t="str">
        <f t="shared" si="3"/>
        <v/>
      </c>
      <c r="I32" s="6" t="e">
        <f t="shared" si="4"/>
        <v>#VALUE!</v>
      </c>
      <c r="J32" s="6" t="str">
        <f t="shared" si="5"/>
        <v/>
      </c>
      <c r="K32" s="6" t="e">
        <f t="shared" si="6"/>
        <v>#VALUE!</v>
      </c>
      <c r="L32" s="6" t="str">
        <f t="shared" si="7"/>
        <v/>
      </c>
      <c r="M32" s="6">
        <f t="shared" ca="1" si="8"/>
        <v>49.166666666666664</v>
      </c>
      <c r="N32" s="6"/>
      <c r="O32" s="6"/>
      <c r="P32" s="6"/>
      <c r="Q32" s="6" t="str">
        <f t="shared" si="9"/>
        <v/>
      </c>
      <c r="R32" s="6" t="str">
        <f>IF($C32=0,"",RANK(Q32,Q$11:Q$60,1)+COUNTIF(Q$11:Q32,Q32)-1)</f>
        <v/>
      </c>
      <c r="S32" s="6" t="str">
        <f t="shared" si="10"/>
        <v/>
      </c>
      <c r="T32" s="70" t="str">
        <f t="shared" si="11"/>
        <v/>
      </c>
      <c r="U32" s="70" t="str">
        <f t="shared" si="12"/>
        <v/>
      </c>
      <c r="V32" s="70">
        <f t="shared" si="13"/>
        <v>0</v>
      </c>
      <c r="W32" s="69" t="str">
        <f t="shared" si="22"/>
        <v/>
      </c>
      <c r="X32" s="6" t="str">
        <f t="shared" si="14"/>
        <v/>
      </c>
      <c r="Y32" s="6" t="str">
        <f t="shared" si="25"/>
        <v/>
      </c>
      <c r="Z32" s="6" t="str">
        <f t="shared" si="25"/>
        <v/>
      </c>
      <c r="AA32" s="6" t="str">
        <f t="shared" si="16"/>
        <v/>
      </c>
      <c r="AB32" s="6" t="str">
        <f t="shared" si="17"/>
        <v/>
      </c>
      <c r="AC32" s="6" t="str">
        <f t="shared" si="18"/>
        <v/>
      </c>
      <c r="AD32" s="6" t="str">
        <f t="shared" si="19"/>
        <v/>
      </c>
      <c r="AE32" s="6" t="str">
        <f t="shared" si="20"/>
        <v/>
      </c>
      <c r="AF32" s="6" t="str">
        <f t="shared" si="26"/>
        <v/>
      </c>
      <c r="AG32" s="6" t="str">
        <f t="shared" si="26"/>
        <v/>
      </c>
      <c r="AH32" s="6" t="str">
        <f>IF(T32="","",IF(ISERROR(INDEX(aRank,$S32+1,uxb_works!$B$25)),"",INDEX(aRank,$S32+1,uxb_works!$B$25)))</f>
        <v/>
      </c>
      <c r="AI32" s="6"/>
      <c r="AJ32" s="14" t="str">
        <f>IF(S32="","",INDEX(tblIndicators!$H$3:$H$66,iCCompSpider!S32))</f>
        <v/>
      </c>
      <c r="AK32" s="6" t="str">
        <f t="shared" si="23"/>
        <v/>
      </c>
      <c r="AL32" s="71" t="str">
        <f t="shared" si="24"/>
        <v/>
      </c>
      <c r="AM32" s="6"/>
      <c r="AN32" s="6"/>
      <c r="AO32" s="28" t="str">
        <f>IF(S32="","",INDEX(tblIndicators!$V$3:$V$52,iCCompSpider!S32))</f>
        <v/>
      </c>
    </row>
    <row r="33" spans="1:41" s="28" customFormat="1">
      <c r="A33" s="6">
        <f>tblCategories!A25</f>
        <v>23</v>
      </c>
      <c r="B33" s="6" t="str">
        <f>tblCategories!D25</f>
        <v>2.1.1) 16.¿Cuán dinámicas son las asociaciones?</v>
      </c>
      <c r="C33" s="6">
        <f>tblCategories!T25</f>
        <v>0</v>
      </c>
      <c r="D33" s="6">
        <v>1</v>
      </c>
      <c r="E33" s="6">
        <f t="shared" ca="1" si="0"/>
        <v>100</v>
      </c>
      <c r="F33" s="6">
        <f t="shared" si="1"/>
        <v>2</v>
      </c>
      <c r="G33" s="6">
        <f t="shared" ca="1" si="2"/>
        <v>0</v>
      </c>
      <c r="H33" s="6">
        <f t="shared" si="3"/>
        <v>0</v>
      </c>
      <c r="I33" s="6" t="e">
        <f t="shared" si="4"/>
        <v>#VALUE!</v>
      </c>
      <c r="J33" s="6">
        <f t="shared" si="5"/>
        <v>2</v>
      </c>
      <c r="K33" s="6" t="e">
        <f t="shared" si="6"/>
        <v>#VALUE!</v>
      </c>
      <c r="L33" s="6">
        <f t="shared" si="7"/>
        <v>1</v>
      </c>
      <c r="M33" s="6">
        <f t="shared" ca="1" si="8"/>
        <v>41.666666666666664</v>
      </c>
      <c r="N33" s="6"/>
      <c r="O33" s="6"/>
      <c r="P33" s="6"/>
      <c r="Q33" s="6" t="str">
        <f t="shared" si="9"/>
        <v/>
      </c>
      <c r="R33" s="6" t="str">
        <f>IF($C33=0,"",RANK(Q33,Q$11:Q$60,1)+COUNTIF(Q$11:Q33,Q33)-1)</f>
        <v/>
      </c>
      <c r="S33" s="6" t="str">
        <f t="shared" si="10"/>
        <v/>
      </c>
      <c r="T33" s="70" t="str">
        <f t="shared" si="11"/>
        <v/>
      </c>
      <c r="U33" s="70" t="str">
        <f t="shared" si="12"/>
        <v/>
      </c>
      <c r="V33" s="70">
        <f t="shared" si="13"/>
        <v>0</v>
      </c>
      <c r="W33" s="69" t="str">
        <f t="shared" si="22"/>
        <v/>
      </c>
      <c r="X33" s="6" t="str">
        <f t="shared" si="14"/>
        <v/>
      </c>
      <c r="Y33" s="6" t="str">
        <f t="shared" si="25"/>
        <v/>
      </c>
      <c r="Z33" s="6" t="str">
        <f t="shared" si="25"/>
        <v/>
      </c>
      <c r="AA33" s="6" t="str">
        <f t="shared" si="16"/>
        <v/>
      </c>
      <c r="AB33" s="6" t="str">
        <f t="shared" si="17"/>
        <v/>
      </c>
      <c r="AC33" s="6" t="str">
        <f t="shared" si="18"/>
        <v/>
      </c>
      <c r="AD33" s="6" t="str">
        <f t="shared" si="19"/>
        <v/>
      </c>
      <c r="AE33" s="6" t="str">
        <f t="shared" si="20"/>
        <v/>
      </c>
      <c r="AF33" s="6" t="str">
        <f t="shared" si="26"/>
        <v/>
      </c>
      <c r="AG33" s="6" t="str">
        <f t="shared" si="26"/>
        <v/>
      </c>
      <c r="AH33" s="6" t="str">
        <f>IF(T33="","",IF(ISERROR(INDEX(aRank,$S33+1,uxb_works!$B$25)),"",INDEX(aRank,$S33+1,uxb_works!$B$25)))</f>
        <v/>
      </c>
      <c r="AI33" s="6"/>
      <c r="AJ33" s="14" t="str">
        <f>IF(S33="","",INDEX(tblIndicators!$H$3:$H$66,iCCompSpider!S33))</f>
        <v/>
      </c>
      <c r="AK33" s="6" t="str">
        <f t="shared" si="23"/>
        <v/>
      </c>
      <c r="AL33" s="71" t="str">
        <f t="shared" si="24"/>
        <v/>
      </c>
      <c r="AM33" s="6"/>
      <c r="AN33" s="6"/>
      <c r="AO33" s="28" t="str">
        <f>IF(S33="","",INDEX(tblIndicators!$V$3:$V$52,iCCompSpider!S33))</f>
        <v/>
      </c>
    </row>
    <row r="34" spans="1:41" s="28" customFormat="1">
      <c r="A34" s="6">
        <f>tblCategories!A26</f>
        <v>24</v>
      </c>
      <c r="B34" s="6" t="str">
        <f>tblCategories!D26</f>
        <v xml:space="preserve">2.1.2) 17.¿Qué nivel de inclusión  presentan estas asociaciones? </v>
      </c>
      <c r="C34" s="6">
        <f>tblCategories!T26</f>
        <v>0</v>
      </c>
      <c r="D34" s="6">
        <v>1</v>
      </c>
      <c r="E34" s="6">
        <f t="shared" ca="1" si="0"/>
        <v>0</v>
      </c>
      <c r="F34" s="6">
        <f t="shared" si="1"/>
        <v>0</v>
      </c>
      <c r="G34" s="6">
        <f t="shared" ca="1" si="2"/>
        <v>0</v>
      </c>
      <c r="H34" s="6">
        <f t="shared" si="3"/>
        <v>0</v>
      </c>
      <c r="I34" s="6" t="e">
        <f t="shared" si="4"/>
        <v>#VALUE!</v>
      </c>
      <c r="J34" s="6">
        <f t="shared" si="5"/>
        <v>0</v>
      </c>
      <c r="K34" s="6" t="e">
        <f t="shared" si="6"/>
        <v>#VALUE!</v>
      </c>
      <c r="L34" s="6">
        <f t="shared" si="7"/>
        <v>1</v>
      </c>
      <c r="M34" s="6">
        <f t="shared" ca="1" si="8"/>
        <v>37.5</v>
      </c>
      <c r="N34" s="6"/>
      <c r="O34" s="6"/>
      <c r="P34" s="6"/>
      <c r="Q34" s="6" t="str">
        <f t="shared" si="9"/>
        <v/>
      </c>
      <c r="R34" s="6" t="str">
        <f>IF($C34=0,"",RANK(Q34,Q$11:Q$60,1)+COUNTIF(Q$11:Q34,Q34)-1)</f>
        <v/>
      </c>
      <c r="S34" s="6" t="str">
        <f t="shared" si="10"/>
        <v/>
      </c>
      <c r="T34" s="70" t="str">
        <f t="shared" si="11"/>
        <v/>
      </c>
      <c r="U34" s="70" t="str">
        <f t="shared" si="12"/>
        <v/>
      </c>
      <c r="V34" s="70">
        <f t="shared" si="13"/>
        <v>0</v>
      </c>
      <c r="W34" s="69" t="str">
        <f t="shared" si="22"/>
        <v/>
      </c>
      <c r="X34" s="6" t="str">
        <f t="shared" si="14"/>
        <v/>
      </c>
      <c r="Y34" s="6" t="str">
        <f t="shared" si="25"/>
        <v/>
      </c>
      <c r="Z34" s="6" t="str">
        <f t="shared" si="25"/>
        <v/>
      </c>
      <c r="AA34" s="6" t="str">
        <f t="shared" si="16"/>
        <v/>
      </c>
      <c r="AB34" s="6" t="str">
        <f t="shared" si="17"/>
        <v/>
      </c>
      <c r="AC34" s="6" t="str">
        <f t="shared" si="18"/>
        <v/>
      </c>
      <c r="AD34" s="6" t="str">
        <f t="shared" si="19"/>
        <v/>
      </c>
      <c r="AE34" s="6" t="str">
        <f t="shared" si="20"/>
        <v/>
      </c>
      <c r="AF34" s="6" t="str">
        <f t="shared" si="26"/>
        <v/>
      </c>
      <c r="AG34" s="6" t="str">
        <f t="shared" si="26"/>
        <v/>
      </c>
      <c r="AH34" s="6" t="str">
        <f>IF(T34="","",IF(ISERROR(INDEX(aRank,$S34+1,uxb_works!$B$25)),"",INDEX(aRank,$S34+1,uxb_works!$B$25)))</f>
        <v/>
      </c>
      <c r="AI34" s="6"/>
      <c r="AJ34" s="14" t="str">
        <f>IF(S34="","",INDEX(tblIndicators!$H$3:$H$66,iCCompSpider!S34))</f>
        <v/>
      </c>
      <c r="AK34" s="6" t="str">
        <f t="shared" si="23"/>
        <v/>
      </c>
      <c r="AL34" s="71" t="str">
        <f t="shared" si="24"/>
        <v/>
      </c>
      <c r="AM34" s="6"/>
      <c r="AN34" s="6"/>
      <c r="AO34" s="28" t="str">
        <f>IF(S34="","",INDEX(tblIndicators!$V$3:$V$52,iCCompSpider!S34))</f>
        <v/>
      </c>
    </row>
    <row r="35" spans="1:41" s="28" customFormat="1">
      <c r="A35" s="6">
        <f>tblCategories!A27</f>
        <v>25</v>
      </c>
      <c r="B35" s="6" t="str">
        <f>tblCategories!D27</f>
        <v>2.1.3) 18.¿Las asociaciones: participan en espacios de interlocución o diálogo con pares?</v>
      </c>
      <c r="C35" s="6">
        <f>tblCategories!T27</f>
        <v>0</v>
      </c>
      <c r="D35" s="6">
        <v>1</v>
      </c>
      <c r="E35" s="6">
        <f t="shared" ca="1" si="0"/>
        <v>50</v>
      </c>
      <c r="F35" s="6">
        <f t="shared" si="1"/>
        <v>1</v>
      </c>
      <c r="G35" s="6">
        <f t="shared" ca="1" si="2"/>
        <v>50</v>
      </c>
      <c r="H35" s="6">
        <f t="shared" si="3"/>
        <v>1</v>
      </c>
      <c r="I35" s="6" t="e">
        <f t="shared" si="4"/>
        <v>#VALUE!</v>
      </c>
      <c r="J35" s="6">
        <f t="shared" si="5"/>
        <v>1</v>
      </c>
      <c r="K35" s="6" t="e">
        <f t="shared" si="6"/>
        <v>#VALUE!</v>
      </c>
      <c r="L35" s="6">
        <f t="shared" si="7"/>
        <v>2</v>
      </c>
      <c r="M35" s="6">
        <f t="shared" ca="1" si="8"/>
        <v>70.833333333333329</v>
      </c>
      <c r="N35" s="6"/>
      <c r="O35" s="6"/>
      <c r="P35" s="6"/>
      <c r="Q35" s="6" t="str">
        <f t="shared" si="9"/>
        <v/>
      </c>
      <c r="R35" s="6" t="str">
        <f>IF($C35=0,"",RANK(Q35,Q$11:Q$60,1)+COUNTIF(Q$11:Q35,Q35)-1)</f>
        <v/>
      </c>
      <c r="S35" s="6" t="str">
        <f t="shared" si="10"/>
        <v/>
      </c>
      <c r="T35" s="70" t="str">
        <f t="shared" si="11"/>
        <v/>
      </c>
      <c r="U35" s="70" t="str">
        <f t="shared" si="12"/>
        <v/>
      </c>
      <c r="V35" s="70">
        <f t="shared" si="13"/>
        <v>0</v>
      </c>
      <c r="W35" s="69" t="str">
        <f t="shared" si="22"/>
        <v/>
      </c>
      <c r="X35" s="6" t="str">
        <f t="shared" si="14"/>
        <v/>
      </c>
      <c r="Y35" s="6" t="str">
        <f t="shared" si="25"/>
        <v/>
      </c>
      <c r="Z35" s="6" t="str">
        <f t="shared" si="25"/>
        <v/>
      </c>
      <c r="AA35" s="6" t="str">
        <f t="shared" si="16"/>
        <v/>
      </c>
      <c r="AB35" s="6" t="str">
        <f t="shared" si="17"/>
        <v/>
      </c>
      <c r="AC35" s="6" t="str">
        <f t="shared" si="18"/>
        <v/>
      </c>
      <c r="AD35" s="6" t="str">
        <f t="shared" si="19"/>
        <v/>
      </c>
      <c r="AE35" s="6" t="str">
        <f t="shared" si="20"/>
        <v/>
      </c>
      <c r="AF35" s="6" t="str">
        <f t="shared" si="26"/>
        <v/>
      </c>
      <c r="AG35" s="6" t="str">
        <f t="shared" si="26"/>
        <v/>
      </c>
      <c r="AH35" s="6" t="str">
        <f>IF(T35="","",IF(ISERROR(INDEX(aRank,$S35+1,uxb_works!$B$25)),"",INDEX(aRank,$S35+1,uxb_works!$B$25)))</f>
        <v/>
      </c>
      <c r="AI35" s="6"/>
      <c r="AJ35" s="14" t="str">
        <f>IF(S35="","",INDEX(tblIndicators!$H$3:$H$66,iCCompSpider!S35))</f>
        <v/>
      </c>
      <c r="AK35" s="6" t="str">
        <f t="shared" si="23"/>
        <v/>
      </c>
      <c r="AL35" s="71" t="str">
        <f t="shared" si="24"/>
        <v/>
      </c>
      <c r="AM35" s="6"/>
      <c r="AN35" s="6"/>
      <c r="AO35" s="28" t="str">
        <f>IF(S35="","",INDEX(tblIndicators!$V$3:$V$52,iCCompSpider!S35))</f>
        <v/>
      </c>
    </row>
    <row r="36" spans="1:41" s="28" customFormat="1">
      <c r="A36" s="6">
        <f>tblCategories!A28</f>
        <v>26</v>
      </c>
      <c r="B36" s="6" t="str">
        <f>tblCategories!D28</f>
        <v>2.1.4) 19.¿Existen espacios de diálogo y coordinación entre diferentes actores de la cadena de valor del reciclaje?</v>
      </c>
      <c r="C36" s="6">
        <f>tblCategories!T28</f>
        <v>0</v>
      </c>
      <c r="D36" s="6">
        <v>1</v>
      </c>
      <c r="E36" s="6">
        <f t="shared" ca="1" si="0"/>
        <v>0</v>
      </c>
      <c r="F36" s="6">
        <f t="shared" si="1"/>
        <v>0</v>
      </c>
      <c r="G36" s="6">
        <f t="shared" ca="1" si="2"/>
        <v>100</v>
      </c>
      <c r="H36" s="6">
        <f t="shared" si="3"/>
        <v>2</v>
      </c>
      <c r="I36" s="6" t="e">
        <f t="shared" si="4"/>
        <v>#VALUE!</v>
      </c>
      <c r="J36" s="6">
        <f t="shared" si="5"/>
        <v>0</v>
      </c>
      <c r="K36" s="6" t="e">
        <f t="shared" si="6"/>
        <v>#VALUE!</v>
      </c>
      <c r="L36" s="6">
        <f t="shared" si="7"/>
        <v>2</v>
      </c>
      <c r="M36" s="6">
        <f t="shared" ca="1" si="8"/>
        <v>45.833333333333336</v>
      </c>
      <c r="N36" s="6"/>
      <c r="O36" s="6"/>
      <c r="P36" s="6"/>
      <c r="Q36" s="6" t="str">
        <f t="shared" si="9"/>
        <v/>
      </c>
      <c r="R36" s="6" t="str">
        <f>IF($C36=0,"",RANK(Q36,Q$11:Q$60,1)+COUNTIF(Q$11:Q36,Q36)-1)</f>
        <v/>
      </c>
      <c r="S36" s="6" t="str">
        <f t="shared" si="10"/>
        <v/>
      </c>
      <c r="T36" s="70" t="str">
        <f t="shared" si="11"/>
        <v/>
      </c>
      <c r="U36" s="70" t="str">
        <f t="shared" si="12"/>
        <v/>
      </c>
      <c r="V36" s="70">
        <f t="shared" si="13"/>
        <v>0</v>
      </c>
      <c r="W36" s="69" t="str">
        <f t="shared" si="22"/>
        <v/>
      </c>
      <c r="X36" s="6" t="str">
        <f t="shared" si="14"/>
        <v/>
      </c>
      <c r="Y36" s="6" t="str">
        <f t="shared" si="25"/>
        <v/>
      </c>
      <c r="Z36" s="6" t="str">
        <f t="shared" si="25"/>
        <v/>
      </c>
      <c r="AA36" s="6" t="str">
        <f t="shared" si="16"/>
        <v/>
      </c>
      <c r="AB36" s="6" t="str">
        <f t="shared" si="17"/>
        <v/>
      </c>
      <c r="AC36" s="6" t="str">
        <f t="shared" si="18"/>
        <v/>
      </c>
      <c r="AD36" s="6" t="str">
        <f t="shared" si="19"/>
        <v/>
      </c>
      <c r="AE36" s="6" t="str">
        <f t="shared" si="20"/>
        <v/>
      </c>
      <c r="AF36" s="6" t="str">
        <f t="shared" si="26"/>
        <v/>
      </c>
      <c r="AG36" s="6" t="str">
        <f t="shared" si="26"/>
        <v/>
      </c>
      <c r="AH36" s="6" t="str">
        <f>IF(T36="","",IF(ISERROR(INDEX(aRank,$S36+1,uxb_works!$B$25)),"",INDEX(aRank,$S36+1,uxb_works!$B$25)))</f>
        <v/>
      </c>
      <c r="AI36" s="6"/>
      <c r="AJ36" s="14" t="str">
        <f>IF(S36="","",INDEX(tblIndicators!$H$3:$H$66,iCCompSpider!S36))</f>
        <v/>
      </c>
      <c r="AK36" s="6" t="str">
        <f t="shared" si="23"/>
        <v/>
      </c>
      <c r="AL36" s="71" t="str">
        <f t="shared" si="24"/>
        <v/>
      </c>
      <c r="AM36" s="6"/>
      <c r="AN36" s="6"/>
      <c r="AO36" s="28" t="str">
        <f>IF(S36="","",INDEX(tblIndicators!$V$3:$V$52,iCCompSpider!S36))</f>
        <v/>
      </c>
    </row>
    <row r="37" spans="1:41" s="28" customFormat="1">
      <c r="A37" s="6">
        <f>tblCategories!A29</f>
        <v>27</v>
      </c>
      <c r="B37" s="6" t="str">
        <f>tblCategories!D29</f>
        <v>2.1.5) 20.¿Cuál es el nivel de representación de las mujeres en las asociaciones?</v>
      </c>
      <c r="C37" s="6">
        <f>tblCategories!T29</f>
        <v>0</v>
      </c>
      <c r="D37" s="6">
        <v>1</v>
      </c>
      <c r="E37" s="6">
        <f t="shared" ca="1" si="0"/>
        <v>50</v>
      </c>
      <c r="F37" s="6">
        <f t="shared" si="1"/>
        <v>1</v>
      </c>
      <c r="G37" s="6">
        <f t="shared" ca="1" si="2"/>
        <v>0</v>
      </c>
      <c r="H37" s="6">
        <f t="shared" si="3"/>
        <v>0</v>
      </c>
      <c r="I37" s="6" t="e">
        <f t="shared" si="4"/>
        <v>#VALUE!</v>
      </c>
      <c r="J37" s="6">
        <f t="shared" si="5"/>
        <v>1</v>
      </c>
      <c r="K37" s="6" t="e">
        <f t="shared" si="6"/>
        <v>#VALUE!</v>
      </c>
      <c r="L37" s="6">
        <f t="shared" si="7"/>
        <v>1</v>
      </c>
      <c r="M37" s="6">
        <f t="shared" ca="1" si="8"/>
        <v>50</v>
      </c>
      <c r="N37" s="6"/>
      <c r="O37" s="6"/>
      <c r="P37" s="6"/>
      <c r="Q37" s="6" t="str">
        <f t="shared" si="9"/>
        <v/>
      </c>
      <c r="R37" s="6" t="str">
        <f>IF($C37=0,"",RANK(Q37,Q$11:Q$60,1)+COUNTIF(Q$11:Q37,Q37)-1)</f>
        <v/>
      </c>
      <c r="S37" s="6" t="str">
        <f t="shared" si="10"/>
        <v/>
      </c>
      <c r="T37" s="70" t="str">
        <f t="shared" si="11"/>
        <v/>
      </c>
      <c r="U37" s="70" t="str">
        <f t="shared" si="12"/>
        <v/>
      </c>
      <c r="V37" s="70">
        <f t="shared" si="13"/>
        <v>0</v>
      </c>
      <c r="W37" s="69" t="str">
        <f t="shared" si="22"/>
        <v/>
      </c>
      <c r="X37" s="6" t="str">
        <f t="shared" si="14"/>
        <v/>
      </c>
      <c r="Y37" s="6" t="str">
        <f t="shared" si="25"/>
        <v/>
      </c>
      <c r="Z37" s="6" t="str">
        <f t="shared" si="25"/>
        <v/>
      </c>
      <c r="AA37" s="6" t="str">
        <f t="shared" si="16"/>
        <v/>
      </c>
      <c r="AB37" s="6" t="str">
        <f t="shared" si="17"/>
        <v/>
      </c>
      <c r="AC37" s="6" t="str">
        <f t="shared" si="18"/>
        <v/>
      </c>
      <c r="AD37" s="6" t="str">
        <f t="shared" si="19"/>
        <v/>
      </c>
      <c r="AE37" s="6" t="str">
        <f t="shared" si="20"/>
        <v/>
      </c>
      <c r="AF37" s="6" t="str">
        <f t="shared" si="26"/>
        <v/>
      </c>
      <c r="AG37" s="6" t="str">
        <f t="shared" si="26"/>
        <v/>
      </c>
      <c r="AH37" s="6" t="str">
        <f>IF(T37="","",IF(ISERROR(INDEX(aRank,$S37+1,uxb_works!$B$25)),"",INDEX(aRank,$S37+1,uxb_works!$B$25)))</f>
        <v/>
      </c>
      <c r="AI37" s="6"/>
      <c r="AJ37" s="14" t="str">
        <f>IF(S37="","",INDEX(tblIndicators!$H$3:$H$66,iCCompSpider!S37))</f>
        <v/>
      </c>
      <c r="AK37" s="6" t="str">
        <f t="shared" si="23"/>
        <v/>
      </c>
      <c r="AL37" s="71" t="str">
        <f t="shared" si="24"/>
        <v/>
      </c>
      <c r="AM37" s="6"/>
      <c r="AN37" s="6"/>
      <c r="AO37" s="28" t="str">
        <f>IF(S37="","",INDEX(tblIndicators!$V$3:$V$52,iCCompSpider!S37))</f>
        <v/>
      </c>
    </row>
    <row r="38" spans="1:41" s="28" customFormat="1">
      <c r="A38" s="6">
        <f>tblCategories!A30</f>
        <v>28</v>
      </c>
      <c r="B38" s="6" t="str">
        <f>tblCategories!D30</f>
        <v>2.2) Organizaciones comerciales</v>
      </c>
      <c r="C38" s="6">
        <f>tblCategories!T30</f>
        <v>0</v>
      </c>
      <c r="D38" s="6">
        <v>1</v>
      </c>
      <c r="E38" s="6">
        <f t="shared" ca="1" si="0"/>
        <v>16.666666666666664</v>
      </c>
      <c r="F38" s="6" t="str">
        <f t="shared" si="1"/>
        <v/>
      </c>
      <c r="G38" s="6">
        <f t="shared" ca="1" si="2"/>
        <v>38.888888888888886</v>
      </c>
      <c r="H38" s="6" t="str">
        <f t="shared" si="3"/>
        <v/>
      </c>
      <c r="I38" s="6" t="e">
        <f t="shared" si="4"/>
        <v>#VALUE!</v>
      </c>
      <c r="J38" s="6" t="str">
        <f t="shared" si="5"/>
        <v/>
      </c>
      <c r="K38" s="6" t="e">
        <f t="shared" si="6"/>
        <v>#VALUE!</v>
      </c>
      <c r="L38" s="6" t="str">
        <f t="shared" si="7"/>
        <v/>
      </c>
      <c r="M38" s="6">
        <f t="shared" ca="1" si="8"/>
        <v>35.183333333333337</v>
      </c>
      <c r="N38" s="6"/>
      <c r="O38" s="6"/>
      <c r="P38" s="6"/>
      <c r="Q38" s="6" t="str">
        <f t="shared" si="9"/>
        <v/>
      </c>
      <c r="R38" s="6" t="str">
        <f>IF($C38=0,"",RANK(Q38,Q$11:Q$60,1)+COUNTIF(Q$11:Q38,Q38)-1)</f>
        <v/>
      </c>
      <c r="S38" s="6" t="str">
        <f t="shared" si="10"/>
        <v/>
      </c>
      <c r="T38" s="70" t="str">
        <f t="shared" si="11"/>
        <v/>
      </c>
      <c r="U38" s="70" t="str">
        <f t="shared" si="12"/>
        <v/>
      </c>
      <c r="V38" s="70">
        <f t="shared" si="13"/>
        <v>0</v>
      </c>
      <c r="W38" s="69" t="str">
        <f t="shared" si="22"/>
        <v/>
      </c>
      <c r="X38" s="6" t="str">
        <f t="shared" si="14"/>
        <v/>
      </c>
      <c r="Y38" s="6" t="str">
        <f t="shared" si="25"/>
        <v/>
      </c>
      <c r="Z38" s="6" t="str">
        <f t="shared" si="25"/>
        <v/>
      </c>
      <c r="AA38" s="6" t="str">
        <f t="shared" si="16"/>
        <v/>
      </c>
      <c r="AB38" s="6" t="str">
        <f t="shared" si="17"/>
        <v/>
      </c>
      <c r="AC38" s="6" t="str">
        <f t="shared" si="18"/>
        <v/>
      </c>
      <c r="AD38" s="6" t="str">
        <f t="shared" si="19"/>
        <v/>
      </c>
      <c r="AE38" s="6" t="str">
        <f t="shared" si="20"/>
        <v/>
      </c>
      <c r="AF38" s="6" t="str">
        <f t="shared" si="26"/>
        <v/>
      </c>
      <c r="AG38" s="6" t="str">
        <f t="shared" si="26"/>
        <v/>
      </c>
      <c r="AH38" s="6" t="str">
        <f>IF(T38="","",IF(ISERROR(INDEX(aRank,$S38+1,uxb_works!$B$25)),"",INDEX(aRank,$S38+1,uxb_works!$B$25)))</f>
        <v/>
      </c>
      <c r="AI38" s="6"/>
      <c r="AJ38" s="14" t="str">
        <f>IF(S38="","",INDEX(tblIndicators!$H$3:$H$66,iCCompSpider!S38))</f>
        <v/>
      </c>
      <c r="AK38" s="6" t="str">
        <f t="shared" si="23"/>
        <v/>
      </c>
      <c r="AL38" s="71" t="str">
        <f t="shared" si="24"/>
        <v/>
      </c>
      <c r="AM38" s="6"/>
      <c r="AN38" s="6"/>
      <c r="AO38" s="28" t="str">
        <f>IF(S38="","",INDEX(tblIndicators!$V$3:$V$52,iCCompSpider!S38))</f>
        <v/>
      </c>
    </row>
    <row r="39" spans="1:41" s="28" customFormat="1">
      <c r="A39" s="6">
        <f>tblCategories!A31</f>
        <v>29</v>
      </c>
      <c r="B39" s="6" t="str">
        <f>tblCategories!D31</f>
        <v xml:space="preserve">2.2.1) 21.¿Existen organizaciones de recicladores con actividad comercial en el municipio (cooperativas y/o microempresas)? </v>
      </c>
      <c r="C39" s="6">
        <f>tblCategories!T31</f>
        <v>0</v>
      </c>
      <c r="D39" s="6">
        <v>1</v>
      </c>
      <c r="E39" s="6">
        <f t="shared" ca="1" si="0"/>
        <v>50</v>
      </c>
      <c r="F39" s="6">
        <f t="shared" si="1"/>
        <v>1</v>
      </c>
      <c r="G39" s="6">
        <f t="shared" ca="1" si="2"/>
        <v>0</v>
      </c>
      <c r="H39" s="6">
        <f t="shared" si="3"/>
        <v>0</v>
      </c>
      <c r="I39" s="6" t="e">
        <f t="shared" si="4"/>
        <v>#VALUE!</v>
      </c>
      <c r="J39" s="6">
        <f t="shared" si="5"/>
        <v>1</v>
      </c>
      <c r="K39" s="6" t="e">
        <f t="shared" si="6"/>
        <v>#VALUE!</v>
      </c>
      <c r="L39" s="6">
        <f t="shared" si="7"/>
        <v>2</v>
      </c>
      <c r="M39" s="6">
        <f t="shared" ca="1" si="8"/>
        <v>50</v>
      </c>
      <c r="N39" s="6"/>
      <c r="O39" s="6"/>
      <c r="P39" s="6"/>
      <c r="Q39" s="6" t="str">
        <f t="shared" si="9"/>
        <v/>
      </c>
      <c r="R39" s="6" t="str">
        <f>IF($C39=0,"",RANK(Q39,Q$11:Q$60,1)+COUNTIF(Q$11:Q39,Q39)-1)</f>
        <v/>
      </c>
      <c r="S39" s="6" t="str">
        <f t="shared" si="10"/>
        <v/>
      </c>
      <c r="T39" s="70" t="str">
        <f t="shared" si="11"/>
        <v/>
      </c>
      <c r="U39" s="70" t="str">
        <f t="shared" si="12"/>
        <v/>
      </c>
      <c r="V39" s="70">
        <f t="shared" si="13"/>
        <v>0</v>
      </c>
      <c r="W39" s="69" t="str">
        <f t="shared" si="22"/>
        <v/>
      </c>
      <c r="X39" s="6" t="str">
        <f t="shared" si="14"/>
        <v/>
      </c>
      <c r="Y39" s="6" t="str">
        <f t="shared" si="25"/>
        <v/>
      </c>
      <c r="Z39" s="6" t="str">
        <f t="shared" si="25"/>
        <v/>
      </c>
      <c r="AA39" s="6" t="str">
        <f t="shared" si="16"/>
        <v/>
      </c>
      <c r="AB39" s="6" t="str">
        <f t="shared" si="17"/>
        <v/>
      </c>
      <c r="AC39" s="6" t="str">
        <f t="shared" si="18"/>
        <v/>
      </c>
      <c r="AD39" s="6" t="str">
        <f t="shared" si="19"/>
        <v/>
      </c>
      <c r="AE39" s="6" t="str">
        <f t="shared" si="20"/>
        <v/>
      </c>
      <c r="AF39" s="6" t="str">
        <f t="shared" si="26"/>
        <v/>
      </c>
      <c r="AG39" s="6" t="str">
        <f t="shared" si="26"/>
        <v/>
      </c>
      <c r="AH39" s="6" t="str">
        <f>IF(T39="","",IF(ISERROR(INDEX(aRank,$S39+1,uxb_works!$B$25)),"",INDEX(aRank,$S39+1,uxb_works!$B$25)))</f>
        <v/>
      </c>
      <c r="AI39" s="6"/>
      <c r="AJ39" s="14" t="str">
        <f>IF(S39="","",INDEX(tblIndicators!$H$3:$H$66,iCCompSpider!S39))</f>
        <v/>
      </c>
      <c r="AK39" s="6" t="str">
        <f t="shared" si="23"/>
        <v/>
      </c>
      <c r="AL39" s="71" t="str">
        <f t="shared" si="24"/>
        <v/>
      </c>
      <c r="AM39" s="6"/>
      <c r="AN39" s="6"/>
      <c r="AO39" s="28" t="str">
        <f>IF(S39="","",INDEX(tblIndicators!$V$3:$V$52,iCCompSpider!S39))</f>
        <v/>
      </c>
    </row>
    <row r="40" spans="1:41" s="28" customFormat="1">
      <c r="A40" s="6">
        <f>tblCategories!A32</f>
        <v>30</v>
      </c>
      <c r="B40" s="6" t="str">
        <f>tblCategories!D32</f>
        <v>2.2.2) 22.¿Cuál es el nivel de participación de las organizaciones de recicladores en la cadena de valor del reciclaje?</v>
      </c>
      <c r="C40" s="6">
        <f>tblCategories!T32</f>
        <v>0</v>
      </c>
      <c r="D40" s="6">
        <v>1</v>
      </c>
      <c r="E40" s="6">
        <f t="shared" ca="1" si="0"/>
        <v>0</v>
      </c>
      <c r="F40" s="6">
        <f t="shared" si="1"/>
        <v>0</v>
      </c>
      <c r="G40" s="6">
        <f t="shared" ca="1" si="2"/>
        <v>50</v>
      </c>
      <c r="H40" s="6">
        <f t="shared" si="3"/>
        <v>1</v>
      </c>
      <c r="I40" s="6" t="e">
        <f t="shared" si="4"/>
        <v>#VALUE!</v>
      </c>
      <c r="J40" s="6">
        <f t="shared" si="5"/>
        <v>0</v>
      </c>
      <c r="K40" s="6" t="e">
        <f t="shared" si="6"/>
        <v>#VALUE!</v>
      </c>
      <c r="L40" s="6">
        <f t="shared" si="7"/>
        <v>2</v>
      </c>
      <c r="M40" s="6">
        <f t="shared" ca="1" si="8"/>
        <v>41.666666666666664</v>
      </c>
      <c r="N40" s="6"/>
      <c r="O40" s="6"/>
      <c r="P40" s="6"/>
      <c r="Q40" s="6" t="str">
        <f t="shared" si="9"/>
        <v/>
      </c>
      <c r="R40" s="6" t="str">
        <f>IF($C40=0,"",RANK(Q40,Q$11:Q$60,1)+COUNTIF(Q$11:Q40,Q40)-1)</f>
        <v/>
      </c>
      <c r="S40" s="6" t="str">
        <f t="shared" si="10"/>
        <v/>
      </c>
      <c r="T40" s="70" t="str">
        <f t="shared" si="11"/>
        <v/>
      </c>
      <c r="U40" s="70" t="str">
        <f t="shared" si="12"/>
        <v/>
      </c>
      <c r="V40" s="70">
        <f t="shared" si="13"/>
        <v>0</v>
      </c>
      <c r="W40" s="69" t="str">
        <f t="shared" si="22"/>
        <v/>
      </c>
      <c r="X40" s="6" t="str">
        <f t="shared" si="14"/>
        <v/>
      </c>
      <c r="Y40" s="6" t="str">
        <f t="shared" si="25"/>
        <v/>
      </c>
      <c r="Z40" s="6" t="str">
        <f t="shared" si="25"/>
        <v/>
      </c>
      <c r="AA40" s="6" t="str">
        <f t="shared" si="16"/>
        <v/>
      </c>
      <c r="AB40" s="6" t="str">
        <f t="shared" si="17"/>
        <v/>
      </c>
      <c r="AC40" s="6" t="str">
        <f t="shared" si="18"/>
        <v/>
      </c>
      <c r="AD40" s="6" t="str">
        <f t="shared" si="19"/>
        <v/>
      </c>
      <c r="AE40" s="6" t="str">
        <f t="shared" si="20"/>
        <v/>
      </c>
      <c r="AF40" s="6" t="str">
        <f t="shared" si="26"/>
        <v/>
      </c>
      <c r="AG40" s="6" t="str">
        <f t="shared" si="26"/>
        <v/>
      </c>
      <c r="AH40" s="6" t="str">
        <f>IF(T40="","",IF(ISERROR(INDEX(aRank,$S40+1,uxb_works!$B$25)),"",INDEX(aRank,$S40+1,uxb_works!$B$25)))</f>
        <v/>
      </c>
      <c r="AI40" s="6"/>
      <c r="AJ40" s="14" t="str">
        <f>IF(S40="","",INDEX(tblIndicators!$H$3:$H$66,iCCompSpider!S40))</f>
        <v/>
      </c>
      <c r="AK40" s="6" t="str">
        <f t="shared" si="23"/>
        <v/>
      </c>
      <c r="AL40" s="71" t="str">
        <f t="shared" si="24"/>
        <v/>
      </c>
      <c r="AM40" s="6"/>
      <c r="AN40" s="6"/>
      <c r="AO40" s="28" t="str">
        <f>IF(S40="","",INDEX(tblIndicators!$V$3:$V$52,iCCompSpider!S40))</f>
        <v/>
      </c>
    </row>
    <row r="41" spans="1:41" s="28" customFormat="1">
      <c r="A41" s="6">
        <f>tblCategories!A33</f>
        <v>31</v>
      </c>
      <c r="B41" s="6" t="str">
        <f>tblCategories!D33</f>
        <v>2.2.3) 23. Las organizaciones comerciales de recicladores: ¿Tienen acceso a mecanismos de financiamiento?</v>
      </c>
      <c r="C41" s="6">
        <f>tblCategories!T33</f>
        <v>0</v>
      </c>
      <c r="D41" s="6">
        <v>1</v>
      </c>
      <c r="E41" s="6">
        <f t="shared" ca="1" si="0"/>
        <v>0</v>
      </c>
      <c r="F41" s="6">
        <f t="shared" si="1"/>
        <v>0</v>
      </c>
      <c r="G41" s="6">
        <f t="shared" ca="1" si="2"/>
        <v>66.666666666666657</v>
      </c>
      <c r="H41" s="6">
        <f t="shared" si="3"/>
        <v>2</v>
      </c>
      <c r="I41" s="6" t="e">
        <f t="shared" si="4"/>
        <v>#VALUE!</v>
      </c>
      <c r="J41" s="6">
        <f t="shared" si="5"/>
        <v>0</v>
      </c>
      <c r="K41" s="6" t="e">
        <f t="shared" si="6"/>
        <v>#VALUE!</v>
      </c>
      <c r="L41" s="6">
        <f t="shared" si="7"/>
        <v>2</v>
      </c>
      <c r="M41" s="6">
        <f t="shared" ca="1" si="8"/>
        <v>13.891666666666666</v>
      </c>
      <c r="N41" s="6"/>
      <c r="O41" s="6"/>
      <c r="P41" s="6"/>
      <c r="Q41" s="6" t="str">
        <f t="shared" si="9"/>
        <v/>
      </c>
      <c r="R41" s="6" t="str">
        <f>IF($C41=0,"",RANK(Q41,Q$11:Q$60,1)+COUNTIF(Q$11:Q41,Q41)-1)</f>
        <v/>
      </c>
      <c r="S41" s="6" t="str">
        <f t="shared" si="10"/>
        <v/>
      </c>
      <c r="T41" s="70" t="str">
        <f t="shared" si="11"/>
        <v/>
      </c>
      <c r="U41" s="70" t="str">
        <f t="shared" si="12"/>
        <v/>
      </c>
      <c r="V41" s="70">
        <f t="shared" si="13"/>
        <v>0</v>
      </c>
      <c r="W41" s="69" t="str">
        <f t="shared" si="22"/>
        <v/>
      </c>
      <c r="X41" s="6" t="str">
        <f t="shared" si="14"/>
        <v/>
      </c>
      <c r="Y41" s="6" t="str">
        <f t="shared" si="25"/>
        <v/>
      </c>
      <c r="Z41" s="6" t="str">
        <f t="shared" si="25"/>
        <v/>
      </c>
      <c r="AA41" s="6" t="str">
        <f t="shared" si="16"/>
        <v/>
      </c>
      <c r="AB41" s="6" t="str">
        <f t="shared" si="17"/>
        <v/>
      </c>
      <c r="AC41" s="6" t="str">
        <f t="shared" si="18"/>
        <v/>
      </c>
      <c r="AD41" s="6" t="str">
        <f t="shared" si="19"/>
        <v/>
      </c>
      <c r="AE41" s="6" t="str">
        <f t="shared" si="20"/>
        <v/>
      </c>
      <c r="AF41" s="6" t="str">
        <f t="shared" si="26"/>
        <v/>
      </c>
      <c r="AG41" s="6" t="str">
        <f t="shared" si="26"/>
        <v/>
      </c>
      <c r="AH41" s="6" t="str">
        <f>IF(T41="","",IF(ISERROR(INDEX(aRank,$S41+1,uxb_works!$B$25)),"",INDEX(aRank,$S41+1,uxb_works!$B$25)))</f>
        <v/>
      </c>
      <c r="AI41" s="6"/>
      <c r="AJ41" s="14" t="str">
        <f>IF(S41="","",INDEX(tblIndicators!$H$3:$H$66,iCCompSpider!S41))</f>
        <v/>
      </c>
      <c r="AK41" s="6" t="str">
        <f t="shared" si="23"/>
        <v/>
      </c>
      <c r="AL41" s="71" t="str">
        <f t="shared" si="24"/>
        <v/>
      </c>
      <c r="AM41" s="6"/>
      <c r="AN41" s="6"/>
      <c r="AO41" s="28" t="str">
        <f>IF(S41="","",INDEX(tblIndicators!$V$3:$V$52,iCCompSpider!S41))</f>
        <v/>
      </c>
    </row>
    <row r="42" spans="1:41" s="28" customFormat="1">
      <c r="A42" s="6">
        <f>tblCategories!A34</f>
        <v>32</v>
      </c>
      <c r="B42" s="6" t="str">
        <f>tblCategories!D34</f>
        <v>3) MERCADO</v>
      </c>
      <c r="C42" s="6">
        <f>tblCategories!T34</f>
        <v>0</v>
      </c>
      <c r="D42" s="6">
        <v>1</v>
      </c>
      <c r="E42" s="6">
        <f t="shared" ca="1" si="0"/>
        <v>27.448964052231986</v>
      </c>
      <c r="F42" s="6" t="str">
        <f t="shared" si="1"/>
        <v/>
      </c>
      <c r="G42" s="6">
        <f t="shared" ca="1" si="2"/>
        <v>55.437108967208651</v>
      </c>
      <c r="H42" s="6" t="str">
        <f t="shared" si="3"/>
        <v/>
      </c>
      <c r="I42" s="6" t="e">
        <f t="shared" si="4"/>
        <v>#VALUE!</v>
      </c>
      <c r="J42" s="6" t="str">
        <f t="shared" si="5"/>
        <v/>
      </c>
      <c r="K42" s="6" t="e">
        <f t="shared" si="6"/>
        <v>#VALUE!</v>
      </c>
      <c r="L42" s="6" t="str">
        <f t="shared" si="7"/>
        <v/>
      </c>
      <c r="M42" s="6">
        <f t="shared" ca="1" si="8"/>
        <v>49.908333333333324</v>
      </c>
      <c r="N42" s="6"/>
      <c r="O42" s="6"/>
      <c r="P42" s="6"/>
      <c r="Q42" s="6" t="str">
        <f t="shared" si="9"/>
        <v/>
      </c>
      <c r="R42" s="6" t="str">
        <f>IF($C42=0,"",RANK(Q42,Q$11:Q$60,1)+COUNTIF(Q$11:Q42,Q42)-1)</f>
        <v/>
      </c>
      <c r="S42" s="6" t="str">
        <f t="shared" si="10"/>
        <v/>
      </c>
      <c r="T42" s="70" t="str">
        <f t="shared" si="11"/>
        <v/>
      </c>
      <c r="U42" s="70" t="str">
        <f t="shared" si="12"/>
        <v/>
      </c>
      <c r="V42" s="70">
        <f t="shared" si="13"/>
        <v>0</v>
      </c>
      <c r="W42" s="69" t="str">
        <f t="shared" si="22"/>
        <v/>
      </c>
      <c r="X42" s="6" t="str">
        <f t="shared" si="14"/>
        <v/>
      </c>
      <c r="Y42" s="6" t="str">
        <f t="shared" si="25"/>
        <v/>
      </c>
      <c r="Z42" s="6" t="str">
        <f t="shared" si="25"/>
        <v/>
      </c>
      <c r="AA42" s="6" t="str">
        <f t="shared" si="16"/>
        <v/>
      </c>
      <c r="AB42" s="6" t="str">
        <f t="shared" si="17"/>
        <v/>
      </c>
      <c r="AC42" s="6" t="str">
        <f t="shared" si="18"/>
        <v/>
      </c>
      <c r="AD42" s="6" t="str">
        <f t="shared" si="19"/>
        <v/>
      </c>
      <c r="AE42" s="6" t="str">
        <f t="shared" si="20"/>
        <v/>
      </c>
      <c r="AF42" s="6" t="str">
        <f t="shared" si="26"/>
        <v/>
      </c>
      <c r="AG42" s="6" t="str">
        <f t="shared" si="26"/>
        <v/>
      </c>
      <c r="AH42" s="6" t="str">
        <f>IF(T42="","",IF(ISERROR(INDEX(aRank,$S42+1,uxb_works!$B$25)),"",INDEX(aRank,$S42+1,uxb_works!$B$25)))</f>
        <v/>
      </c>
      <c r="AI42" s="6"/>
      <c r="AJ42" s="14" t="str">
        <f>IF(S42="","",INDEX(tblIndicators!$H$3:$H$66,iCCompSpider!S42))</f>
        <v/>
      </c>
      <c r="AK42" s="6" t="str">
        <f t="shared" si="23"/>
        <v/>
      </c>
      <c r="AL42" s="71" t="str">
        <f t="shared" si="24"/>
        <v/>
      </c>
      <c r="AM42" s="6"/>
      <c r="AN42" s="6"/>
      <c r="AO42" s="28" t="str">
        <f>IF(S42="","",INDEX(tblIndicators!$V$3:$V$52,iCCompSpider!S42))</f>
        <v/>
      </c>
    </row>
    <row r="43" spans="1:41" s="28" customFormat="1">
      <c r="A43" s="6">
        <f>tblCategories!A35</f>
        <v>33</v>
      </c>
      <c r="B43" s="6" t="str">
        <f>tblCategories!D35</f>
        <v>3.1) Condiciones de acceso y almacenamiento de residuos</v>
      </c>
      <c r="C43" s="6">
        <f>tblCategories!T35</f>
        <v>0</v>
      </c>
      <c r="D43" s="6">
        <v>1</v>
      </c>
      <c r="E43" s="6">
        <f t="shared" ca="1" si="0"/>
        <v>8.3333333333333321</v>
      </c>
      <c r="F43" s="6" t="str">
        <f t="shared" si="1"/>
        <v/>
      </c>
      <c r="G43" s="6">
        <f t="shared" ca="1" si="2"/>
        <v>58.333333333333329</v>
      </c>
      <c r="H43" s="6" t="str">
        <f t="shared" si="3"/>
        <v/>
      </c>
      <c r="I43" s="6" t="e">
        <f t="shared" si="4"/>
        <v>#VALUE!</v>
      </c>
      <c r="J43" s="6" t="str">
        <f t="shared" si="5"/>
        <v/>
      </c>
      <c r="K43" s="6" t="e">
        <f t="shared" si="6"/>
        <v>#VALUE!</v>
      </c>
      <c r="L43" s="6" t="str">
        <f t="shared" si="7"/>
        <v/>
      </c>
      <c r="M43" s="6">
        <f t="shared" ref="M43:M60" ca="1" si="27">INDEX(aScoresGroup,A43+1,$B$6)</f>
        <v>43.733333333333341</v>
      </c>
      <c r="N43" s="6"/>
      <c r="O43" s="6"/>
      <c r="P43" s="6"/>
      <c r="Q43" s="6" t="str">
        <f t="shared" ref="Q43:Q60" si="28">IF($C43=0,"",(INDEX($D$11:$H$60,$A43,Q$9)))</f>
        <v/>
      </c>
      <c r="R43" s="6" t="str">
        <f>IF($C43=0,"",RANK(Q43,Q$11:Q$60,1)+COUNTIF(Q$11:Q43,Q43)-1)</f>
        <v/>
      </c>
      <c r="S43" s="6" t="str">
        <f t="shared" ref="S43:S60" si="29">IF(ISERROR(MATCH($A43,R$11:R$60,0)),"",MATCH($A43,R$11:R$60,0))</f>
        <v/>
      </c>
      <c r="T43" s="70" t="str">
        <f t="shared" ref="T43:T60" si="30">IF(S43="","",RANK(Y43,Y$11:Y$60,0))</f>
        <v/>
      </c>
      <c r="U43" s="70" t="str">
        <f t="shared" ref="U43:U60" si="31">IF(S43="","",COUNTIF(Y$11:Y$60,Y43))</f>
        <v/>
      </c>
      <c r="V43" s="70">
        <f t="shared" ref="V43:V60" si="32">IF(S43="",0,INDEX($D$11:$D$60,S43))</f>
        <v>0</v>
      </c>
      <c r="W43" s="69" t="str">
        <f t="shared" si="22"/>
        <v/>
      </c>
      <c r="X43" s="6" t="str">
        <f t="shared" ref="X43:X60" si="33">IF($S43="","",INDEX($B$11:$H$60,$S43,X$9))</f>
        <v/>
      </c>
      <c r="Y43" s="6" t="str">
        <f t="shared" si="25"/>
        <v/>
      </c>
      <c r="Z43" s="6" t="str">
        <f t="shared" si="25"/>
        <v/>
      </c>
      <c r="AA43" s="6" t="str">
        <f t="shared" ref="AA43:AA60" si="34">IF($S43="","",INDEX($E$11:$L$60,$S43,AA$9))</f>
        <v/>
      </c>
      <c r="AB43" s="6" t="str">
        <f t="shared" ref="AB43:AB60" si="35">IF($S43="","",INDEX($E$11:$O$60,$S43,AB$9))</f>
        <v/>
      </c>
      <c r="AC43" s="6" t="str">
        <f t="shared" ref="AC43:AC60" si="36">IF($S43="","",INDEX($E$11:$L$60,$S43,AC$9))</f>
        <v/>
      </c>
      <c r="AD43" s="6" t="str">
        <f t="shared" ref="AD43:AD60" si="37">IF($S43="","",INDEX($E$11:$O$60,$S43,AD$9))</f>
        <v/>
      </c>
      <c r="AE43" s="6" t="str">
        <f t="shared" ref="AE43:AE60" si="38">IF($S43="","",INDEX($E$11:$L$60,$S43,AE$9))</f>
        <v/>
      </c>
      <c r="AF43" s="6" t="str">
        <f t="shared" si="26"/>
        <v/>
      </c>
      <c r="AG43" s="6" t="str">
        <f t="shared" si="26"/>
        <v/>
      </c>
      <c r="AH43" s="6" t="str">
        <f>IF(T43="","",IF(ISERROR(INDEX(aRank,$S43+1,uxb_works!$B$25)),"",INDEX(aRank,$S43+1,uxb_works!$B$25)))</f>
        <v/>
      </c>
      <c r="AI43" s="6"/>
      <c r="AJ43" s="14" t="str">
        <f>IF(S43="","",INDEX(tblIndicators!$H$3:$H$66,iCCompSpider!S43))</f>
        <v/>
      </c>
      <c r="AK43" s="6" t="str">
        <f t="shared" si="23"/>
        <v/>
      </c>
      <c r="AL43" s="71" t="str">
        <f t="shared" si="24"/>
        <v/>
      </c>
      <c r="AM43" s="6"/>
      <c r="AN43" s="6"/>
      <c r="AO43" s="28" t="str">
        <f>IF(S43="","",INDEX(tblIndicators!$V$3:$V$52,iCCompSpider!S43))</f>
        <v/>
      </c>
    </row>
    <row r="44" spans="1:41" s="28" customFormat="1">
      <c r="A44" s="6">
        <f>tblCategories!A36</f>
        <v>34</v>
      </c>
      <c r="B44" s="6" t="str">
        <f>tblCategories!D36</f>
        <v>3.1.1) 24.¿Cómo es el acceso del material reciclable?</v>
      </c>
      <c r="C44" s="6">
        <f>tblCategories!T36</f>
        <v>0</v>
      </c>
      <c r="D44" s="6">
        <v>1</v>
      </c>
      <c r="E44" s="6">
        <f t="shared" ca="1" si="0"/>
        <v>33.333333333333329</v>
      </c>
      <c r="F44" s="6">
        <f t="shared" si="1"/>
        <v>1</v>
      </c>
      <c r="G44" s="6">
        <f t="shared" ca="1" si="2"/>
        <v>33.333333333333329</v>
      </c>
      <c r="H44" s="6">
        <f t="shared" si="3"/>
        <v>1</v>
      </c>
      <c r="I44" s="6" t="e">
        <f t="shared" si="4"/>
        <v>#VALUE!</v>
      </c>
      <c r="J44" s="6">
        <f t="shared" si="5"/>
        <v>1</v>
      </c>
      <c r="K44" s="6" t="e">
        <f t="shared" si="6"/>
        <v>#VALUE!</v>
      </c>
      <c r="L44" s="6">
        <f t="shared" si="7"/>
        <v>3</v>
      </c>
      <c r="M44" s="6">
        <f t="shared" ca="1" si="27"/>
        <v>49.983333333333327</v>
      </c>
      <c r="N44" s="6"/>
      <c r="O44" s="6"/>
      <c r="P44" s="6"/>
      <c r="Q44" s="6" t="str">
        <f t="shared" si="28"/>
        <v/>
      </c>
      <c r="R44" s="6" t="str">
        <f>IF($C44=0,"",RANK(Q44,Q$11:Q$60,1)+COUNTIF(Q$11:Q44,Q44)-1)</f>
        <v/>
      </c>
      <c r="S44" s="6" t="str">
        <f t="shared" si="29"/>
        <v/>
      </c>
      <c r="T44" s="70" t="str">
        <f t="shared" si="30"/>
        <v/>
      </c>
      <c r="U44" s="70" t="str">
        <f t="shared" si="31"/>
        <v/>
      </c>
      <c r="V44" s="70">
        <f t="shared" si="32"/>
        <v>0</v>
      </c>
      <c r="W44" s="69" t="str">
        <f t="shared" si="22"/>
        <v/>
      </c>
      <c r="X44" s="6" t="str">
        <f t="shared" si="33"/>
        <v/>
      </c>
      <c r="Y44" s="6" t="str">
        <f t="shared" si="25"/>
        <v/>
      </c>
      <c r="Z44" s="6" t="str">
        <f t="shared" si="25"/>
        <v/>
      </c>
      <c r="AA44" s="6" t="str">
        <f t="shared" si="34"/>
        <v/>
      </c>
      <c r="AB44" s="6" t="str">
        <f t="shared" si="35"/>
        <v/>
      </c>
      <c r="AC44" s="6" t="str">
        <f t="shared" si="36"/>
        <v/>
      </c>
      <c r="AD44" s="6" t="str">
        <f t="shared" si="37"/>
        <v/>
      </c>
      <c r="AE44" s="6" t="str">
        <f t="shared" si="38"/>
        <v/>
      </c>
      <c r="AF44" s="6" t="str">
        <f t="shared" si="26"/>
        <v/>
      </c>
      <c r="AG44" s="6" t="str">
        <f t="shared" si="26"/>
        <v/>
      </c>
      <c r="AH44" s="6" t="str">
        <f>IF(T44="","",IF(ISERROR(INDEX(aRank,$S44+1,uxb_works!$B$25)),"",INDEX(aRank,$S44+1,uxb_works!$B$25)))</f>
        <v/>
      </c>
      <c r="AI44" s="6"/>
      <c r="AJ44" s="14" t="str">
        <f>IF(S44="","",INDEX(tblIndicators!$H$3:$H$66,iCCompSpider!S44))</f>
        <v/>
      </c>
      <c r="AK44" s="6" t="str">
        <f t="shared" si="23"/>
        <v/>
      </c>
      <c r="AL44" s="71" t="str">
        <f t="shared" si="24"/>
        <v/>
      </c>
      <c r="AM44" s="6"/>
      <c r="AN44" s="6"/>
      <c r="AO44" s="28" t="str">
        <f>IF(S44="","",INDEX(tblIndicators!$V$3:$V$52,iCCompSpider!S44))</f>
        <v/>
      </c>
    </row>
    <row r="45" spans="1:41" s="28" customFormat="1">
      <c r="A45" s="6">
        <f>tblCategories!A37</f>
        <v>35</v>
      </c>
      <c r="B45" s="6" t="str">
        <f>tblCategories!D37</f>
        <v>3.1.2) 25.¿Existen esquemas formales de recolección diferenciada de residuos reciclables en el municipio que involucran a recicladores de base?</v>
      </c>
      <c r="C45" s="6">
        <f>tblCategories!T37</f>
        <v>0</v>
      </c>
      <c r="D45" s="6">
        <v>1</v>
      </c>
      <c r="E45" s="6">
        <f t="shared" ca="1" si="0"/>
        <v>0</v>
      </c>
      <c r="F45" s="6">
        <f t="shared" si="1"/>
        <v>0</v>
      </c>
      <c r="G45" s="6">
        <f t="shared" ca="1" si="2"/>
        <v>100</v>
      </c>
      <c r="H45" s="6">
        <f t="shared" si="3"/>
        <v>2</v>
      </c>
      <c r="I45" s="6" t="e">
        <f t="shared" si="4"/>
        <v>#VALUE!</v>
      </c>
      <c r="J45" s="6">
        <f t="shared" si="5"/>
        <v>0</v>
      </c>
      <c r="K45" s="6" t="e">
        <f t="shared" si="6"/>
        <v>#VALUE!</v>
      </c>
      <c r="L45" s="6">
        <f t="shared" si="7"/>
        <v>2</v>
      </c>
      <c r="M45" s="6">
        <f t="shared" ca="1" si="27"/>
        <v>45.833333333333336</v>
      </c>
      <c r="N45" s="6"/>
      <c r="O45" s="6"/>
      <c r="P45" s="6"/>
      <c r="Q45" s="6" t="str">
        <f t="shared" si="28"/>
        <v/>
      </c>
      <c r="R45" s="6" t="str">
        <f>IF($C45=0,"",RANK(Q45,Q$11:Q$60,1)+COUNTIF(Q$11:Q45,Q45)-1)</f>
        <v/>
      </c>
      <c r="S45" s="6" t="str">
        <f t="shared" si="29"/>
        <v/>
      </c>
      <c r="T45" s="70" t="str">
        <f t="shared" si="30"/>
        <v/>
      </c>
      <c r="U45" s="70" t="str">
        <f t="shared" si="31"/>
        <v/>
      </c>
      <c r="V45" s="70">
        <f t="shared" si="32"/>
        <v>0</v>
      </c>
      <c r="W45" s="69" t="str">
        <f t="shared" si="22"/>
        <v/>
      </c>
      <c r="X45" s="6" t="str">
        <f t="shared" si="33"/>
        <v/>
      </c>
      <c r="Y45" s="6" t="str">
        <f t="shared" si="25"/>
        <v/>
      </c>
      <c r="Z45" s="6" t="str">
        <f t="shared" si="25"/>
        <v/>
      </c>
      <c r="AA45" s="6" t="str">
        <f t="shared" si="34"/>
        <v/>
      </c>
      <c r="AB45" s="6" t="str">
        <f t="shared" si="35"/>
        <v/>
      </c>
      <c r="AC45" s="6" t="str">
        <f t="shared" si="36"/>
        <v/>
      </c>
      <c r="AD45" s="6" t="str">
        <f t="shared" si="37"/>
        <v/>
      </c>
      <c r="AE45" s="6" t="str">
        <f t="shared" si="38"/>
        <v/>
      </c>
      <c r="AF45" s="6" t="str">
        <f t="shared" si="26"/>
        <v/>
      </c>
      <c r="AG45" s="6" t="str">
        <f t="shared" si="26"/>
        <v/>
      </c>
      <c r="AH45" s="6" t="str">
        <f>IF(T45="","",IF(ISERROR(INDEX(aRank,$S45+1,uxb_works!$B$25)),"",INDEX(aRank,$S45+1,uxb_works!$B$25)))</f>
        <v/>
      </c>
      <c r="AI45" s="6"/>
      <c r="AJ45" s="14" t="str">
        <f>IF(S45="","",INDEX(tblIndicators!$H$3:$H$66,iCCompSpider!S45))</f>
        <v/>
      </c>
      <c r="AK45" s="6" t="str">
        <f t="shared" si="23"/>
        <v/>
      </c>
      <c r="AL45" s="71" t="str">
        <f t="shared" si="24"/>
        <v/>
      </c>
      <c r="AM45" s="6"/>
      <c r="AN45" s="6"/>
      <c r="AO45" s="28" t="str">
        <f>IF(S45="","",INDEX(tblIndicators!$V$3:$V$52,iCCompSpider!S45))</f>
        <v/>
      </c>
    </row>
    <row r="46" spans="1:41" s="28" customFormat="1">
      <c r="A46" s="6">
        <f>tblCategories!A38</f>
        <v>36</v>
      </c>
      <c r="B46" s="6" t="str">
        <f>tblCategories!D38</f>
        <v>3.1.3) 26.¿Los recicladores tienen acceso a instalaciones para el almacenamiento y la clasificación de materiales?</v>
      </c>
      <c r="C46" s="6">
        <f>tblCategories!T38</f>
        <v>0</v>
      </c>
      <c r="D46" s="6">
        <v>1</v>
      </c>
      <c r="E46" s="6">
        <f t="shared" ca="1" si="0"/>
        <v>0</v>
      </c>
      <c r="F46" s="6">
        <f t="shared" si="1"/>
        <v>0</v>
      </c>
      <c r="G46" s="6">
        <f t="shared" ca="1" si="2"/>
        <v>100</v>
      </c>
      <c r="H46" s="6">
        <f t="shared" si="3"/>
        <v>1</v>
      </c>
      <c r="I46" s="6" t="e">
        <f t="shared" si="4"/>
        <v>#VALUE!</v>
      </c>
      <c r="J46" s="6">
        <f t="shared" si="5"/>
        <v>0</v>
      </c>
      <c r="K46" s="6" t="e">
        <f t="shared" si="6"/>
        <v>#VALUE!</v>
      </c>
      <c r="L46" s="6">
        <f t="shared" si="7"/>
        <v>1</v>
      </c>
      <c r="M46" s="6">
        <f t="shared" ca="1" si="27"/>
        <v>58.333333333333336</v>
      </c>
      <c r="N46" s="6"/>
      <c r="O46" s="6"/>
      <c r="P46" s="6"/>
      <c r="Q46" s="6" t="str">
        <f t="shared" si="28"/>
        <v/>
      </c>
      <c r="R46" s="6" t="str">
        <f>IF($C46=0,"",RANK(Q46,Q$11:Q$60,1)+COUNTIF(Q$11:Q46,Q46)-1)</f>
        <v/>
      </c>
      <c r="S46" s="6" t="str">
        <f t="shared" si="29"/>
        <v/>
      </c>
      <c r="T46" s="70" t="str">
        <f t="shared" si="30"/>
        <v/>
      </c>
      <c r="U46" s="70" t="str">
        <f t="shared" si="31"/>
        <v/>
      </c>
      <c r="V46" s="70">
        <f t="shared" si="32"/>
        <v>0</v>
      </c>
      <c r="W46" s="69" t="str">
        <f t="shared" si="22"/>
        <v/>
      </c>
      <c r="X46" s="6" t="str">
        <f t="shared" si="33"/>
        <v/>
      </c>
      <c r="Y46" s="6" t="str">
        <f t="shared" si="25"/>
        <v/>
      </c>
      <c r="Z46" s="6" t="str">
        <f t="shared" si="25"/>
        <v/>
      </c>
      <c r="AA46" s="6" t="str">
        <f t="shared" si="34"/>
        <v/>
      </c>
      <c r="AB46" s="6" t="str">
        <f t="shared" si="35"/>
        <v/>
      </c>
      <c r="AC46" s="6" t="str">
        <f t="shared" si="36"/>
        <v/>
      </c>
      <c r="AD46" s="6" t="str">
        <f t="shared" si="37"/>
        <v/>
      </c>
      <c r="AE46" s="6" t="str">
        <f t="shared" si="38"/>
        <v/>
      </c>
      <c r="AF46" s="6" t="str">
        <f t="shared" si="26"/>
        <v/>
      </c>
      <c r="AG46" s="6" t="str">
        <f t="shared" si="26"/>
        <v/>
      </c>
      <c r="AH46" s="6" t="str">
        <f>IF(T46="","",IF(ISERROR(INDEX(aRank,$S46+1,uxb_works!$B$25)),"",INDEX(aRank,$S46+1,uxb_works!$B$25)))</f>
        <v/>
      </c>
      <c r="AI46" s="6"/>
      <c r="AJ46" s="14" t="str">
        <f>IF(S46="","",INDEX(tblIndicators!$H$3:$H$66,iCCompSpider!S46))</f>
        <v/>
      </c>
      <c r="AK46" s="6" t="str">
        <f t="shared" si="23"/>
        <v/>
      </c>
      <c r="AL46" s="71" t="str">
        <f t="shared" si="24"/>
        <v/>
      </c>
      <c r="AM46" s="6"/>
      <c r="AN46" s="6"/>
      <c r="AO46" s="28" t="str">
        <f>IF(S46="","",INDEX(tblIndicators!$V$3:$V$52,iCCompSpider!S46))</f>
        <v/>
      </c>
    </row>
    <row r="47" spans="1:41" s="28" customFormat="1">
      <c r="A47" s="6">
        <f>tblCategories!A39</f>
        <v>37</v>
      </c>
      <c r="B47" s="6" t="str">
        <f>tblCategories!D39</f>
        <v>3.1.4) 27.¿Cuál es el nivel de desarrollo técnico alcanzado en la clasificación (o pre-procesamiento) de materiales reciclables por parte de agrupaciones de recicladores?</v>
      </c>
      <c r="C47" s="6">
        <f>tblCategories!T39</f>
        <v>0</v>
      </c>
      <c r="D47" s="6">
        <v>1</v>
      </c>
      <c r="E47" s="6">
        <f t="shared" ca="1" si="0"/>
        <v>0</v>
      </c>
      <c r="F47" s="6">
        <f t="shared" si="1"/>
        <v>0</v>
      </c>
      <c r="G47" s="6">
        <f t="shared" ca="1" si="2"/>
        <v>0</v>
      </c>
      <c r="H47" s="6">
        <f t="shared" si="3"/>
        <v>0</v>
      </c>
      <c r="I47" s="6" t="e">
        <f t="shared" si="4"/>
        <v>#VALUE!</v>
      </c>
      <c r="J47" s="6">
        <f t="shared" si="5"/>
        <v>0</v>
      </c>
      <c r="K47" s="6" t="e">
        <f t="shared" si="6"/>
        <v>#VALUE!</v>
      </c>
      <c r="L47" s="6">
        <f t="shared" si="7"/>
        <v>2</v>
      </c>
      <c r="M47" s="6">
        <f t="shared" ca="1" si="27"/>
        <v>20.833333333333332</v>
      </c>
      <c r="N47" s="6"/>
      <c r="O47" s="6"/>
      <c r="P47" s="6"/>
      <c r="Q47" s="6" t="str">
        <f t="shared" si="28"/>
        <v/>
      </c>
      <c r="R47" s="6" t="str">
        <f>IF($C47=0,"",RANK(Q47,Q$11:Q$60,1)+COUNTIF(Q$11:Q47,Q47)-1)</f>
        <v/>
      </c>
      <c r="S47" s="6" t="str">
        <f t="shared" si="29"/>
        <v/>
      </c>
      <c r="T47" s="70" t="str">
        <f t="shared" si="30"/>
        <v/>
      </c>
      <c r="U47" s="70" t="str">
        <f t="shared" si="31"/>
        <v/>
      </c>
      <c r="V47" s="70">
        <f t="shared" si="32"/>
        <v>0</v>
      </c>
      <c r="W47" s="69" t="str">
        <f t="shared" si="22"/>
        <v/>
      </c>
      <c r="X47" s="6" t="str">
        <f t="shared" si="33"/>
        <v/>
      </c>
      <c r="Y47" s="6" t="str">
        <f t="shared" si="25"/>
        <v/>
      </c>
      <c r="Z47" s="6" t="str">
        <f t="shared" si="25"/>
        <v/>
      </c>
      <c r="AA47" s="6" t="str">
        <f t="shared" si="34"/>
        <v/>
      </c>
      <c r="AB47" s="6" t="str">
        <f t="shared" si="35"/>
        <v/>
      </c>
      <c r="AC47" s="6" t="str">
        <f t="shared" si="36"/>
        <v/>
      </c>
      <c r="AD47" s="6" t="str">
        <f t="shared" si="37"/>
        <v/>
      </c>
      <c r="AE47" s="6" t="str">
        <f t="shared" si="38"/>
        <v/>
      </c>
      <c r="AF47" s="6" t="str">
        <f t="shared" si="26"/>
        <v/>
      </c>
      <c r="AG47" s="6" t="str">
        <f t="shared" si="26"/>
        <v/>
      </c>
      <c r="AH47" s="6" t="str">
        <f>IF(T47="","",IF(ISERROR(INDEX(aRank,$S47+1,uxb_works!$B$25)),"",INDEX(aRank,$S47+1,uxb_works!$B$25)))</f>
        <v/>
      </c>
      <c r="AI47" s="6"/>
      <c r="AJ47" s="14" t="str">
        <f>IF(S47="","",INDEX(tblIndicators!$H$3:$H$66,iCCompSpider!S47))</f>
        <v/>
      </c>
      <c r="AK47" s="6" t="str">
        <f t="shared" si="23"/>
        <v/>
      </c>
      <c r="AL47" s="71" t="str">
        <f t="shared" si="24"/>
        <v/>
      </c>
      <c r="AM47" s="6"/>
      <c r="AN47" s="6"/>
      <c r="AO47" s="28" t="str">
        <f>IF(S47="","",INDEX(tblIndicators!$V$3:$V$52,iCCompSpider!S47))</f>
        <v/>
      </c>
    </row>
    <row r="48" spans="1:41" s="28" customFormat="1">
      <c r="A48" s="6">
        <f>tblCategories!A40</f>
        <v>38</v>
      </c>
      <c r="B48" s="6" t="str">
        <f>tblCategories!D40</f>
        <v>3.2) Condiciones para la comercialización de material reciclable</v>
      </c>
      <c r="C48" s="6">
        <f>tblCategories!T40</f>
        <v>0</v>
      </c>
      <c r="D48" s="6">
        <v>1</v>
      </c>
      <c r="E48" s="6">
        <f t="shared" ca="1" si="0"/>
        <v>97.584355828220851</v>
      </c>
      <c r="F48" s="6" t="str">
        <f t="shared" si="1"/>
        <v/>
      </c>
      <c r="G48" s="6">
        <f t="shared" ca="1" si="2"/>
        <v>90.250766871165638</v>
      </c>
      <c r="H48" s="6" t="str">
        <f t="shared" si="3"/>
        <v/>
      </c>
      <c r="I48" s="6" t="e">
        <f t="shared" si="4"/>
        <v>#VALUE!</v>
      </c>
      <c r="J48" s="6" t="str">
        <f t="shared" si="5"/>
        <v/>
      </c>
      <c r="K48" s="6" t="e">
        <f t="shared" si="6"/>
        <v>#VALUE!</v>
      </c>
      <c r="L48" s="6" t="str">
        <f t="shared" si="7"/>
        <v/>
      </c>
      <c r="M48" s="6">
        <f t="shared" ca="1" si="27"/>
        <v>84.174999999999997</v>
      </c>
      <c r="N48" s="6"/>
      <c r="O48" s="6"/>
      <c r="P48" s="6"/>
      <c r="Q48" s="6" t="str">
        <f t="shared" si="28"/>
        <v/>
      </c>
      <c r="R48" s="6" t="str">
        <f>IF($C48=0,"",RANK(Q48,Q$11:Q$60,1)+COUNTIF(Q$11:Q48,Q48)-1)</f>
        <v/>
      </c>
      <c r="S48" s="6" t="str">
        <f t="shared" si="29"/>
        <v/>
      </c>
      <c r="T48" s="70" t="str">
        <f t="shared" si="30"/>
        <v/>
      </c>
      <c r="U48" s="70" t="str">
        <f t="shared" si="31"/>
        <v/>
      </c>
      <c r="V48" s="70">
        <f t="shared" si="32"/>
        <v>0</v>
      </c>
      <c r="W48" s="69" t="str">
        <f t="shared" si="22"/>
        <v/>
      </c>
      <c r="X48" s="6" t="str">
        <f t="shared" si="33"/>
        <v/>
      </c>
      <c r="Y48" s="6" t="str">
        <f t="shared" si="25"/>
        <v/>
      </c>
      <c r="Z48" s="6" t="str">
        <f t="shared" si="25"/>
        <v/>
      </c>
      <c r="AA48" s="6" t="str">
        <f t="shared" si="34"/>
        <v/>
      </c>
      <c r="AB48" s="6" t="str">
        <f t="shared" si="35"/>
        <v/>
      </c>
      <c r="AC48" s="6" t="str">
        <f t="shared" si="36"/>
        <v/>
      </c>
      <c r="AD48" s="6" t="str">
        <f t="shared" si="37"/>
        <v/>
      </c>
      <c r="AE48" s="6" t="str">
        <f t="shared" si="38"/>
        <v/>
      </c>
      <c r="AF48" s="6" t="str">
        <f t="shared" si="26"/>
        <v/>
      </c>
      <c r="AG48" s="6" t="str">
        <f t="shared" si="26"/>
        <v/>
      </c>
      <c r="AH48" s="6" t="str">
        <f>IF(T48="","",IF(ISERROR(INDEX(aRank,$S48+1,uxb_works!$B$25)),"",INDEX(aRank,$S48+1,uxb_works!$B$25)))</f>
        <v/>
      </c>
      <c r="AI48" s="6"/>
      <c r="AJ48" s="14" t="str">
        <f>IF(S48="","",INDEX(tblIndicators!$H$3:$H$66,iCCompSpider!S48))</f>
        <v/>
      </c>
      <c r="AK48" s="6" t="str">
        <f t="shared" si="23"/>
        <v/>
      </c>
      <c r="AL48" s="71" t="str">
        <f t="shared" si="24"/>
        <v/>
      </c>
      <c r="AM48" s="6"/>
      <c r="AN48" s="6"/>
      <c r="AO48" s="28" t="str">
        <f>IF(S48="","",INDEX(tblIndicators!$V$3:$V$52,iCCompSpider!S48))</f>
        <v/>
      </c>
    </row>
    <row r="49" spans="1:41" s="28" customFormat="1">
      <c r="A49" s="6">
        <f>tblCategories!A41</f>
        <v>39</v>
      </c>
      <c r="B49" s="6" t="str">
        <f>tblCategories!D41</f>
        <v>3.2.1) 28.¿Cuál es la diferencia de valor del material en los diferentes eslabones de la cadena del reciclaje?</v>
      </c>
      <c r="C49" s="6">
        <f>tblCategories!T41</f>
        <v>0</v>
      </c>
      <c r="D49" s="6">
        <v>1</v>
      </c>
      <c r="E49" s="6">
        <f t="shared" ca="1" si="0"/>
        <v>95.168711656441715</v>
      </c>
      <c r="F49" s="6">
        <f t="shared" si="1"/>
        <v>1.5</v>
      </c>
      <c r="G49" s="6">
        <f t="shared" ca="1" si="2"/>
        <v>80.50153374233129</v>
      </c>
      <c r="H49" s="6">
        <f t="shared" si="3"/>
        <v>2.81</v>
      </c>
      <c r="I49" s="6" t="e">
        <f t="shared" si="4"/>
        <v>#VALUE!</v>
      </c>
      <c r="J49" s="6">
        <f t="shared" si="5"/>
        <v>1.5</v>
      </c>
      <c r="K49" s="6" t="e">
        <f t="shared" si="6"/>
        <v>#VALUE!</v>
      </c>
      <c r="L49" s="6">
        <f t="shared" si="7"/>
        <v>2.3319999999999999</v>
      </c>
      <c r="M49" s="6">
        <f t="shared" ca="1" si="27"/>
        <v>79.458333333333343</v>
      </c>
      <c r="N49" s="6"/>
      <c r="O49" s="6"/>
      <c r="P49" s="6"/>
      <c r="Q49" s="6" t="str">
        <f t="shared" si="28"/>
        <v/>
      </c>
      <c r="R49" s="6" t="str">
        <f>IF($C49=0,"",RANK(Q49,Q$11:Q$60,1)+COUNTIF(Q$11:Q49,Q49)-1)</f>
        <v/>
      </c>
      <c r="S49" s="6" t="str">
        <f t="shared" si="29"/>
        <v/>
      </c>
      <c r="T49" s="70" t="str">
        <f t="shared" si="30"/>
        <v/>
      </c>
      <c r="U49" s="70" t="str">
        <f t="shared" si="31"/>
        <v/>
      </c>
      <c r="V49" s="70">
        <f t="shared" si="32"/>
        <v>0</v>
      </c>
      <c r="W49" s="69" t="str">
        <f t="shared" si="22"/>
        <v/>
      </c>
      <c r="X49" s="6" t="str">
        <f t="shared" si="33"/>
        <v/>
      </c>
      <c r="Y49" s="6" t="str">
        <f t="shared" si="25"/>
        <v/>
      </c>
      <c r="Z49" s="6" t="str">
        <f t="shared" si="25"/>
        <v/>
      </c>
      <c r="AA49" s="6" t="str">
        <f t="shared" si="34"/>
        <v/>
      </c>
      <c r="AB49" s="6" t="str">
        <f t="shared" si="35"/>
        <v/>
      </c>
      <c r="AC49" s="6" t="str">
        <f t="shared" si="36"/>
        <v/>
      </c>
      <c r="AD49" s="6" t="str">
        <f t="shared" si="37"/>
        <v/>
      </c>
      <c r="AE49" s="6" t="str">
        <f t="shared" si="38"/>
        <v/>
      </c>
      <c r="AF49" s="6" t="str">
        <f t="shared" si="26"/>
        <v/>
      </c>
      <c r="AG49" s="6" t="str">
        <f t="shared" si="26"/>
        <v/>
      </c>
      <c r="AH49" s="6" t="str">
        <f>IF(T49="","",IF(ISERROR(INDEX(aRank,$S49+1,uxb_works!$B$25)),"",INDEX(aRank,$S49+1,uxb_works!$B$25)))</f>
        <v/>
      </c>
      <c r="AI49" s="6"/>
      <c r="AJ49" s="14" t="str">
        <f>IF(S49="","",INDEX(tblIndicators!$H$3:$H$66,iCCompSpider!S49))</f>
        <v/>
      </c>
      <c r="AK49" s="6" t="str">
        <f t="shared" si="23"/>
        <v/>
      </c>
      <c r="AL49" s="71" t="str">
        <f t="shared" si="24"/>
        <v/>
      </c>
      <c r="AM49" s="6"/>
      <c r="AN49" s="6"/>
      <c r="AO49" s="28" t="str">
        <f>IF(S49="","",INDEX(tblIndicators!$V$3:$V$52,iCCompSpider!S49))</f>
        <v/>
      </c>
    </row>
    <row r="50" spans="1:41" s="28" customFormat="1">
      <c r="A50" s="6">
        <f>tblCategories!A42</f>
        <v>40</v>
      </c>
      <c r="B50" s="6" t="str">
        <f>tblCategories!D42</f>
        <v>3.2.2) 29.¿Cuál es el nivel de desarrollo de la industria transformadora a nivel nacional?</v>
      </c>
      <c r="C50" s="6">
        <f>tblCategories!T42</f>
        <v>0</v>
      </c>
      <c r="D50" s="6">
        <v>1</v>
      </c>
      <c r="E50" s="6">
        <f t="shared" ca="1" si="0"/>
        <v>100</v>
      </c>
      <c r="F50" s="6">
        <f t="shared" si="1"/>
        <v>3</v>
      </c>
      <c r="G50" s="6">
        <f t="shared" ca="1" si="2"/>
        <v>100</v>
      </c>
      <c r="H50" s="6">
        <f t="shared" si="3"/>
        <v>3</v>
      </c>
      <c r="I50" s="6" t="e">
        <f t="shared" si="4"/>
        <v>#VALUE!</v>
      </c>
      <c r="J50" s="6">
        <f t="shared" si="5"/>
        <v>3</v>
      </c>
      <c r="K50" s="6" t="e">
        <f t="shared" si="6"/>
        <v>#VALUE!</v>
      </c>
      <c r="L50" s="6">
        <f t="shared" si="7"/>
        <v>3</v>
      </c>
      <c r="M50" s="6">
        <f t="shared" ca="1" si="27"/>
        <v>88.891666666666666</v>
      </c>
      <c r="N50" s="6"/>
      <c r="O50" s="6"/>
      <c r="P50" s="6"/>
      <c r="Q50" s="6" t="str">
        <f t="shared" si="28"/>
        <v/>
      </c>
      <c r="R50" s="6" t="str">
        <f>IF($C50=0,"",RANK(Q50,Q$11:Q$60,1)+COUNTIF(Q$11:Q50,Q50)-1)</f>
        <v/>
      </c>
      <c r="S50" s="6" t="str">
        <f t="shared" si="29"/>
        <v/>
      </c>
      <c r="T50" s="70" t="str">
        <f t="shared" si="30"/>
        <v/>
      </c>
      <c r="U50" s="70" t="str">
        <f t="shared" si="31"/>
        <v/>
      </c>
      <c r="V50" s="70">
        <f t="shared" si="32"/>
        <v>0</v>
      </c>
      <c r="W50" s="69" t="str">
        <f t="shared" si="22"/>
        <v/>
      </c>
      <c r="X50" s="6" t="str">
        <f t="shared" si="33"/>
        <v/>
      </c>
      <c r="Y50" s="6" t="str">
        <f t="shared" si="25"/>
        <v/>
      </c>
      <c r="Z50" s="6" t="str">
        <f t="shared" si="25"/>
        <v/>
      </c>
      <c r="AA50" s="6" t="str">
        <f t="shared" si="34"/>
        <v/>
      </c>
      <c r="AB50" s="6" t="str">
        <f t="shared" si="35"/>
        <v/>
      </c>
      <c r="AC50" s="6" t="str">
        <f t="shared" si="36"/>
        <v/>
      </c>
      <c r="AD50" s="6" t="str">
        <f t="shared" si="37"/>
        <v/>
      </c>
      <c r="AE50" s="6" t="str">
        <f t="shared" si="38"/>
        <v/>
      </c>
      <c r="AF50" s="6" t="str">
        <f t="shared" si="26"/>
        <v/>
      </c>
      <c r="AG50" s="6" t="str">
        <f t="shared" si="26"/>
        <v/>
      </c>
      <c r="AH50" s="6" t="str">
        <f>IF(T50="","",IF(ISERROR(INDEX(aRank,$S50+1,uxb_works!$B$25)),"",INDEX(aRank,$S50+1,uxb_works!$B$25)))</f>
        <v/>
      </c>
      <c r="AI50" s="6"/>
      <c r="AJ50" s="14" t="str">
        <f>IF(S50="","",INDEX(tblIndicators!$H$3:$H$66,iCCompSpider!S50))</f>
        <v/>
      </c>
      <c r="AK50" s="6" t="str">
        <f t="shared" si="23"/>
        <v/>
      </c>
      <c r="AL50" s="71" t="str">
        <f t="shared" si="24"/>
        <v/>
      </c>
      <c r="AM50" s="6"/>
      <c r="AN50" s="6"/>
      <c r="AO50" s="28" t="str">
        <f>IF(S50="","",INDEX(tblIndicators!$V$3:$V$52,iCCompSpider!S50))</f>
        <v/>
      </c>
    </row>
    <row r="51" spans="1:41" s="28" customFormat="1">
      <c r="A51" s="6">
        <f>tblCategories!A43</f>
        <v>41</v>
      </c>
      <c r="B51" s="6" t="str">
        <f>tblCategories!D43</f>
        <v>3.3) Ingreso de los recicladores de base</v>
      </c>
      <c r="C51" s="6">
        <f>tblCategories!T43</f>
        <v>0</v>
      </c>
      <c r="D51" s="6">
        <v>1</v>
      </c>
      <c r="E51" s="6">
        <f t="shared" ca="1" si="0"/>
        <v>3.8781670473737684</v>
      </c>
      <c r="F51" s="6" t="str">
        <f t="shared" si="1"/>
        <v/>
      </c>
      <c r="G51" s="6">
        <f t="shared" ca="1" si="2"/>
        <v>10.664335664335663</v>
      </c>
      <c r="H51" s="6" t="str">
        <f t="shared" si="3"/>
        <v/>
      </c>
      <c r="I51" s="6" t="e">
        <f t="shared" si="4"/>
        <v>#VALUE!</v>
      </c>
      <c r="J51" s="6" t="str">
        <f t="shared" si="5"/>
        <v/>
      </c>
      <c r="K51" s="6" t="e">
        <f t="shared" si="6"/>
        <v>#VALUE!</v>
      </c>
      <c r="L51" s="6" t="str">
        <f t="shared" si="7"/>
        <v/>
      </c>
      <c r="M51" s="6">
        <f t="shared" ca="1" si="27"/>
        <v>31.150000000000002</v>
      </c>
      <c r="N51" s="6"/>
      <c r="O51" s="6"/>
      <c r="P51" s="6"/>
      <c r="Q51" s="6" t="str">
        <f t="shared" si="28"/>
        <v/>
      </c>
      <c r="R51" s="6" t="str">
        <f>IF($C51=0,"",RANK(Q51,Q$11:Q$60,1)+COUNTIF(Q$11:Q51,Q51)-1)</f>
        <v/>
      </c>
      <c r="S51" s="6" t="str">
        <f t="shared" si="29"/>
        <v/>
      </c>
      <c r="T51" s="70" t="str">
        <f t="shared" si="30"/>
        <v/>
      </c>
      <c r="U51" s="70" t="str">
        <f t="shared" si="31"/>
        <v/>
      </c>
      <c r="V51" s="70">
        <f t="shared" si="32"/>
        <v>0</v>
      </c>
      <c r="W51" s="69" t="str">
        <f t="shared" si="22"/>
        <v/>
      </c>
      <c r="X51" s="6" t="str">
        <f t="shared" si="33"/>
        <v/>
      </c>
      <c r="Y51" s="6" t="str">
        <f t="shared" ref="Y51:Z60" si="39">IF($S51="","",INDEX($E$11:$O$60,$S51,Y$9))</f>
        <v/>
      </c>
      <c r="Z51" s="6" t="str">
        <f t="shared" si="39"/>
        <v/>
      </c>
      <c r="AA51" s="6" t="str">
        <f t="shared" si="34"/>
        <v/>
      </c>
      <c r="AB51" s="6" t="str">
        <f t="shared" si="35"/>
        <v/>
      </c>
      <c r="AC51" s="6" t="str">
        <f t="shared" si="36"/>
        <v/>
      </c>
      <c r="AD51" s="6" t="str">
        <f t="shared" si="37"/>
        <v/>
      </c>
      <c r="AE51" s="6" t="str">
        <f t="shared" si="38"/>
        <v/>
      </c>
      <c r="AF51" s="6" t="str">
        <f t="shared" ref="AF51:AG60" si="40">IF($S51="","",INDEX($E$11:$O$60,$S51,AF$9))</f>
        <v/>
      </c>
      <c r="AG51" s="6" t="str">
        <f t="shared" si="40"/>
        <v/>
      </c>
      <c r="AH51" s="6" t="str">
        <f>IF(T51="","",IF(ISERROR(INDEX(aRank,$S51+1,uxb_works!$B$25)),"",INDEX(aRank,$S51+1,uxb_works!$B$25)))</f>
        <v/>
      </c>
      <c r="AI51" s="6"/>
      <c r="AJ51" s="14" t="str">
        <f>IF(S51="","",INDEX(tblIndicators!$H$3:$H$66,iCCompSpider!S51))</f>
        <v/>
      </c>
      <c r="AK51" s="6" t="str">
        <f t="shared" si="23"/>
        <v/>
      </c>
      <c r="AL51" s="71" t="str">
        <f t="shared" si="24"/>
        <v/>
      </c>
      <c r="AM51" s="6"/>
      <c r="AN51" s="6"/>
      <c r="AO51" s="28" t="str">
        <f>IF(S51="","",INDEX(tblIndicators!$V$3:$V$52,iCCompSpider!S51))</f>
        <v/>
      </c>
    </row>
    <row r="52" spans="1:41" s="28" customFormat="1">
      <c r="A52" s="6">
        <f>tblCategories!A44</f>
        <v>42</v>
      </c>
      <c r="B52" s="6" t="str">
        <f>tblCategories!D44</f>
        <v>3.3.1) 30.¿Se permite la contratación con agrupaciones de recicladores de base en el sistema de gestión de residuos del municipio?</v>
      </c>
      <c r="C52" s="6">
        <f>tblCategories!T44</f>
        <v>0</v>
      </c>
      <c r="D52" s="6">
        <v>1</v>
      </c>
      <c r="E52" s="6">
        <f t="shared" ca="1" si="0"/>
        <v>0</v>
      </c>
      <c r="F52" s="6">
        <f t="shared" si="1"/>
        <v>0</v>
      </c>
      <c r="G52" s="6">
        <f t="shared" ca="1" si="2"/>
        <v>0</v>
      </c>
      <c r="H52" s="6">
        <f t="shared" si="3"/>
        <v>0</v>
      </c>
      <c r="I52" s="6" t="e">
        <f t="shared" si="4"/>
        <v>#VALUE!</v>
      </c>
      <c r="J52" s="6">
        <f t="shared" si="5"/>
        <v>0</v>
      </c>
      <c r="K52" s="6" t="e">
        <f t="shared" si="6"/>
        <v>#VALUE!</v>
      </c>
      <c r="L52" s="6">
        <f t="shared" si="7"/>
        <v>2</v>
      </c>
      <c r="M52" s="6">
        <f t="shared" ca="1" si="27"/>
        <v>37.5</v>
      </c>
      <c r="N52" s="6"/>
      <c r="O52" s="6"/>
      <c r="P52" s="6"/>
      <c r="Q52" s="6" t="str">
        <f t="shared" si="28"/>
        <v/>
      </c>
      <c r="R52" s="6" t="str">
        <f>IF($C52=0,"",RANK(Q52,Q$11:Q$60,1)+COUNTIF(Q$11:Q52,Q52)-1)</f>
        <v/>
      </c>
      <c r="S52" s="6" t="str">
        <f t="shared" si="29"/>
        <v/>
      </c>
      <c r="T52" s="70" t="str">
        <f t="shared" si="30"/>
        <v/>
      </c>
      <c r="U52" s="70" t="str">
        <f t="shared" si="31"/>
        <v/>
      </c>
      <c r="V52" s="70">
        <f t="shared" si="32"/>
        <v>0</v>
      </c>
      <c r="W52" s="69" t="str">
        <f t="shared" si="22"/>
        <v/>
      </c>
      <c r="X52" s="6" t="str">
        <f t="shared" si="33"/>
        <v/>
      </c>
      <c r="Y52" s="6" t="str">
        <f t="shared" si="39"/>
        <v/>
      </c>
      <c r="Z52" s="6" t="str">
        <f t="shared" si="39"/>
        <v/>
      </c>
      <c r="AA52" s="6" t="str">
        <f t="shared" si="34"/>
        <v/>
      </c>
      <c r="AB52" s="6" t="str">
        <f t="shared" si="35"/>
        <v/>
      </c>
      <c r="AC52" s="6" t="str">
        <f t="shared" si="36"/>
        <v/>
      </c>
      <c r="AD52" s="6" t="str">
        <f t="shared" si="37"/>
        <v/>
      </c>
      <c r="AE52" s="6" t="str">
        <f t="shared" si="38"/>
        <v/>
      </c>
      <c r="AF52" s="6" t="str">
        <f t="shared" si="40"/>
        <v/>
      </c>
      <c r="AG52" s="6" t="str">
        <f t="shared" si="40"/>
        <v/>
      </c>
      <c r="AH52" s="6" t="str">
        <f>IF(T52="","",IF(ISERROR(INDEX(aRank,$S52+1,uxb_works!$B$25)),"",INDEX(aRank,$S52+1,uxb_works!$B$25)))</f>
        <v/>
      </c>
      <c r="AI52" s="6"/>
      <c r="AJ52" s="14" t="str">
        <f>IF(S52="","",INDEX(tblIndicators!$H$3:$H$66,iCCompSpider!S52))</f>
        <v/>
      </c>
      <c r="AK52" s="6" t="str">
        <f t="shared" si="23"/>
        <v/>
      </c>
      <c r="AL52" s="71" t="str">
        <f t="shared" si="24"/>
        <v/>
      </c>
      <c r="AM52" s="6"/>
      <c r="AN52" s="6"/>
      <c r="AO52" s="28" t="str">
        <f>IF(S52="","",INDEX(tblIndicators!$V$3:$V$52,iCCompSpider!S52))</f>
        <v/>
      </c>
    </row>
    <row r="53" spans="1:41" s="28" customFormat="1">
      <c r="A53" s="6">
        <f>tblCategories!A45</f>
        <v>43</v>
      </c>
      <c r="B53" s="6" t="str">
        <f>tblCategories!D45</f>
        <v>3.3.2) 31.¿Existen mecanismos de pago periódico fijo para los recicladores de base por servicios prestados?</v>
      </c>
      <c r="C53" s="6">
        <f>tblCategories!T45</f>
        <v>0</v>
      </c>
      <c r="D53" s="6">
        <v>1</v>
      </c>
      <c r="E53" s="6">
        <f t="shared" ca="1" si="0"/>
        <v>0</v>
      </c>
      <c r="F53" s="6">
        <f t="shared" si="1"/>
        <v>0</v>
      </c>
      <c r="G53" s="6">
        <f t="shared" ca="1" si="2"/>
        <v>0</v>
      </c>
      <c r="H53" s="6">
        <f t="shared" si="3"/>
        <v>0</v>
      </c>
      <c r="I53" s="6" t="e">
        <f t="shared" si="4"/>
        <v>#VALUE!</v>
      </c>
      <c r="J53" s="6">
        <f t="shared" si="5"/>
        <v>0</v>
      </c>
      <c r="K53" s="6" t="e">
        <f t="shared" si="6"/>
        <v>#VALUE!</v>
      </c>
      <c r="L53" s="6">
        <f t="shared" si="7"/>
        <v>1</v>
      </c>
      <c r="M53" s="6">
        <f t="shared" ca="1" si="27"/>
        <v>25</v>
      </c>
      <c r="N53" s="6"/>
      <c r="O53" s="6"/>
      <c r="P53" s="6"/>
      <c r="Q53" s="6" t="str">
        <f t="shared" si="28"/>
        <v/>
      </c>
      <c r="R53" s="6" t="str">
        <f>IF($C53=0,"",RANK(Q53,Q$11:Q$60,1)+COUNTIF(Q$11:Q53,Q53)-1)</f>
        <v/>
      </c>
      <c r="S53" s="6" t="str">
        <f t="shared" si="29"/>
        <v/>
      </c>
      <c r="T53" s="70" t="str">
        <f t="shared" si="30"/>
        <v/>
      </c>
      <c r="U53" s="70" t="str">
        <f t="shared" si="31"/>
        <v/>
      </c>
      <c r="V53" s="70">
        <f t="shared" si="32"/>
        <v>0</v>
      </c>
      <c r="W53" s="69" t="str">
        <f t="shared" si="22"/>
        <v/>
      </c>
      <c r="X53" s="6" t="str">
        <f t="shared" si="33"/>
        <v/>
      </c>
      <c r="Y53" s="6" t="str">
        <f t="shared" si="39"/>
        <v/>
      </c>
      <c r="Z53" s="6" t="str">
        <f t="shared" si="39"/>
        <v/>
      </c>
      <c r="AA53" s="6" t="str">
        <f t="shared" si="34"/>
        <v/>
      </c>
      <c r="AB53" s="6" t="str">
        <f t="shared" si="35"/>
        <v/>
      </c>
      <c r="AC53" s="6" t="str">
        <f t="shared" si="36"/>
        <v/>
      </c>
      <c r="AD53" s="6" t="str">
        <f t="shared" si="37"/>
        <v/>
      </c>
      <c r="AE53" s="6" t="str">
        <f t="shared" si="38"/>
        <v/>
      </c>
      <c r="AF53" s="6" t="str">
        <f t="shared" si="40"/>
        <v/>
      </c>
      <c r="AG53" s="6" t="str">
        <f t="shared" si="40"/>
        <v/>
      </c>
      <c r="AH53" s="6" t="str">
        <f>IF(T53="","",IF(ISERROR(INDEX(aRank,$S53+1,uxb_works!$B$25)),"",INDEX(aRank,$S53+1,uxb_works!$B$25)))</f>
        <v/>
      </c>
      <c r="AI53" s="6"/>
      <c r="AJ53" s="14" t="str">
        <f>IF(S53="","",INDEX(tblIndicators!$H$3:$H$66,iCCompSpider!S53))</f>
        <v/>
      </c>
      <c r="AK53" s="6" t="str">
        <f t="shared" si="23"/>
        <v/>
      </c>
      <c r="AL53" s="71" t="str">
        <f t="shared" si="24"/>
        <v/>
      </c>
      <c r="AM53" s="6"/>
      <c r="AN53" s="6"/>
      <c r="AO53" s="28" t="str">
        <f>IF(S53="","",INDEX(tblIndicators!$V$3:$V$52,iCCompSpider!S53))</f>
        <v/>
      </c>
    </row>
    <row r="54" spans="1:41" s="28" customFormat="1">
      <c r="A54" s="6">
        <f>tblCategories!A46</f>
        <v>44</v>
      </c>
      <c r="B54" s="6" t="str">
        <f>tblCategories!D46</f>
        <v>3.3.3) 32.¿Existen programas de diversificación de los servicios prestados por recicladores?</v>
      </c>
      <c r="C54" s="6">
        <f>tblCategories!T46</f>
        <v>0</v>
      </c>
      <c r="D54" s="6">
        <v>1</v>
      </c>
      <c r="E54" s="6">
        <f t="shared" ca="1" si="0"/>
        <v>0</v>
      </c>
      <c r="F54" s="6">
        <f t="shared" si="1"/>
        <v>0</v>
      </c>
      <c r="G54" s="6">
        <f t="shared" ca="1" si="2"/>
        <v>0</v>
      </c>
      <c r="H54" s="6">
        <f t="shared" si="3"/>
        <v>0</v>
      </c>
      <c r="I54" s="6" t="e">
        <f t="shared" si="4"/>
        <v>#VALUE!</v>
      </c>
      <c r="J54" s="6">
        <f t="shared" si="5"/>
        <v>0</v>
      </c>
      <c r="K54" s="6" t="e">
        <f t="shared" si="6"/>
        <v>#VALUE!</v>
      </c>
      <c r="L54" s="6">
        <f t="shared" si="7"/>
        <v>1</v>
      </c>
      <c r="M54" s="6">
        <f t="shared" ca="1" si="27"/>
        <v>16.666666666666668</v>
      </c>
      <c r="N54" s="6"/>
      <c r="O54" s="6"/>
      <c r="P54" s="6"/>
      <c r="Q54" s="6" t="str">
        <f t="shared" si="28"/>
        <v/>
      </c>
      <c r="R54" s="6" t="str">
        <f>IF($C54=0,"",RANK(Q54,Q$11:Q$60,1)+COUNTIF(Q$11:Q54,Q54)-1)</f>
        <v/>
      </c>
      <c r="S54" s="6" t="str">
        <f t="shared" si="29"/>
        <v/>
      </c>
      <c r="T54" s="70" t="str">
        <f t="shared" si="30"/>
        <v/>
      </c>
      <c r="U54" s="70" t="str">
        <f t="shared" si="31"/>
        <v/>
      </c>
      <c r="V54" s="70">
        <f t="shared" si="32"/>
        <v>0</v>
      </c>
      <c r="W54" s="69" t="str">
        <f t="shared" si="22"/>
        <v/>
      </c>
      <c r="X54" s="6" t="str">
        <f t="shared" si="33"/>
        <v/>
      </c>
      <c r="Y54" s="6" t="str">
        <f t="shared" si="39"/>
        <v/>
      </c>
      <c r="Z54" s="6" t="str">
        <f t="shared" si="39"/>
        <v/>
      </c>
      <c r="AA54" s="6" t="str">
        <f t="shared" si="34"/>
        <v/>
      </c>
      <c r="AB54" s="6" t="str">
        <f t="shared" si="35"/>
        <v/>
      </c>
      <c r="AC54" s="6" t="str">
        <f t="shared" si="36"/>
        <v/>
      </c>
      <c r="AD54" s="6" t="str">
        <f t="shared" si="37"/>
        <v/>
      </c>
      <c r="AE54" s="6" t="str">
        <f t="shared" si="38"/>
        <v/>
      </c>
      <c r="AF54" s="6" t="str">
        <f t="shared" si="40"/>
        <v/>
      </c>
      <c r="AG54" s="6" t="str">
        <f t="shared" si="40"/>
        <v/>
      </c>
      <c r="AH54" s="6" t="str">
        <f>IF(T54="","",IF(ISERROR(INDEX(aRank,$S54+1,uxb_works!$B$25)),"",INDEX(aRank,$S54+1,uxb_works!$B$25)))</f>
        <v/>
      </c>
      <c r="AI54" s="6"/>
      <c r="AJ54" s="14" t="str">
        <f>IF(S54="","",INDEX(tblIndicators!$H$3:$H$66,iCCompSpider!S54))</f>
        <v/>
      </c>
      <c r="AK54" s="6" t="str">
        <f t="shared" si="23"/>
        <v/>
      </c>
      <c r="AL54" s="71" t="str">
        <f t="shared" si="24"/>
        <v/>
      </c>
      <c r="AM54" s="6"/>
      <c r="AN54" s="6"/>
      <c r="AO54" s="28" t="str">
        <f>IF(S54="","",INDEX(tblIndicators!$V$3:$V$52,iCCompSpider!S54))</f>
        <v/>
      </c>
    </row>
    <row r="55" spans="1:41" s="28" customFormat="1">
      <c r="A55" s="6">
        <f>tblCategories!A47</f>
        <v>45</v>
      </c>
      <c r="B55" s="6" t="str">
        <f>tblCategories!D47</f>
        <v>3.3.4) 33. Ingreso promedio de los recicladores con respecto al salario mínimo nacional</v>
      </c>
      <c r="C55" s="6">
        <f>tblCategories!T47</f>
        <v>0</v>
      </c>
      <c r="D55" s="6">
        <v>1</v>
      </c>
      <c r="E55" s="6">
        <f t="shared" ca="1" si="0"/>
        <v>15.512668189495074</v>
      </c>
      <c r="F55" s="6">
        <f t="shared" si="1"/>
        <v>36.183115510977956</v>
      </c>
      <c r="G55" s="6">
        <f t="shared" ca="1" si="2"/>
        <v>42.657342657342653</v>
      </c>
      <c r="H55" s="6">
        <f t="shared" si="3"/>
        <v>75</v>
      </c>
      <c r="I55" s="6" t="e">
        <f t="shared" si="4"/>
        <v>#VALUE!</v>
      </c>
      <c r="J55" s="6">
        <f t="shared" si="5"/>
        <v>36.183115510977956</v>
      </c>
      <c r="K55" s="6" t="e">
        <f t="shared" si="6"/>
        <v>#VALUE!</v>
      </c>
      <c r="L55" s="6">
        <f t="shared" si="7"/>
        <v>157</v>
      </c>
      <c r="M55" s="6">
        <f t="shared" ca="1" si="27"/>
        <v>45.416666666666664</v>
      </c>
      <c r="N55" s="6"/>
      <c r="O55" s="6"/>
      <c r="P55" s="6"/>
      <c r="Q55" s="6" t="str">
        <f t="shared" si="28"/>
        <v/>
      </c>
      <c r="R55" s="6" t="str">
        <f>IF($C55=0,"",RANK(Q55,Q$11:Q$60,1)+COUNTIF(Q$11:Q55,Q55)-1)</f>
        <v/>
      </c>
      <c r="S55" s="6" t="str">
        <f t="shared" si="29"/>
        <v/>
      </c>
      <c r="T55" s="70" t="str">
        <f t="shared" si="30"/>
        <v/>
      </c>
      <c r="U55" s="70" t="str">
        <f t="shared" si="31"/>
        <v/>
      </c>
      <c r="V55" s="70">
        <f t="shared" si="32"/>
        <v>0</v>
      </c>
      <c r="W55" s="69" t="str">
        <f t="shared" si="22"/>
        <v/>
      </c>
      <c r="X55" s="6" t="str">
        <f t="shared" si="33"/>
        <v/>
      </c>
      <c r="Y55" s="6" t="str">
        <f t="shared" si="39"/>
        <v/>
      </c>
      <c r="Z55" s="6" t="str">
        <f t="shared" si="39"/>
        <v/>
      </c>
      <c r="AA55" s="6" t="str">
        <f t="shared" si="34"/>
        <v/>
      </c>
      <c r="AB55" s="6" t="str">
        <f t="shared" si="35"/>
        <v/>
      </c>
      <c r="AC55" s="6" t="str">
        <f t="shared" si="36"/>
        <v/>
      </c>
      <c r="AD55" s="6" t="str">
        <f t="shared" si="37"/>
        <v/>
      </c>
      <c r="AE55" s="6" t="str">
        <f t="shared" si="38"/>
        <v/>
      </c>
      <c r="AF55" s="6" t="str">
        <f t="shared" si="40"/>
        <v/>
      </c>
      <c r="AG55" s="6" t="str">
        <f t="shared" si="40"/>
        <v/>
      </c>
      <c r="AH55" s="6" t="str">
        <f>IF(T55="","",IF(ISERROR(INDEX(aRank,$S55+1,uxb_works!$B$25)),"",INDEX(aRank,$S55+1,uxb_works!$B$25)))</f>
        <v/>
      </c>
      <c r="AI55" s="6"/>
      <c r="AJ55" s="14" t="str">
        <f>IF(S55="","",INDEX(tblIndicators!$H$3:$H$66,iCCompSpider!S55))</f>
        <v/>
      </c>
      <c r="AK55" s="6" t="str">
        <f t="shared" si="23"/>
        <v/>
      </c>
      <c r="AL55" s="71" t="str">
        <f t="shared" si="24"/>
        <v/>
      </c>
      <c r="AM55" s="6"/>
      <c r="AN55" s="6"/>
      <c r="AO55" s="28" t="str">
        <f>IF(S55="","",INDEX(tblIndicators!$V$3:$V$52,iCCompSpider!S55))</f>
        <v/>
      </c>
    </row>
    <row r="56" spans="1:41" s="28" customFormat="1">
      <c r="A56" s="6">
        <f>tblCategories!A48</f>
        <v>46</v>
      </c>
      <c r="B56" s="6" t="str">
        <f>tblCategories!D48</f>
        <v>3.4) Condiciones de trabajo de los recicladores de base</v>
      </c>
      <c r="C56" s="6">
        <f>tblCategories!T48</f>
        <v>0</v>
      </c>
      <c r="D56" s="6">
        <v>1</v>
      </c>
      <c r="E56" s="6">
        <f t="shared" ca="1" si="0"/>
        <v>0</v>
      </c>
      <c r="F56" s="6" t="str">
        <f t="shared" si="1"/>
        <v/>
      </c>
      <c r="G56" s="6">
        <f t="shared" ca="1" si="2"/>
        <v>62.5</v>
      </c>
      <c r="H56" s="6" t="str">
        <f t="shared" si="3"/>
        <v/>
      </c>
      <c r="I56" s="6" t="e">
        <f t="shared" si="4"/>
        <v>#VALUE!</v>
      </c>
      <c r="J56" s="6" t="str">
        <f t="shared" si="5"/>
        <v/>
      </c>
      <c r="K56" s="6" t="e">
        <f t="shared" si="6"/>
        <v>#VALUE!</v>
      </c>
      <c r="L56" s="6" t="str">
        <f t="shared" si="7"/>
        <v/>
      </c>
      <c r="M56" s="6">
        <f t="shared" ca="1" si="27"/>
        <v>40.625</v>
      </c>
      <c r="N56" s="6"/>
      <c r="O56" s="6"/>
      <c r="P56" s="6"/>
      <c r="Q56" s="6" t="str">
        <f t="shared" si="28"/>
        <v/>
      </c>
      <c r="R56" s="6" t="str">
        <f>IF($C56=0,"",RANK(Q56,Q$11:Q$60,1)+COUNTIF(Q$11:Q56,Q56)-1)</f>
        <v/>
      </c>
      <c r="S56" s="6" t="str">
        <f t="shared" si="29"/>
        <v/>
      </c>
      <c r="T56" s="70" t="str">
        <f t="shared" si="30"/>
        <v/>
      </c>
      <c r="U56" s="70" t="str">
        <f t="shared" si="31"/>
        <v/>
      </c>
      <c r="V56" s="70">
        <f t="shared" si="32"/>
        <v>0</v>
      </c>
      <c r="W56" s="69" t="str">
        <f t="shared" si="22"/>
        <v/>
      </c>
      <c r="X56" s="6" t="str">
        <f t="shared" si="33"/>
        <v/>
      </c>
      <c r="Y56" s="6" t="str">
        <f t="shared" si="39"/>
        <v/>
      </c>
      <c r="Z56" s="6" t="str">
        <f t="shared" si="39"/>
        <v/>
      </c>
      <c r="AA56" s="6" t="str">
        <f t="shared" si="34"/>
        <v/>
      </c>
      <c r="AB56" s="6" t="str">
        <f t="shared" si="35"/>
        <v/>
      </c>
      <c r="AC56" s="6" t="str">
        <f t="shared" si="36"/>
        <v/>
      </c>
      <c r="AD56" s="6" t="str">
        <f t="shared" si="37"/>
        <v/>
      </c>
      <c r="AE56" s="6" t="str">
        <f t="shared" si="38"/>
        <v/>
      </c>
      <c r="AF56" s="6" t="str">
        <f t="shared" si="40"/>
        <v/>
      </c>
      <c r="AG56" s="6" t="str">
        <f t="shared" si="40"/>
        <v/>
      </c>
      <c r="AH56" s="6" t="str">
        <f>IF(T56="","",IF(ISERROR(INDEX(aRank,$S56+1,uxb_works!$B$25)),"",INDEX(aRank,$S56+1,uxb_works!$B$25)))</f>
        <v/>
      </c>
      <c r="AI56" s="6"/>
      <c r="AJ56" s="14" t="str">
        <f>IF(S56="","",INDEX(tblIndicators!$H$3:$H$66,iCCompSpider!S56))</f>
        <v/>
      </c>
      <c r="AK56" s="6" t="str">
        <f t="shared" si="23"/>
        <v/>
      </c>
      <c r="AL56" s="71" t="str">
        <f t="shared" si="24"/>
        <v/>
      </c>
      <c r="AM56" s="6"/>
      <c r="AN56" s="6"/>
      <c r="AO56" s="28" t="str">
        <f>IF(S56="","",INDEX(tblIndicators!$V$3:$V$52,iCCompSpider!S56))</f>
        <v/>
      </c>
    </row>
    <row r="57" spans="1:41" s="28" customFormat="1">
      <c r="A57" s="6">
        <f>tblCategories!A49</f>
        <v>47</v>
      </c>
      <c r="B57" s="6" t="str">
        <f>tblCategories!D49</f>
        <v>3.4.1) 34.¿Existe trabajo infantil en la cadena de manejo de residuos?</v>
      </c>
      <c r="C57" s="6">
        <f>tblCategories!T49</f>
        <v>0</v>
      </c>
      <c r="D57" s="6">
        <v>1</v>
      </c>
      <c r="E57" s="6">
        <f t="shared" ca="1" si="0"/>
        <v>0</v>
      </c>
      <c r="F57" s="6">
        <f t="shared" si="1"/>
        <v>0</v>
      </c>
      <c r="G57" s="6">
        <f t="shared" ca="1" si="2"/>
        <v>100</v>
      </c>
      <c r="H57" s="6">
        <f t="shared" si="3"/>
        <v>2</v>
      </c>
      <c r="I57" s="6" t="e">
        <f t="shared" si="4"/>
        <v>#VALUE!</v>
      </c>
      <c r="J57" s="6">
        <f t="shared" si="5"/>
        <v>0</v>
      </c>
      <c r="K57" s="6" t="e">
        <f t="shared" si="6"/>
        <v>#VALUE!</v>
      </c>
      <c r="L57" s="6">
        <f t="shared" si="7"/>
        <v>1</v>
      </c>
      <c r="M57" s="6">
        <f t="shared" ca="1" si="27"/>
        <v>37.5</v>
      </c>
      <c r="N57" s="6"/>
      <c r="O57" s="6"/>
      <c r="P57" s="6"/>
      <c r="Q57" s="6" t="str">
        <f t="shared" si="28"/>
        <v/>
      </c>
      <c r="R57" s="6" t="str">
        <f>IF($C57=0,"",RANK(Q57,Q$11:Q$60,1)+COUNTIF(Q$11:Q57,Q57)-1)</f>
        <v/>
      </c>
      <c r="S57" s="6" t="str">
        <f t="shared" si="29"/>
        <v/>
      </c>
      <c r="T57" s="70" t="str">
        <f t="shared" si="30"/>
        <v/>
      </c>
      <c r="U57" s="70" t="str">
        <f t="shared" si="31"/>
        <v/>
      </c>
      <c r="V57" s="70">
        <f t="shared" si="32"/>
        <v>0</v>
      </c>
      <c r="W57" s="69" t="str">
        <f t="shared" si="22"/>
        <v/>
      </c>
      <c r="X57" s="6" t="str">
        <f t="shared" si="33"/>
        <v/>
      </c>
      <c r="Y57" s="6" t="str">
        <f t="shared" si="39"/>
        <v/>
      </c>
      <c r="Z57" s="6" t="str">
        <f t="shared" si="39"/>
        <v/>
      </c>
      <c r="AA57" s="6" t="str">
        <f t="shared" si="34"/>
        <v/>
      </c>
      <c r="AB57" s="6" t="str">
        <f t="shared" si="35"/>
        <v/>
      </c>
      <c r="AC57" s="6" t="str">
        <f t="shared" si="36"/>
        <v/>
      </c>
      <c r="AD57" s="6" t="str">
        <f t="shared" si="37"/>
        <v/>
      </c>
      <c r="AE57" s="6" t="str">
        <f t="shared" si="38"/>
        <v/>
      </c>
      <c r="AF57" s="6" t="str">
        <f t="shared" si="40"/>
        <v/>
      </c>
      <c r="AG57" s="6" t="str">
        <f t="shared" si="40"/>
        <v/>
      </c>
      <c r="AH57" s="6" t="str">
        <f>IF(T57="","",IF(ISERROR(INDEX(aRank,$S57+1,uxb_works!$B$25)),"",INDEX(aRank,$S57+1,uxb_works!$B$25)))</f>
        <v/>
      </c>
      <c r="AI57" s="6"/>
      <c r="AJ57" s="14" t="str">
        <f>IF(S57="","",INDEX(tblIndicators!$H$3:$H$66,iCCompSpider!S57))</f>
        <v/>
      </c>
      <c r="AK57" s="6" t="str">
        <f t="shared" si="23"/>
        <v/>
      </c>
      <c r="AL57" s="71" t="str">
        <f t="shared" si="24"/>
        <v/>
      </c>
      <c r="AM57" s="6"/>
      <c r="AN57" s="6"/>
      <c r="AO57" s="28" t="str">
        <f>IF(S57="","",INDEX(tblIndicators!$V$3:$V$52,iCCompSpider!S57))</f>
        <v/>
      </c>
    </row>
    <row r="58" spans="1:41" s="28" customFormat="1">
      <c r="A58" s="6">
        <f>tblCategories!A50</f>
        <v>48</v>
      </c>
      <c r="B58" s="6" t="str">
        <f>tblCategories!D50</f>
        <v>3.4.2) 35.¿Cuál es el nivel de enfoque de género en las condiciones de trabajo?</v>
      </c>
      <c r="C58" s="6">
        <f>tblCategories!T50</f>
        <v>0</v>
      </c>
      <c r="D58" s="6">
        <v>1</v>
      </c>
      <c r="E58" s="6">
        <f t="shared" ca="1" si="0"/>
        <v>0</v>
      </c>
      <c r="F58" s="6">
        <f t="shared" si="1"/>
        <v>0</v>
      </c>
      <c r="G58" s="6">
        <f t="shared" ca="1" si="2"/>
        <v>0</v>
      </c>
      <c r="H58" s="6">
        <f t="shared" si="3"/>
        <v>0</v>
      </c>
      <c r="I58" s="6" t="e">
        <f t="shared" si="4"/>
        <v>#VALUE!</v>
      </c>
      <c r="J58" s="6">
        <f t="shared" si="5"/>
        <v>0</v>
      </c>
      <c r="K58" s="6" t="e">
        <f t="shared" si="6"/>
        <v>#VALUE!</v>
      </c>
      <c r="L58" s="6">
        <f t="shared" si="7"/>
        <v>1</v>
      </c>
      <c r="M58" s="6">
        <f t="shared" ca="1" si="27"/>
        <v>8.3333333333333339</v>
      </c>
      <c r="N58" s="6"/>
      <c r="O58" s="6"/>
      <c r="P58" s="6"/>
      <c r="Q58" s="6" t="str">
        <f t="shared" si="28"/>
        <v/>
      </c>
      <c r="R58" s="6" t="str">
        <f>IF($C58=0,"",RANK(Q58,Q$11:Q$60,1)+COUNTIF(Q$11:Q58,Q58)-1)</f>
        <v/>
      </c>
      <c r="S58" s="6" t="str">
        <f t="shared" si="29"/>
        <v/>
      </c>
      <c r="T58" s="70" t="str">
        <f t="shared" si="30"/>
        <v/>
      </c>
      <c r="U58" s="70" t="str">
        <f t="shared" si="31"/>
        <v/>
      </c>
      <c r="V58" s="70">
        <f t="shared" si="32"/>
        <v>0</v>
      </c>
      <c r="W58" s="69" t="str">
        <f t="shared" si="22"/>
        <v/>
      </c>
      <c r="X58" s="6" t="str">
        <f t="shared" si="33"/>
        <v/>
      </c>
      <c r="Y58" s="6" t="str">
        <f t="shared" si="39"/>
        <v/>
      </c>
      <c r="Z58" s="6" t="str">
        <f t="shared" si="39"/>
        <v/>
      </c>
      <c r="AA58" s="6" t="str">
        <f t="shared" si="34"/>
        <v/>
      </c>
      <c r="AB58" s="6" t="str">
        <f t="shared" si="35"/>
        <v/>
      </c>
      <c r="AC58" s="6" t="str">
        <f t="shared" si="36"/>
        <v/>
      </c>
      <c r="AD58" s="6" t="str">
        <f t="shared" si="37"/>
        <v/>
      </c>
      <c r="AE58" s="6" t="str">
        <f t="shared" si="38"/>
        <v/>
      </c>
      <c r="AF58" s="6" t="str">
        <f t="shared" si="40"/>
        <v/>
      </c>
      <c r="AG58" s="6" t="str">
        <f t="shared" si="40"/>
        <v/>
      </c>
      <c r="AH58" s="6" t="str">
        <f>IF(T58="","",IF(ISERROR(INDEX(aRank,$S58+1,uxb_works!$B$25)),"",INDEX(aRank,$S58+1,uxb_works!$B$25)))</f>
        <v/>
      </c>
      <c r="AI58" s="6"/>
      <c r="AJ58" s="14" t="str">
        <f>IF(S58="","",INDEX(tblIndicators!$H$3:$H$66,iCCompSpider!S58))</f>
        <v/>
      </c>
      <c r="AK58" s="6" t="str">
        <f t="shared" si="23"/>
        <v/>
      </c>
      <c r="AL58" s="71" t="str">
        <f t="shared" si="24"/>
        <v/>
      </c>
      <c r="AM58" s="6"/>
      <c r="AN58" s="6"/>
      <c r="AO58" s="28" t="str">
        <f>IF(S58="","",INDEX(tblIndicators!$V$3:$V$52,iCCompSpider!S58))</f>
        <v/>
      </c>
    </row>
    <row r="59" spans="1:41" s="28" customFormat="1">
      <c r="A59" s="6">
        <f>tblCategories!A51</f>
        <v>49</v>
      </c>
      <c r="B59" s="6" t="str">
        <f>tblCategories!D51</f>
        <v>3.4.3) 36.¿Hay planes inclusivos de cierre de vertederos a cielo abierto?</v>
      </c>
      <c r="C59" s="6">
        <f>tblCategories!T51</f>
        <v>0</v>
      </c>
      <c r="D59" s="6">
        <v>1</v>
      </c>
      <c r="E59" s="6">
        <f t="shared" ca="1" si="0"/>
        <v>0</v>
      </c>
      <c r="F59" s="6">
        <f t="shared" si="1"/>
        <v>0</v>
      </c>
      <c r="G59" s="6">
        <f t="shared" ca="1" si="2"/>
        <v>100</v>
      </c>
      <c r="H59" s="6">
        <f t="shared" si="3"/>
        <v>1</v>
      </c>
      <c r="I59" s="6" t="e">
        <f t="shared" si="4"/>
        <v>#VALUE!</v>
      </c>
      <c r="J59" s="6">
        <f t="shared" si="5"/>
        <v>0</v>
      </c>
      <c r="K59" s="6" t="e">
        <f t="shared" si="6"/>
        <v>#VALUE!</v>
      </c>
      <c r="L59" s="6">
        <f t="shared" si="7"/>
        <v>1</v>
      </c>
      <c r="M59" s="6">
        <f t="shared" ca="1" si="27"/>
        <v>83.333333333333329</v>
      </c>
      <c r="N59" s="6"/>
      <c r="O59" s="6"/>
      <c r="P59" s="6"/>
      <c r="Q59" s="6" t="str">
        <f t="shared" si="28"/>
        <v/>
      </c>
      <c r="R59" s="6" t="str">
        <f>IF($C59=0,"",RANK(Q59,Q$11:Q$60,1)+COUNTIF(Q$11:Q59,Q59)-1)</f>
        <v/>
      </c>
      <c r="S59" s="6" t="str">
        <f t="shared" si="29"/>
        <v/>
      </c>
      <c r="T59" s="70" t="str">
        <f t="shared" si="30"/>
        <v/>
      </c>
      <c r="U59" s="70" t="str">
        <f t="shared" si="31"/>
        <v/>
      </c>
      <c r="V59" s="70">
        <f t="shared" si="32"/>
        <v>0</v>
      </c>
      <c r="W59" s="69" t="str">
        <f t="shared" si="22"/>
        <v/>
      </c>
      <c r="X59" s="6" t="str">
        <f t="shared" si="33"/>
        <v/>
      </c>
      <c r="Y59" s="6" t="str">
        <f t="shared" si="39"/>
        <v/>
      </c>
      <c r="Z59" s="6" t="str">
        <f t="shared" si="39"/>
        <v/>
      </c>
      <c r="AA59" s="6" t="str">
        <f t="shared" si="34"/>
        <v/>
      </c>
      <c r="AB59" s="6" t="str">
        <f t="shared" si="35"/>
        <v/>
      </c>
      <c r="AC59" s="6" t="str">
        <f t="shared" si="36"/>
        <v/>
      </c>
      <c r="AD59" s="6" t="str">
        <f t="shared" si="37"/>
        <v/>
      </c>
      <c r="AE59" s="6" t="str">
        <f t="shared" si="38"/>
        <v/>
      </c>
      <c r="AF59" s="6" t="str">
        <f t="shared" si="40"/>
        <v/>
      </c>
      <c r="AG59" s="6" t="str">
        <f t="shared" si="40"/>
        <v/>
      </c>
      <c r="AH59" s="6" t="str">
        <f>IF(T59="","",IF(ISERROR(INDEX(aRank,$S59+1,uxb_works!$B$25)),"",INDEX(aRank,$S59+1,uxb_works!$B$25)))</f>
        <v/>
      </c>
      <c r="AI59" s="6"/>
      <c r="AJ59" s="14" t="str">
        <f>IF(S59="","",INDEX(tblIndicators!$H$3:$H$66,iCCompSpider!S59))</f>
        <v/>
      </c>
      <c r="AK59" s="6" t="str">
        <f t="shared" si="23"/>
        <v/>
      </c>
      <c r="AL59" s="71" t="str">
        <f t="shared" si="24"/>
        <v/>
      </c>
      <c r="AM59" s="6"/>
      <c r="AN59" s="6"/>
      <c r="AO59" s="28" t="str">
        <f>IF(S59="","",INDEX(tblIndicators!$V$3:$V$52,iCCompSpider!S59))</f>
        <v/>
      </c>
    </row>
    <row r="60" spans="1:41" s="28" customFormat="1">
      <c r="A60" s="6">
        <f>tblCategories!A52</f>
        <v>50</v>
      </c>
      <c r="B60" s="6" t="str">
        <f>tblCategories!D52</f>
        <v>3.4.4) 37.¿Los recicladores tienen acceso a herramientas de trabajo adecuadas?</v>
      </c>
      <c r="C60" s="6">
        <f>tblCategories!T52</f>
        <v>0</v>
      </c>
      <c r="D60" s="6">
        <v>1</v>
      </c>
      <c r="E60" s="6">
        <f t="shared" ca="1" si="0"/>
        <v>0</v>
      </c>
      <c r="F60" s="6">
        <f t="shared" si="1"/>
        <v>0</v>
      </c>
      <c r="G60" s="6">
        <f t="shared" ca="1" si="2"/>
        <v>50</v>
      </c>
      <c r="H60" s="6">
        <f t="shared" si="3"/>
        <v>1</v>
      </c>
      <c r="I60" s="6" t="e">
        <f t="shared" si="4"/>
        <v>#VALUE!</v>
      </c>
      <c r="J60" s="6">
        <f t="shared" si="5"/>
        <v>0</v>
      </c>
      <c r="K60" s="6" t="e">
        <f t="shared" si="6"/>
        <v>#VALUE!</v>
      </c>
      <c r="L60" s="6">
        <f t="shared" si="7"/>
        <v>2</v>
      </c>
      <c r="M60" s="6">
        <f t="shared" ca="1" si="27"/>
        <v>33.333333333333336</v>
      </c>
      <c r="N60" s="6"/>
      <c r="O60" s="6"/>
      <c r="P60" s="6"/>
      <c r="Q60" s="6" t="str">
        <f t="shared" si="28"/>
        <v/>
      </c>
      <c r="R60" s="6" t="str">
        <f>IF($C60=0,"",RANK(Q60,Q$11:Q$60,1)+COUNTIF(Q$11:Q60,Q60)-1)</f>
        <v/>
      </c>
      <c r="S60" s="6" t="str">
        <f t="shared" si="29"/>
        <v/>
      </c>
      <c r="T60" s="70" t="str">
        <f t="shared" si="30"/>
        <v/>
      </c>
      <c r="U60" s="70" t="str">
        <f t="shared" si="31"/>
        <v/>
      </c>
      <c r="V60" s="70">
        <f t="shared" si="32"/>
        <v>0</v>
      </c>
      <c r="W60" s="69" t="str">
        <f t="shared" si="22"/>
        <v/>
      </c>
      <c r="X60" s="6" t="str">
        <f t="shared" si="33"/>
        <v/>
      </c>
      <c r="Y60" s="6" t="str">
        <f t="shared" si="39"/>
        <v/>
      </c>
      <c r="Z60" s="6" t="str">
        <f t="shared" si="39"/>
        <v/>
      </c>
      <c r="AA60" s="6" t="str">
        <f t="shared" si="34"/>
        <v/>
      </c>
      <c r="AB60" s="6" t="str">
        <f t="shared" si="35"/>
        <v/>
      </c>
      <c r="AC60" s="6" t="str">
        <f t="shared" si="36"/>
        <v/>
      </c>
      <c r="AD60" s="6" t="str">
        <f t="shared" si="37"/>
        <v/>
      </c>
      <c r="AE60" s="6" t="str">
        <f t="shared" si="38"/>
        <v/>
      </c>
      <c r="AF60" s="6" t="str">
        <f t="shared" si="40"/>
        <v/>
      </c>
      <c r="AG60" s="6" t="str">
        <f t="shared" si="40"/>
        <v/>
      </c>
      <c r="AH60" s="6" t="str">
        <f>IF(T60="","",IF(ISERROR(INDEX(aRank,$S60+1,uxb_works!$B$25)),"",INDEX(aRank,$S60+1,uxb_works!$B$25)))</f>
        <v/>
      </c>
      <c r="AI60" s="6"/>
      <c r="AJ60" s="14" t="str">
        <f>IF(S60="","",INDEX(tblIndicators!$H$3:$H$66,iCCompSpider!S60))</f>
        <v/>
      </c>
      <c r="AK60" s="6" t="str">
        <f t="shared" si="23"/>
        <v/>
      </c>
      <c r="AL60" s="71" t="str">
        <f t="shared" si="24"/>
        <v/>
      </c>
      <c r="AM60" s="6"/>
      <c r="AN60" s="6"/>
      <c r="AO60" s="28" t="str">
        <f>IF(S60="","",INDEX(tblIndicators!$V$3:$V$52,iCCompSpider!S60))</f>
        <v/>
      </c>
    </row>
    <row r="61" spans="1:41" s="28" customFormat="1">
      <c r="A61" s="6"/>
      <c r="B61" s="6"/>
      <c r="C61" s="6"/>
      <c r="D61" s="6"/>
      <c r="E61" s="6"/>
      <c r="F61" s="6"/>
      <c r="G61" s="6"/>
      <c r="H61" s="6"/>
      <c r="I61" s="6"/>
      <c r="J61" s="6"/>
      <c r="K61" s="6"/>
      <c r="L61" s="6"/>
      <c r="M61" s="6"/>
      <c r="N61" s="6"/>
      <c r="O61" s="6"/>
      <c r="P61" s="6"/>
      <c r="Q61" s="6"/>
      <c r="R61" s="6"/>
      <c r="S61" s="6"/>
      <c r="T61" s="70"/>
      <c r="U61" s="70"/>
      <c r="V61" s="70"/>
      <c r="W61" s="69"/>
      <c r="X61" s="6"/>
      <c r="Y61" s="6"/>
      <c r="Z61" s="6"/>
      <c r="AA61" s="6"/>
      <c r="AB61" s="6"/>
      <c r="AC61" s="6"/>
      <c r="AD61" s="6"/>
      <c r="AE61" s="6"/>
      <c r="AF61" s="6"/>
      <c r="AG61" s="6"/>
      <c r="AH61" s="6"/>
      <c r="AI61" s="6"/>
      <c r="AJ61" s="14"/>
      <c r="AK61" s="6"/>
      <c r="AL61" s="71"/>
      <c r="AM61" s="6"/>
      <c r="AN61" s="6"/>
    </row>
    <row r="62" spans="1:41" s="28" customFormat="1">
      <c r="A62" s="6"/>
      <c r="B62" s="6"/>
      <c r="C62" s="6"/>
      <c r="D62" s="6"/>
      <c r="E62" s="6"/>
      <c r="F62" s="6"/>
      <c r="G62" s="6"/>
      <c r="H62" s="6"/>
      <c r="I62" s="6"/>
      <c r="J62" s="6"/>
      <c r="K62" s="6"/>
      <c r="L62" s="6"/>
      <c r="M62" s="6"/>
      <c r="N62" s="6"/>
      <c r="O62" s="6"/>
      <c r="P62" s="6"/>
      <c r="Q62" s="6"/>
      <c r="R62" s="6"/>
      <c r="S62" s="6"/>
      <c r="T62" s="70"/>
      <c r="U62" s="70"/>
      <c r="V62" s="70"/>
      <c r="W62" s="69"/>
      <c r="X62" s="6"/>
      <c r="Y62" s="6"/>
      <c r="Z62" s="6"/>
      <c r="AA62" s="6"/>
      <c r="AB62" s="6"/>
      <c r="AC62" s="6"/>
      <c r="AD62" s="6"/>
      <c r="AE62" s="6"/>
      <c r="AF62" s="6"/>
      <c r="AG62" s="6"/>
      <c r="AH62" s="6"/>
      <c r="AI62" s="6"/>
      <c r="AJ62" s="14"/>
      <c r="AK62" s="6"/>
      <c r="AL62" s="71"/>
      <c r="AM62" s="6"/>
      <c r="AN62" s="6"/>
    </row>
    <row r="63" spans="1:41" s="28" customFormat="1">
      <c r="A63" s="6"/>
      <c r="B63" s="6"/>
      <c r="C63" s="6"/>
      <c r="D63" s="6"/>
      <c r="E63" s="6"/>
      <c r="F63" s="6"/>
      <c r="G63" s="6"/>
      <c r="H63" s="6"/>
      <c r="I63" s="6"/>
      <c r="J63" s="6"/>
      <c r="K63" s="6"/>
      <c r="L63" s="6"/>
      <c r="M63" s="6"/>
      <c r="N63" s="6"/>
      <c r="O63" s="6"/>
      <c r="P63" s="6"/>
      <c r="Q63" s="6"/>
      <c r="R63" s="6"/>
      <c r="S63" s="6"/>
      <c r="T63" s="70"/>
      <c r="U63" s="70"/>
      <c r="V63" s="70"/>
      <c r="W63" s="69"/>
      <c r="X63" s="6"/>
      <c r="Y63" s="6"/>
      <c r="Z63" s="6"/>
      <c r="AA63" s="6"/>
      <c r="AB63" s="6"/>
      <c r="AC63" s="6"/>
      <c r="AD63" s="6"/>
      <c r="AE63" s="6"/>
      <c r="AF63" s="6"/>
      <c r="AG63" s="6"/>
      <c r="AH63" s="6"/>
      <c r="AI63" s="6"/>
      <c r="AJ63" s="14"/>
      <c r="AK63" s="6"/>
      <c r="AL63" s="71"/>
      <c r="AM63" s="6"/>
      <c r="AN63" s="6"/>
    </row>
    <row r="64" spans="1:41" s="28" customFormat="1">
      <c r="A64" s="6"/>
      <c r="B64" s="6"/>
      <c r="C64" s="6"/>
      <c r="D64" s="6"/>
      <c r="E64" s="6"/>
      <c r="F64" s="6"/>
      <c r="G64" s="6"/>
      <c r="H64" s="6"/>
      <c r="I64" s="6"/>
      <c r="J64" s="6"/>
      <c r="K64" s="6"/>
      <c r="L64" s="6"/>
      <c r="M64" s="6"/>
      <c r="N64" s="6"/>
      <c r="O64" s="6"/>
      <c r="P64" s="6"/>
      <c r="Q64" s="6"/>
      <c r="R64" s="6"/>
      <c r="S64" s="6"/>
      <c r="T64" s="70"/>
      <c r="U64" s="70"/>
      <c r="V64" s="70"/>
      <c r="W64" s="69"/>
      <c r="X64" s="6"/>
      <c r="Y64" s="6"/>
      <c r="Z64" s="6"/>
      <c r="AA64" s="6"/>
      <c r="AB64" s="6"/>
      <c r="AC64" s="6"/>
      <c r="AD64" s="6"/>
      <c r="AE64" s="6"/>
      <c r="AF64" s="6"/>
      <c r="AG64" s="6"/>
      <c r="AH64" s="6"/>
      <c r="AI64" s="6"/>
      <c r="AJ64" s="14"/>
      <c r="AK64" s="6"/>
      <c r="AL64" s="71"/>
      <c r="AM64" s="6"/>
      <c r="AN64" s="6"/>
    </row>
    <row r="65" spans="1:140" s="28" customFormat="1">
      <c r="A65" s="6"/>
      <c r="B65" s="6"/>
      <c r="C65" s="6"/>
      <c r="D65" s="6"/>
      <c r="E65" s="6"/>
      <c r="F65" s="6"/>
      <c r="G65" s="6"/>
      <c r="H65" s="6"/>
      <c r="I65" s="6"/>
      <c r="J65" s="6"/>
      <c r="K65" s="6"/>
      <c r="L65" s="6"/>
      <c r="M65" s="6"/>
      <c r="N65" s="6"/>
      <c r="O65" s="6"/>
      <c r="P65" s="6"/>
      <c r="Q65" s="6"/>
      <c r="R65" s="6"/>
      <c r="S65" s="6"/>
      <c r="T65" s="70"/>
      <c r="U65" s="70"/>
      <c r="V65" s="70"/>
      <c r="W65" s="69"/>
      <c r="X65" s="6"/>
      <c r="Y65" s="6"/>
      <c r="Z65" s="6"/>
      <c r="AA65" s="6"/>
      <c r="AB65" s="6"/>
      <c r="AC65" s="6"/>
      <c r="AD65" s="6"/>
      <c r="AE65" s="6"/>
      <c r="AF65" s="6"/>
      <c r="AG65" s="6"/>
      <c r="AH65" s="6"/>
      <c r="AI65" s="6"/>
      <c r="AJ65" s="14"/>
      <c r="AK65" s="6"/>
      <c r="AL65" s="71"/>
      <c r="AM65" s="6"/>
      <c r="AN65" s="6"/>
    </row>
    <row r="66" spans="1:140" s="28" customFormat="1">
      <c r="A66" s="6"/>
      <c r="B66" s="6"/>
      <c r="C66" s="6"/>
      <c r="D66" s="6"/>
      <c r="E66" s="6"/>
      <c r="F66" s="6"/>
      <c r="G66" s="6"/>
      <c r="H66" s="6"/>
      <c r="I66" s="6"/>
      <c r="J66" s="6"/>
      <c r="K66" s="6"/>
      <c r="L66" s="6"/>
      <c r="M66" s="6"/>
      <c r="N66" s="6"/>
      <c r="O66" s="6"/>
      <c r="P66" s="6"/>
      <c r="Q66" s="6"/>
      <c r="R66" s="6"/>
      <c r="S66" s="6"/>
      <c r="T66" s="70"/>
      <c r="U66" s="70"/>
      <c r="V66" s="70"/>
      <c r="W66" s="69"/>
      <c r="X66" s="6"/>
      <c r="Y66" s="6"/>
      <c r="Z66" s="6"/>
      <c r="AA66" s="6"/>
      <c r="AB66" s="6"/>
      <c r="AC66" s="6"/>
      <c r="AD66" s="6"/>
      <c r="AE66" s="6"/>
      <c r="AF66" s="6"/>
      <c r="AG66" s="6"/>
      <c r="AH66" s="6"/>
      <c r="AI66" s="6"/>
      <c r="AJ66" s="14"/>
      <c r="AK66" s="6"/>
      <c r="AL66" s="71"/>
      <c r="AM66" s="6"/>
      <c r="AN66" s="6"/>
    </row>
    <row r="67" spans="1:140" s="28" customFormat="1">
      <c r="A67" s="6"/>
      <c r="B67" s="6"/>
      <c r="C67" s="6"/>
      <c r="D67" s="6"/>
      <c r="E67" s="6"/>
      <c r="F67" s="6"/>
      <c r="G67" s="6"/>
      <c r="H67" s="6"/>
      <c r="I67" s="6"/>
      <c r="J67" s="6"/>
      <c r="K67" s="6"/>
      <c r="L67" s="6"/>
      <c r="M67" s="6"/>
      <c r="N67" s="6"/>
      <c r="O67" s="6"/>
      <c r="P67" s="6"/>
      <c r="Q67" s="6"/>
      <c r="R67" s="6"/>
      <c r="S67" s="6"/>
      <c r="T67" s="70"/>
      <c r="U67" s="70"/>
      <c r="V67" s="70"/>
      <c r="W67" s="69"/>
      <c r="X67" s="6"/>
      <c r="Y67" s="6"/>
      <c r="Z67" s="6"/>
      <c r="AA67" s="6"/>
      <c r="AB67" s="6"/>
      <c r="AC67" s="6"/>
      <c r="AD67" s="6"/>
      <c r="AE67" s="6"/>
      <c r="AF67" s="6"/>
      <c r="AG67" s="6"/>
      <c r="AH67" s="6"/>
      <c r="AI67" s="6"/>
      <c r="AJ67" s="14"/>
      <c r="AK67" s="6"/>
      <c r="AL67" s="71"/>
      <c r="AM67" s="6"/>
      <c r="AN67" s="6"/>
    </row>
    <row r="68" spans="1:140" s="28" customFormat="1">
      <c r="A68" s="6"/>
      <c r="B68" s="6"/>
      <c r="C68" s="6"/>
      <c r="D68" s="6"/>
      <c r="E68" s="6"/>
      <c r="F68" s="6"/>
      <c r="G68" s="6"/>
      <c r="H68" s="6"/>
      <c r="I68" s="6"/>
      <c r="J68" s="6"/>
      <c r="K68" s="6"/>
      <c r="L68" s="6"/>
      <c r="M68" s="6"/>
      <c r="N68" s="6"/>
      <c r="O68" s="6"/>
      <c r="P68" s="6"/>
      <c r="Q68" s="6"/>
      <c r="R68" s="6"/>
      <c r="S68" s="6"/>
      <c r="T68" s="70"/>
      <c r="U68" s="70"/>
      <c r="V68" s="70"/>
      <c r="W68" s="69"/>
      <c r="X68" s="6"/>
      <c r="Y68" s="6"/>
      <c r="Z68" s="6"/>
      <c r="AA68" s="6"/>
      <c r="AB68" s="6"/>
      <c r="AC68" s="6"/>
      <c r="AD68" s="6"/>
      <c r="AE68" s="6"/>
      <c r="AF68" s="6"/>
      <c r="AG68" s="6"/>
      <c r="AH68" s="6"/>
      <c r="AI68" s="6"/>
      <c r="AJ68" s="14"/>
      <c r="AK68" s="6"/>
      <c r="AL68" s="71"/>
      <c r="AM68" s="6"/>
      <c r="AN68" s="6"/>
    </row>
    <row r="69" spans="1:140" s="28" customFormat="1">
      <c r="A69" s="6"/>
      <c r="B69" s="6"/>
      <c r="C69" s="6"/>
      <c r="D69" s="6"/>
      <c r="E69" s="6"/>
      <c r="F69" s="6"/>
      <c r="G69" s="6"/>
      <c r="H69" s="6"/>
      <c r="I69" s="6"/>
      <c r="J69" s="6"/>
      <c r="K69" s="6"/>
      <c r="L69" s="6"/>
      <c r="M69" s="6"/>
      <c r="N69" s="6"/>
      <c r="O69" s="6"/>
      <c r="P69" s="6"/>
      <c r="Q69" s="6"/>
      <c r="R69" s="6"/>
      <c r="S69" s="6"/>
      <c r="T69" s="70"/>
      <c r="U69" s="70"/>
      <c r="V69" s="70"/>
      <c r="W69" s="69"/>
      <c r="X69" s="6"/>
      <c r="Y69" s="6"/>
      <c r="Z69" s="6"/>
      <c r="AA69" s="6"/>
      <c r="AB69" s="6"/>
      <c r="AC69" s="6"/>
      <c r="AD69" s="6"/>
      <c r="AE69" s="6"/>
      <c r="AF69" s="6"/>
      <c r="AG69" s="6"/>
      <c r="AH69" s="6"/>
      <c r="AI69" s="6"/>
      <c r="AJ69" s="14"/>
      <c r="AK69" s="6"/>
      <c r="AL69" s="71"/>
      <c r="AM69" s="6"/>
      <c r="AN69" s="6"/>
    </row>
    <row r="70" spans="1:140" s="28" customFormat="1">
      <c r="A70" s="6"/>
      <c r="B70" s="6"/>
      <c r="C70" s="6"/>
      <c r="D70" s="6"/>
      <c r="E70" s="6"/>
      <c r="F70" s="6"/>
      <c r="G70" s="6"/>
      <c r="H70" s="6"/>
      <c r="I70" s="6"/>
      <c r="J70" s="6"/>
      <c r="K70" s="6"/>
      <c r="L70" s="6"/>
      <c r="M70" s="6"/>
      <c r="N70" s="6"/>
      <c r="O70" s="6"/>
      <c r="P70" s="6"/>
      <c r="Q70" s="6"/>
      <c r="R70" s="6"/>
      <c r="S70" s="6"/>
      <c r="T70" s="70"/>
      <c r="U70" s="70"/>
      <c r="V70" s="70"/>
      <c r="W70" s="69"/>
      <c r="X70" s="6"/>
      <c r="Y70" s="6"/>
      <c r="Z70" s="6"/>
      <c r="AA70" s="6"/>
      <c r="AB70" s="6"/>
      <c r="AC70" s="6"/>
      <c r="AD70" s="6"/>
      <c r="AE70" s="6"/>
      <c r="AF70" s="6"/>
      <c r="AG70" s="6"/>
      <c r="AH70" s="6"/>
      <c r="AI70" s="6"/>
      <c r="AJ70" s="14"/>
      <c r="AK70" s="6"/>
      <c r="AL70" s="71"/>
      <c r="AM70" s="6"/>
      <c r="AN70" s="6"/>
    </row>
    <row r="71" spans="1:140" s="28" customFormat="1">
      <c r="A71" s="6"/>
      <c r="B71" s="6"/>
      <c r="C71" s="6"/>
      <c r="D71" s="6"/>
      <c r="E71" s="6"/>
      <c r="F71" s="6"/>
      <c r="G71" s="6"/>
      <c r="H71" s="6"/>
      <c r="I71" s="6"/>
      <c r="J71" s="6"/>
      <c r="K71" s="6"/>
      <c r="L71" s="6"/>
      <c r="M71" s="6"/>
      <c r="N71" s="6"/>
      <c r="O71" s="6"/>
      <c r="P71" s="6"/>
      <c r="Q71" s="6"/>
      <c r="R71" s="6"/>
      <c r="S71" s="6"/>
      <c r="T71" s="70"/>
      <c r="U71" s="70"/>
      <c r="V71" s="70"/>
      <c r="W71" s="69"/>
      <c r="X71" s="6"/>
      <c r="Y71" s="6"/>
      <c r="Z71" s="6"/>
      <c r="AA71" s="6"/>
      <c r="AB71" s="6"/>
      <c r="AC71" s="6"/>
      <c r="AD71" s="6"/>
      <c r="AE71" s="6"/>
      <c r="AF71" s="6"/>
      <c r="AG71" s="6"/>
      <c r="AH71" s="6"/>
      <c r="AI71" s="6"/>
      <c r="AJ71" s="14"/>
      <c r="AK71" s="6"/>
      <c r="AL71" s="71"/>
      <c r="AM71" s="6"/>
      <c r="AN71" s="6"/>
    </row>
    <row r="72" spans="1:140" s="28" customFormat="1">
      <c r="A72" s="6"/>
      <c r="B72" s="6"/>
      <c r="C72" s="6"/>
      <c r="D72" s="6"/>
      <c r="E72" s="6"/>
      <c r="F72" s="6"/>
      <c r="G72" s="6"/>
      <c r="H72" s="6"/>
      <c r="I72" s="6"/>
      <c r="J72" s="6"/>
      <c r="K72" s="6"/>
      <c r="L72" s="6"/>
      <c r="M72" s="6"/>
      <c r="N72" s="6"/>
      <c r="O72" s="6"/>
      <c r="P72" s="6"/>
      <c r="Q72" s="6"/>
      <c r="R72" s="6"/>
      <c r="S72" s="6"/>
      <c r="T72" s="70"/>
      <c r="U72" s="70"/>
      <c r="V72" s="70"/>
      <c r="W72" s="69"/>
      <c r="X72" s="6"/>
      <c r="Y72" s="6"/>
      <c r="Z72" s="6"/>
      <c r="AA72" s="6"/>
      <c r="AB72" s="6"/>
      <c r="AC72" s="6"/>
      <c r="AD72" s="6"/>
      <c r="AE72" s="6"/>
      <c r="AF72" s="6"/>
      <c r="AG72" s="6"/>
      <c r="AH72" s="6"/>
      <c r="AI72" s="6"/>
      <c r="AJ72" s="14"/>
      <c r="AK72" s="6"/>
      <c r="AL72" s="71"/>
      <c r="AM72" s="6"/>
      <c r="AN72" s="6"/>
    </row>
    <row r="73" spans="1:140" s="28" customFormat="1">
      <c r="A73" s="6"/>
      <c r="B73" s="6"/>
      <c r="C73" s="6"/>
      <c r="D73" s="6"/>
      <c r="E73" s="6"/>
      <c r="F73" s="6"/>
      <c r="G73" s="6"/>
      <c r="H73" s="6"/>
      <c r="I73" s="6"/>
      <c r="J73" s="6"/>
      <c r="K73" s="6"/>
      <c r="L73" s="6"/>
      <c r="M73" s="6"/>
      <c r="N73" s="6"/>
      <c r="O73" s="6"/>
      <c r="P73" s="6"/>
      <c r="Q73" s="6"/>
      <c r="R73" s="6"/>
      <c r="S73" s="6"/>
      <c r="T73" s="70"/>
      <c r="U73" s="70"/>
      <c r="V73" s="70"/>
      <c r="W73" s="69"/>
      <c r="X73" s="6"/>
      <c r="Y73" s="6"/>
      <c r="Z73" s="6"/>
      <c r="AA73" s="6"/>
      <c r="AB73" s="6"/>
      <c r="AC73" s="6"/>
      <c r="AD73" s="6"/>
      <c r="AE73" s="6"/>
      <c r="AF73" s="6"/>
      <c r="AG73" s="6"/>
      <c r="AH73" s="6"/>
      <c r="AI73" s="6"/>
      <c r="AJ73" s="14"/>
      <c r="AK73" s="6"/>
      <c r="AL73" s="71"/>
      <c r="AM73" s="6"/>
      <c r="AN73" s="6"/>
    </row>
    <row r="74" spans="1:140" s="28" customFormat="1">
      <c r="A74" s="6"/>
      <c r="B74" s="6"/>
      <c r="C74" s="6"/>
      <c r="D74" s="6"/>
      <c r="E74" s="6"/>
      <c r="F74" s="6"/>
      <c r="G74" s="6"/>
      <c r="H74" s="6"/>
      <c r="I74" s="6"/>
      <c r="J74" s="6"/>
      <c r="K74" s="6"/>
      <c r="L74" s="6"/>
      <c r="M74" s="6"/>
      <c r="N74" s="6"/>
      <c r="O74" s="6"/>
      <c r="P74" s="6"/>
      <c r="Q74" s="6"/>
      <c r="R74" s="6"/>
      <c r="S74" s="6"/>
      <c r="T74" s="70"/>
      <c r="U74" s="70"/>
      <c r="V74" s="70"/>
      <c r="W74" s="69"/>
      <c r="X74" s="6"/>
      <c r="Y74" s="6"/>
      <c r="Z74" s="6"/>
      <c r="AA74" s="6"/>
      <c r="AB74" s="6"/>
      <c r="AC74" s="6"/>
      <c r="AD74" s="6"/>
      <c r="AE74" s="6"/>
      <c r="AF74" s="6"/>
      <c r="AG74" s="6"/>
      <c r="AH74" s="6"/>
      <c r="AI74" s="6"/>
      <c r="AJ74" s="14"/>
      <c r="AK74" s="6"/>
      <c r="AL74" s="71"/>
      <c r="AM74" s="6"/>
      <c r="AN74" s="6"/>
    </row>
    <row r="75" spans="1:140" s="28" customForma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f>B4</f>
        <v>0</v>
      </c>
      <c r="BG75" s="6">
        <f>B5</f>
        <v>0</v>
      </c>
      <c r="BH75" s="6"/>
      <c r="BI75" s="6"/>
      <c r="BJ75" s="6"/>
      <c r="BK75" s="6"/>
      <c r="BL75" s="6"/>
      <c r="BM75" s="6"/>
      <c r="BN75" s="6"/>
      <c r="BO75" s="6"/>
      <c r="BP75" s="6"/>
      <c r="BQ75" s="6"/>
      <c r="BR75" s="6"/>
      <c r="BS75" s="6"/>
      <c r="BT75" s="6"/>
      <c r="BU75" s="70"/>
      <c r="BV75" s="70"/>
      <c r="BW75" s="70"/>
      <c r="BX75" s="69"/>
      <c r="BY75" s="6"/>
      <c r="BZ75" s="6"/>
      <c r="CA75" s="6"/>
      <c r="CB75" s="6"/>
      <c r="CC75" s="6"/>
      <c r="CD75" s="6"/>
      <c r="CE75" s="6"/>
      <c r="CF75" s="6"/>
      <c r="CG75" s="6"/>
      <c r="CH75" s="6"/>
      <c r="CI75" s="6"/>
      <c r="CJ75" s="6"/>
      <c r="CK75" s="14"/>
      <c r="CL75" s="6"/>
      <c r="CM75" s="71"/>
      <c r="CN75" s="6"/>
      <c r="CO75" s="6"/>
    </row>
    <row r="76" spans="1:140">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row>
    <row r="77" spans="1:140">
      <c r="AO77" s="6"/>
      <c r="AP77" s="6"/>
      <c r="AQ77" s="6"/>
      <c r="AR77" s="6"/>
      <c r="AS77" s="6"/>
      <c r="AT77" s="6"/>
      <c r="AU77" s="6"/>
      <c r="AV77" s="6"/>
      <c r="AW77" s="6"/>
      <c r="AX77" s="6"/>
      <c r="AY77" s="6"/>
      <c r="AZ77" s="6"/>
      <c r="BA77" s="6"/>
      <c r="BB77" s="6"/>
      <c r="BC77" s="6"/>
      <c r="BD77" s="6" t="str">
        <f ca="1">H2</f>
        <v>Asunción</v>
      </c>
      <c r="BE77" s="6" t="str">
        <f ca="1">H3</f>
        <v>Santiago de Chile</v>
      </c>
      <c r="BF77" s="6" t="str">
        <f ca="1">H4</f>
        <v>&lt;ninguno&gt;</v>
      </c>
      <c r="BG77" s="6" t="str">
        <f ca="1">H5</f>
        <v>&lt;ninguno&gt;</v>
      </c>
      <c r="BH77" s="6" t="str">
        <f>IF(B6=12,C6,"Promedio de todas las ciudades")</f>
        <v>Promedio de todas las ciudades</v>
      </c>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row>
    <row r="78" spans="1:140">
      <c r="AO78" s="6"/>
      <c r="AP78" s="6"/>
      <c r="AQ78" s="6"/>
      <c r="AR78" s="6"/>
      <c r="AS78" s="6"/>
      <c r="AT78" s="6"/>
      <c r="AU78" s="6"/>
      <c r="AV78" s="6"/>
      <c r="AW78" s="6"/>
      <c r="AX78" s="6"/>
      <c r="AY78" s="6"/>
      <c r="AZ78" s="6"/>
      <c r="BA78" s="6"/>
      <c r="BB78" s="6">
        <f>IF(BC78="",0,1)</f>
        <v>1</v>
      </c>
      <c r="BC78" s="6" t="str">
        <f>X11</f>
        <v>1.1) Normativa sobre gestión de residuos</v>
      </c>
      <c r="BD78" s="6">
        <f ca="1">Y11</f>
        <v>25</v>
      </c>
      <c r="BE78" s="6">
        <f ca="1">AA11</f>
        <v>50</v>
      </c>
      <c r="BF78" s="6" t="e">
        <f>AC11</f>
        <v>#VALUE!</v>
      </c>
      <c r="BG78" s="6" t="e">
        <f>AE11</f>
        <v>#VALUE!</v>
      </c>
      <c r="BH78" s="6">
        <f ca="1">AG11</f>
        <v>43.75</v>
      </c>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row>
    <row r="79" spans="1:140">
      <c r="AO79" s="6"/>
      <c r="AP79" s="6"/>
      <c r="AQ79" s="6"/>
      <c r="AR79" s="6"/>
      <c r="AS79" s="6"/>
      <c r="AT79" s="6"/>
      <c r="AU79" s="6"/>
      <c r="AV79" s="6"/>
      <c r="AW79" s="6"/>
      <c r="AX79" s="6"/>
      <c r="AY79" s="6"/>
      <c r="AZ79" s="6"/>
      <c r="BA79" s="6"/>
      <c r="BB79" s="6">
        <f t="shared" ref="BB79:BB88" si="41">IF(BC79="",0,1)</f>
        <v>1</v>
      </c>
      <c r="BC79" s="6" t="str">
        <f>X12</f>
        <v>1.2) Integración del reciclador de base</v>
      </c>
      <c r="BD79" s="6">
        <f ca="1">Y12</f>
        <v>31.25</v>
      </c>
      <c r="BE79" s="6">
        <f ca="1">AA12</f>
        <v>31.25</v>
      </c>
      <c r="BF79" s="6" t="e">
        <f>AC12</f>
        <v>#VALUE!</v>
      </c>
      <c r="BG79" s="6" t="e">
        <f>AE12</f>
        <v>#VALUE!</v>
      </c>
      <c r="BH79" s="6">
        <f ca="1">AG12</f>
        <v>40.116666666666667</v>
      </c>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row>
    <row r="80" spans="1:140">
      <c r="AO80" s="6"/>
      <c r="AP80" s="6"/>
      <c r="AQ80" s="6"/>
      <c r="AR80" s="6"/>
      <c r="AS80" s="6"/>
      <c r="AT80" s="6"/>
      <c r="AU80" s="6"/>
      <c r="AV80" s="6"/>
      <c r="AW80" s="6"/>
      <c r="AX80" s="6"/>
      <c r="AY80" s="6"/>
      <c r="AZ80" s="6"/>
      <c r="BA80" s="6"/>
      <c r="BB80" s="6">
        <f t="shared" si="41"/>
        <v>1</v>
      </c>
      <c r="BC80" s="6" t="str">
        <f t="shared" ref="BC80:BD82" si="42">X13</f>
        <v>1.3) Generación de información</v>
      </c>
      <c r="BD80" s="6">
        <f t="shared" ca="1" si="42"/>
        <v>25</v>
      </c>
      <c r="BE80" s="6">
        <f ca="1">AA13</f>
        <v>25</v>
      </c>
      <c r="BF80" s="6" t="e">
        <f>AC13</f>
        <v>#VALUE!</v>
      </c>
      <c r="BG80" s="6" t="e">
        <f>AE13</f>
        <v>#VALUE!</v>
      </c>
      <c r="BH80" s="6">
        <f ca="1">AG13</f>
        <v>31.25</v>
      </c>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row>
    <row r="81" spans="41:140">
      <c r="AO81" s="6"/>
      <c r="AP81" s="6"/>
      <c r="AQ81" s="6"/>
      <c r="AR81" s="6"/>
      <c r="AS81" s="6"/>
      <c r="AT81" s="6"/>
      <c r="AU81" s="6"/>
      <c r="AV81" s="6"/>
      <c r="AW81" s="6"/>
      <c r="AX81" s="6"/>
      <c r="AY81" s="6"/>
      <c r="AZ81" s="6"/>
      <c r="BA81" s="6"/>
      <c r="BB81" s="6">
        <f t="shared" si="41"/>
        <v>1</v>
      </c>
      <c r="BC81" s="6" t="str">
        <f t="shared" si="42"/>
        <v>1.4) Salud pública y el medioambiente</v>
      </c>
      <c r="BD81" s="6">
        <f t="shared" ca="1" si="42"/>
        <v>50</v>
      </c>
      <c r="BE81" s="6">
        <f ca="1">AA14</f>
        <v>50</v>
      </c>
      <c r="BF81" s="6" t="e">
        <f>AC14</f>
        <v>#VALUE!</v>
      </c>
      <c r="BG81" s="6" t="e">
        <f>AE14</f>
        <v>#VALUE!</v>
      </c>
      <c r="BH81" s="6">
        <f ca="1">AG14</f>
        <v>66.666666666666671</v>
      </c>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row>
    <row r="82" spans="41:140" hidden="1">
      <c r="AO82" s="6"/>
      <c r="AP82" s="6"/>
      <c r="AQ82" s="6"/>
      <c r="AR82" s="6"/>
      <c r="AS82" s="6"/>
      <c r="AT82" s="6"/>
      <c r="AU82" s="6"/>
      <c r="AV82" s="6"/>
      <c r="AW82" s="6"/>
      <c r="AX82" s="6"/>
      <c r="AY82" s="6"/>
      <c r="AZ82" s="6"/>
      <c r="BA82" s="6"/>
      <c r="BB82" s="6">
        <f t="shared" si="41"/>
        <v>0</v>
      </c>
      <c r="BC82" s="6" t="str">
        <f t="shared" si="42"/>
        <v/>
      </c>
      <c r="BD82" s="6" t="str">
        <f t="shared" si="42"/>
        <v/>
      </c>
      <c r="BE82" s="6" t="str">
        <f>AA15</f>
        <v/>
      </c>
      <c r="BF82" s="6" t="str">
        <f>AC15</f>
        <v/>
      </c>
      <c r="BG82" s="6" t="str">
        <f>AE15</f>
        <v/>
      </c>
      <c r="BH82" s="6" t="str">
        <f>AG15</f>
        <v/>
      </c>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row>
    <row r="83" spans="41:140" hidden="1">
      <c r="AO83" s="6"/>
      <c r="AP83" s="6"/>
      <c r="AQ83" s="6"/>
      <c r="AR83" s="6"/>
      <c r="AS83" s="6"/>
      <c r="AT83" s="6"/>
      <c r="AU83" s="6"/>
      <c r="AV83" s="6"/>
      <c r="AW83" s="6"/>
      <c r="AX83" s="6"/>
      <c r="AY83" s="6"/>
      <c r="AZ83" s="6"/>
      <c r="BA83" s="6"/>
      <c r="BB83" s="6">
        <f t="shared" si="41"/>
        <v>0</v>
      </c>
      <c r="BC83" s="6" t="str">
        <f t="shared" ref="BC83:BC88" si="43">X16</f>
        <v/>
      </c>
      <c r="BD83" s="6" t="str">
        <f t="shared" ref="BD83:BD88" si="44">Y16</f>
        <v/>
      </c>
      <c r="BE83" s="6" t="str">
        <f t="shared" ref="BE83:BE88" si="45">AA16</f>
        <v/>
      </c>
      <c r="BF83" s="6" t="str">
        <f t="shared" ref="BF83:BF88" si="46">AC16</f>
        <v/>
      </c>
      <c r="BG83" s="6" t="str">
        <f t="shared" ref="BG83:BG88" si="47">AE16</f>
        <v/>
      </c>
      <c r="BH83" s="6" t="str">
        <f t="shared" ref="BH83:BH88" si="48">AG16</f>
        <v/>
      </c>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row>
    <row r="84" spans="41:140" hidden="1">
      <c r="AO84" s="6"/>
      <c r="AP84" s="6"/>
      <c r="AQ84" s="6"/>
      <c r="AR84" s="6"/>
      <c r="AS84" s="6"/>
      <c r="AT84" s="6"/>
      <c r="AU84" s="6"/>
      <c r="AV84" s="6"/>
      <c r="AW84" s="6"/>
      <c r="AX84" s="6"/>
      <c r="AY84" s="6"/>
      <c r="AZ84" s="6"/>
      <c r="BA84" s="6"/>
      <c r="BB84" s="6">
        <f t="shared" si="41"/>
        <v>0</v>
      </c>
      <c r="BC84" s="6" t="str">
        <f t="shared" si="43"/>
        <v/>
      </c>
      <c r="BD84" s="6" t="str">
        <f t="shared" si="44"/>
        <v/>
      </c>
      <c r="BE84" s="6" t="str">
        <f t="shared" si="45"/>
        <v/>
      </c>
      <c r="BF84" s="6" t="str">
        <f t="shared" si="46"/>
        <v/>
      </c>
      <c r="BG84" s="6" t="str">
        <f t="shared" si="47"/>
        <v/>
      </c>
      <c r="BH84" s="6" t="str">
        <f t="shared" si="48"/>
        <v/>
      </c>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row>
    <row r="85" spans="41:140" hidden="1">
      <c r="AO85" s="6"/>
      <c r="AP85" s="6"/>
      <c r="AQ85" s="6"/>
      <c r="AR85" s="6"/>
      <c r="AS85" s="6"/>
      <c r="AT85" s="6"/>
      <c r="AU85" s="6"/>
      <c r="AV85" s="6"/>
      <c r="AW85" s="6"/>
      <c r="AX85" s="6"/>
      <c r="AY85" s="6"/>
      <c r="AZ85" s="6"/>
      <c r="BA85" s="6"/>
      <c r="BB85" s="6">
        <f t="shared" si="41"/>
        <v>0</v>
      </c>
      <c r="BC85" s="6" t="str">
        <f t="shared" si="43"/>
        <v/>
      </c>
      <c r="BD85" s="6" t="str">
        <f t="shared" si="44"/>
        <v/>
      </c>
      <c r="BE85" s="6" t="str">
        <f t="shared" si="45"/>
        <v/>
      </c>
      <c r="BF85" s="6" t="str">
        <f t="shared" si="46"/>
        <v/>
      </c>
      <c r="BG85" s="6" t="str">
        <f t="shared" si="47"/>
        <v/>
      </c>
      <c r="BH85" s="6" t="str">
        <f t="shared" si="48"/>
        <v/>
      </c>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row>
    <row r="86" spans="41:140" hidden="1">
      <c r="AO86" s="6"/>
      <c r="AP86" s="6"/>
      <c r="AQ86" s="6"/>
      <c r="AR86" s="6"/>
      <c r="AS86" s="6"/>
      <c r="AT86" s="6"/>
      <c r="AU86" s="6"/>
      <c r="AV86" s="6"/>
      <c r="AW86" s="6"/>
      <c r="AX86" s="6"/>
      <c r="AY86" s="6"/>
      <c r="AZ86" s="6"/>
      <c r="BA86" s="6"/>
      <c r="BB86" s="6">
        <f t="shared" si="41"/>
        <v>0</v>
      </c>
      <c r="BC86" s="6" t="str">
        <f t="shared" si="43"/>
        <v/>
      </c>
      <c r="BD86" s="6" t="str">
        <f t="shared" si="44"/>
        <v/>
      </c>
      <c r="BE86" s="6" t="str">
        <f t="shared" si="45"/>
        <v/>
      </c>
      <c r="BF86" s="6" t="str">
        <f t="shared" si="46"/>
        <v/>
      </c>
      <c r="BG86" s="6" t="str">
        <f t="shared" si="47"/>
        <v/>
      </c>
      <c r="BH86" s="6" t="str">
        <f t="shared" si="48"/>
        <v/>
      </c>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row>
    <row r="87" spans="41:140" hidden="1">
      <c r="AO87" s="6"/>
      <c r="AP87" s="6"/>
      <c r="AQ87" s="6"/>
      <c r="AR87" s="6"/>
      <c r="AS87" s="6"/>
      <c r="AT87" s="6"/>
      <c r="AU87" s="6"/>
      <c r="AV87" s="6"/>
      <c r="AW87" s="6"/>
      <c r="AX87" s="6"/>
      <c r="AY87" s="6"/>
      <c r="AZ87" s="6"/>
      <c r="BA87" s="6"/>
      <c r="BB87" s="6">
        <f t="shared" si="41"/>
        <v>0</v>
      </c>
      <c r="BC87" s="6" t="str">
        <f t="shared" si="43"/>
        <v/>
      </c>
      <c r="BD87" s="6" t="str">
        <f t="shared" si="44"/>
        <v/>
      </c>
      <c r="BE87" s="6" t="str">
        <f t="shared" si="45"/>
        <v/>
      </c>
      <c r="BF87" s="6" t="str">
        <f t="shared" si="46"/>
        <v/>
      </c>
      <c r="BG87" s="6" t="str">
        <f t="shared" si="47"/>
        <v/>
      </c>
      <c r="BH87" s="6" t="str">
        <f t="shared" si="48"/>
        <v/>
      </c>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row>
    <row r="88" spans="41:140" hidden="1">
      <c r="AO88" s="6"/>
      <c r="AP88" s="6"/>
      <c r="AQ88" s="6"/>
      <c r="AR88" s="6"/>
      <c r="AS88" s="6"/>
      <c r="AT88" s="6"/>
      <c r="AU88" s="6"/>
      <c r="AV88" s="6"/>
      <c r="AW88" s="6"/>
      <c r="AX88" s="6"/>
      <c r="AY88" s="6"/>
      <c r="AZ88" s="6"/>
      <c r="BA88" s="6"/>
      <c r="BB88" s="6">
        <f t="shared" si="41"/>
        <v>0</v>
      </c>
      <c r="BC88" s="6" t="str">
        <f t="shared" si="43"/>
        <v/>
      </c>
      <c r="BD88" s="6" t="str">
        <f t="shared" si="44"/>
        <v/>
      </c>
      <c r="BE88" s="6" t="str">
        <f t="shared" si="45"/>
        <v/>
      </c>
      <c r="BF88" s="6" t="str">
        <f t="shared" si="46"/>
        <v/>
      </c>
      <c r="BG88" s="6" t="str">
        <f t="shared" si="47"/>
        <v/>
      </c>
      <c r="BH88" s="6" t="str">
        <f t="shared" si="48"/>
        <v/>
      </c>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row>
    <row r="89" spans="41:140">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row>
    <row r="90" spans="41:140">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row>
    <row r="91" spans="41:140">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row>
    <row r="92" spans="41:140">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row>
    <row r="93" spans="41:140">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28"/>
      <c r="DQ93" s="28"/>
      <c r="DR93" s="28"/>
      <c r="DS93" s="28"/>
      <c r="DT93" s="28"/>
      <c r="DU93" s="28"/>
      <c r="DV93" s="28"/>
      <c r="DW93" s="28"/>
      <c r="DX93" s="28"/>
      <c r="DY93" s="28"/>
      <c r="DZ93" s="28"/>
      <c r="EA93" s="28"/>
      <c r="EB93" s="28"/>
      <c r="EC93" s="28"/>
      <c r="ED93" s="28"/>
      <c r="EE93" s="28"/>
      <c r="EF93" s="28"/>
      <c r="EG93" s="28"/>
      <c r="EH93" s="28"/>
      <c r="EI93" s="28"/>
      <c r="EJ93" s="28"/>
    </row>
    <row r="94" spans="41:140">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28"/>
      <c r="DQ94" s="28"/>
      <c r="DR94" s="28"/>
      <c r="DS94" s="28"/>
      <c r="DT94" s="28"/>
      <c r="DU94" s="28"/>
      <c r="DV94" s="28"/>
      <c r="DW94" s="28"/>
      <c r="DX94" s="28"/>
      <c r="DY94" s="28"/>
      <c r="DZ94" s="28"/>
      <c r="EA94" s="28"/>
      <c r="EB94" s="28"/>
      <c r="EC94" s="28"/>
      <c r="ED94" s="28"/>
      <c r="EE94" s="28"/>
      <c r="EF94" s="28"/>
      <c r="EG94" s="28"/>
      <c r="EH94" s="28"/>
      <c r="EI94" s="28"/>
      <c r="EJ94" s="28"/>
    </row>
    <row r="95" spans="41:140">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row>
    <row r="96" spans="41:140">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row>
    <row r="97" spans="41:140">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row>
  </sheetData>
  <pageMargins left="0.55118110236220474" right="0.55118110236220474" top="0.59055118110236227" bottom="0.78740157480314965" header="0.51181102362204722" footer="0.51181102362204722"/>
  <pageSetup paperSize="9" scale="24" orientation="landscape" r:id="rId1"/>
  <headerFooter alignWithMargins="0">
    <oddHeader>&amp;RResultados del Modelo de Reciclaje Inclusivo</oddHeader>
  </headerFooter>
</worksheet>
</file>

<file path=xl/worksheets/sheet33.xml><?xml version="1.0" encoding="utf-8"?>
<worksheet xmlns="http://schemas.openxmlformats.org/spreadsheetml/2006/main" xmlns:r="http://schemas.openxmlformats.org/officeDocument/2006/relationships">
  <sheetPr codeName="Sheet27">
    <tabColor rgb="FFFFC000"/>
    <pageSetUpPr fitToPage="1"/>
  </sheetPr>
  <dimension ref="A1:CQ59"/>
  <sheetViews>
    <sheetView showRowColHeaders="0" topLeftCell="J36" zoomScale="80" zoomScaleNormal="80" workbookViewId="0">
      <selection activeCell="Y59" sqref="Y59"/>
    </sheetView>
  </sheetViews>
  <sheetFormatPr defaultColWidth="9.140625" defaultRowHeight="15"/>
  <cols>
    <col min="1" max="1" width="9.5703125" style="6" bestFit="1" customWidth="1"/>
    <col min="2" max="2" width="9.140625" style="6"/>
    <col min="3" max="3" width="29" style="6" customWidth="1"/>
    <col min="4" max="5" width="9.5703125" style="6" bestFit="1" customWidth="1"/>
    <col min="6" max="6" width="9.85546875" style="6" bestFit="1" customWidth="1"/>
    <col min="7" max="7" width="9.5703125" style="6" bestFit="1" customWidth="1"/>
    <col min="8" max="8" width="10" style="6" bestFit="1" customWidth="1"/>
    <col min="9" max="17" width="9.140625" style="6"/>
    <col min="18" max="19" width="6.85546875" style="6" bestFit="1" customWidth="1"/>
    <col min="20" max="20" width="4" style="6" customWidth="1"/>
    <col min="21" max="21" width="6.85546875" style="6" bestFit="1" customWidth="1"/>
    <col min="22" max="23" width="4" style="6" customWidth="1"/>
    <col min="24" max="24" width="8.28515625" style="6" customWidth="1"/>
    <col min="25" max="25" width="27.7109375" style="6" customWidth="1"/>
    <col min="26" max="26" width="10.85546875" style="6" bestFit="1" customWidth="1"/>
    <col min="27" max="27" width="9.85546875" style="6" bestFit="1" customWidth="1"/>
    <col min="28" max="28" width="8.28515625" style="6" bestFit="1" customWidth="1"/>
    <col min="29" max="29" width="9.7109375" style="6" bestFit="1" customWidth="1"/>
    <col min="30" max="35" width="9.7109375" style="6" customWidth="1"/>
    <col min="36" max="36" width="5.140625" style="6" bestFit="1" customWidth="1"/>
    <col min="37" max="37" width="10.85546875" style="6" bestFit="1" customWidth="1"/>
    <col min="38" max="39" width="10.85546875" style="6" customWidth="1"/>
    <col min="40" max="40" width="4" style="6" customWidth="1"/>
    <col min="41" max="41" width="48.28515625" style="6" customWidth="1"/>
    <col min="42" max="46" width="4" style="6" customWidth="1"/>
    <col min="47" max="47" width="9.140625" style="6"/>
    <col min="48" max="50" width="12.5703125" style="28" customWidth="1"/>
    <col min="51" max="51" width="4.5703125" style="28" customWidth="1"/>
    <col min="52" max="95" width="12.5703125" style="28" customWidth="1"/>
    <col min="96" max="16384" width="9.140625" style="6"/>
  </cols>
  <sheetData>
    <row r="1" spans="1:60">
      <c r="A1" s="6" t="s">
        <v>85</v>
      </c>
      <c r="B1" s="6">
        <f>SUM(I2:I5)</f>
        <v>2</v>
      </c>
      <c r="D1" s="6" t="s">
        <v>42</v>
      </c>
      <c r="E1" s="6" t="s">
        <v>48</v>
      </c>
    </row>
    <row r="2" spans="1:60">
      <c r="A2" s="6" t="str">
        <f>uxb_works!A24</f>
        <v>CITY1_ID</v>
      </c>
      <c r="B2" s="6">
        <f>uxb_works!B24</f>
        <v>1</v>
      </c>
      <c r="C2" s="6" t="str">
        <f ca="1">CONCATENATE("Description: ",uxb_works!C24)</f>
        <v>Description: Asunción</v>
      </c>
      <c r="D2" s="6">
        <f ca="1">E7</f>
        <v>29.531599128521769</v>
      </c>
      <c r="E2" s="6" t="str">
        <f ca="1">INDEX(aRank,1,B2)</f>
        <v>10</v>
      </c>
      <c r="F2" s="6" t="str">
        <f ca="1">IF(E2&lt;E3,"*","")</f>
        <v>*</v>
      </c>
      <c r="G2" s="6" t="str">
        <f>INDEX(tblTerritories!$C$3:$C$24,B2)</f>
        <v>Asunción</v>
      </c>
      <c r="I2" s="6">
        <v>1</v>
      </c>
    </row>
    <row r="3" spans="1:60">
      <c r="A3" s="6" t="str">
        <f>uxb_works!A25</f>
        <v>CITY2_ID</v>
      </c>
      <c r="B3" s="6">
        <f>uxb_works!B25</f>
        <v>12</v>
      </c>
      <c r="C3" s="6" t="str">
        <f ca="1">CONCATENATE("Description: ",uxb_works!C25)</f>
        <v>Description: Santiago de Chile</v>
      </c>
      <c r="D3" s="6">
        <f ca="1">G7</f>
        <v>42.9813511372177</v>
      </c>
      <c r="E3" s="6" t="str">
        <f ca="1">INDEX(aRank,1,B3)</f>
        <v>7</v>
      </c>
      <c r="F3" s="6" t="str">
        <f ca="1">IF(E3&lt;E2,"*","")</f>
        <v/>
      </c>
      <c r="G3" s="6" t="str">
        <f>INDEX(tblTerritories!$C$3:$C$24,B3)</f>
        <v>Santiago de Chile</v>
      </c>
      <c r="I3" s="6">
        <v>1</v>
      </c>
    </row>
    <row r="4" spans="1:60">
      <c r="A4" s="6" t="str">
        <f>uxb_works!A26</f>
        <v>CITY3_ID</v>
      </c>
      <c r="B4" s="6">
        <f>uxb_works!B26-1</f>
        <v>0</v>
      </c>
      <c r="C4" s="6" t="str">
        <f ca="1">CONCATENATE("Description: ",uxb_works!C26)</f>
        <v>Description: &lt;ninguno&gt;</v>
      </c>
      <c r="D4" s="6" t="e">
        <f>I7</f>
        <v>#VALUE!</v>
      </c>
      <c r="E4" s="6" t="str">
        <f ca="1">INDEX(aRank,1,B4)</f>
        <v>1</v>
      </c>
      <c r="F4" s="6" t="str">
        <f ca="1">IF(E4&lt;E3,"*","")</f>
        <v>*</v>
      </c>
      <c r="G4" s="6" t="str">
        <f>INDEX(tblTerritories!$C$3:$C$24,B4)</f>
        <v>Bogotá</v>
      </c>
      <c r="I4" s="6">
        <f>IF(B4=0,0,1)</f>
        <v>0</v>
      </c>
    </row>
    <row r="5" spans="1:60">
      <c r="A5" s="6" t="str">
        <f>uxb_works!A27</f>
        <v>CITY2_ID</v>
      </c>
      <c r="B5" s="6">
        <f>uxb_works!B27-1</f>
        <v>0</v>
      </c>
      <c r="C5" s="6" t="str">
        <f ca="1">CONCATENATE("Description: ",uxb_works!C27)</f>
        <v>Description: &lt;ninguno&gt;</v>
      </c>
      <c r="D5" s="6" t="e">
        <f>K7</f>
        <v>#VALUE!</v>
      </c>
      <c r="E5" s="6" t="str">
        <f ca="1">INDEX(aRank,1,B5)</f>
        <v>1</v>
      </c>
      <c r="F5" s="6" t="str">
        <f ca="1">IF(E5&lt;E4,"*","")</f>
        <v/>
      </c>
      <c r="G5" s="6" t="str">
        <f>INDEX(tblTerritories!$C$3:$C$24,B5)</f>
        <v>Buenos Aires</v>
      </c>
      <c r="I5" s="6">
        <f>IF(B5=0,0,1)</f>
        <v>0</v>
      </c>
    </row>
    <row r="6" spans="1:60">
      <c r="E6" s="6" t="s">
        <v>42</v>
      </c>
      <c r="F6" s="6" t="s">
        <v>98</v>
      </c>
      <c r="G6" s="6" t="s">
        <v>42</v>
      </c>
      <c r="H6" s="6" t="s">
        <v>48</v>
      </c>
      <c r="I6" s="6" t="s">
        <v>42</v>
      </c>
      <c r="J6" s="6" t="s">
        <v>48</v>
      </c>
      <c r="K6" s="6" t="s">
        <v>42</v>
      </c>
      <c r="L6" s="6" t="s">
        <v>48</v>
      </c>
      <c r="M6" s="6" t="s">
        <v>67</v>
      </c>
      <c r="Y6" s="6" t="s">
        <v>96</v>
      </c>
    </row>
    <row r="7" spans="1:60">
      <c r="E7" s="6">
        <f ca="1">INDEX(aScores,1,$B$2)</f>
        <v>29.531599128521769</v>
      </c>
      <c r="F7" s="6" t="str">
        <f ca="1">INDEX(aRank,1,$B$2)</f>
        <v>10</v>
      </c>
      <c r="G7" s="6">
        <f ca="1">INDEX(aScores,1,$B$3)</f>
        <v>42.9813511372177</v>
      </c>
      <c r="H7" s="6" t="str">
        <f ca="1">INDEX(aRank,1,$B$3)</f>
        <v>7</v>
      </c>
      <c r="I7" s="6" t="e">
        <f>INDEX(aScores,1,$B$4)</f>
        <v>#VALUE!</v>
      </c>
      <c r="J7" s="6" t="str">
        <f ca="1">INDEX(aRank,1,$B$4)</f>
        <v>8</v>
      </c>
      <c r="K7" s="6" t="e">
        <f>INDEX(aScores,1,$B$5)</f>
        <v>#VALUE!</v>
      </c>
      <c r="L7" s="6" t="str">
        <f ca="1">INDEX(aRank,1,$B$5)</f>
        <v>2</v>
      </c>
      <c r="R7" s="68">
        <v>1</v>
      </c>
      <c r="AB7" s="68"/>
    </row>
    <row r="8" spans="1:60">
      <c r="E8" s="6" t="s">
        <v>277</v>
      </c>
      <c r="G8" s="6" t="s">
        <v>278</v>
      </c>
      <c r="I8" s="6" t="s">
        <v>279</v>
      </c>
      <c r="K8" s="6" t="s">
        <v>280</v>
      </c>
      <c r="R8" s="6">
        <f>INDEX(tblIndiSets!$B$5:$B$9,R7)</f>
        <v>1</v>
      </c>
      <c r="Y8" s="6">
        <v>1</v>
      </c>
      <c r="Z8" s="6">
        <v>1</v>
      </c>
      <c r="AA8" s="6">
        <v>2</v>
      </c>
      <c r="AB8" s="6">
        <v>3</v>
      </c>
      <c r="AC8" s="6">
        <v>4</v>
      </c>
      <c r="AD8" s="6">
        <v>5</v>
      </c>
      <c r="AE8" s="6">
        <v>6</v>
      </c>
      <c r="AF8" s="6">
        <v>7</v>
      </c>
      <c r="AG8" s="6">
        <v>8</v>
      </c>
      <c r="AH8" s="6">
        <v>9</v>
      </c>
      <c r="AI8" s="6">
        <v>10</v>
      </c>
      <c r="AJ8" s="6" t="s">
        <v>281</v>
      </c>
      <c r="AK8" s="6" t="s">
        <v>282</v>
      </c>
      <c r="AL8" s="6" t="s">
        <v>283</v>
      </c>
      <c r="AM8" s="6" t="s">
        <v>284</v>
      </c>
      <c r="AT8" s="6">
        <v>1</v>
      </c>
      <c r="AW8" s="28" t="s">
        <v>285</v>
      </c>
      <c r="AX8" s="28" t="s">
        <v>287</v>
      </c>
      <c r="AZ8" s="28" t="s">
        <v>286</v>
      </c>
    </row>
    <row r="9" spans="1:60">
      <c r="C9" s="6" t="s">
        <v>41</v>
      </c>
      <c r="E9" s="6" t="s">
        <v>42</v>
      </c>
      <c r="F9" s="6" t="s">
        <v>64</v>
      </c>
      <c r="G9" s="6" t="s">
        <v>42</v>
      </c>
      <c r="H9" s="6" t="s">
        <v>64</v>
      </c>
      <c r="I9" s="6" t="s">
        <v>42</v>
      </c>
      <c r="J9" s="6" t="s">
        <v>64</v>
      </c>
      <c r="K9" s="6" t="s">
        <v>42</v>
      </c>
      <c r="L9" s="6" t="s">
        <v>64</v>
      </c>
      <c r="M9" s="6" t="s">
        <v>67</v>
      </c>
      <c r="N9" s="6" t="s">
        <v>25</v>
      </c>
      <c r="R9" s="6" t="s">
        <v>42</v>
      </c>
      <c r="S9" s="6" t="s">
        <v>48</v>
      </c>
      <c r="T9" s="6" t="s">
        <v>45</v>
      </c>
      <c r="U9" s="6" t="s">
        <v>48</v>
      </c>
      <c r="Y9" s="6" t="s">
        <v>21</v>
      </c>
      <c r="Z9" s="6" t="s">
        <v>42</v>
      </c>
      <c r="AA9" s="6" t="s">
        <v>64</v>
      </c>
      <c r="AB9" s="6" t="s">
        <v>42</v>
      </c>
      <c r="AC9" s="6" t="s">
        <v>64</v>
      </c>
      <c r="AD9" s="6" t="s">
        <v>42</v>
      </c>
      <c r="AE9" s="6" t="s">
        <v>64</v>
      </c>
      <c r="AF9" s="6" t="s">
        <v>42</v>
      </c>
      <c r="AG9" s="6" t="s">
        <v>64</v>
      </c>
      <c r="AH9" s="6" t="s">
        <v>64</v>
      </c>
      <c r="AI9" s="6" t="s">
        <v>25</v>
      </c>
      <c r="AJ9" s="6" t="s">
        <v>86</v>
      </c>
      <c r="AK9" s="6" t="s">
        <v>86</v>
      </c>
      <c r="AL9" s="6" t="s">
        <v>86</v>
      </c>
      <c r="AM9" s="6" t="s">
        <v>86</v>
      </c>
      <c r="AO9" s="6" t="s">
        <v>87</v>
      </c>
      <c r="AP9" s="6" t="s">
        <v>88</v>
      </c>
      <c r="AQ9" s="6" t="s">
        <v>88</v>
      </c>
      <c r="AR9" s="6" t="s">
        <v>88</v>
      </c>
      <c r="AS9" s="6" t="s">
        <v>88</v>
      </c>
      <c r="AT9" s="69">
        <v>2</v>
      </c>
      <c r="AV9" s="6" t="s">
        <v>87</v>
      </c>
    </row>
    <row r="10" spans="1:60" s="28" customFormat="1">
      <c r="A10" s="6">
        <f>tblCategories!A3</f>
        <v>1</v>
      </c>
      <c r="B10" s="6" t="str">
        <f>tblCategories!D3</f>
        <v>1) NORMATIVA</v>
      </c>
      <c r="C10" s="6">
        <f>tblCategories!F3</f>
        <v>1</v>
      </c>
      <c r="D10" s="6">
        <v>1</v>
      </c>
      <c r="E10" s="6">
        <f t="shared" ref="E10:E59" ca="1" si="0">INDEX(aScores,$A10+1,$B$2)</f>
        <v>32.8125</v>
      </c>
      <c r="F10" s="6" t="str">
        <f t="shared" ref="F10:F59" si="1">IF(INDEX(aData,$A10+1,$B$2)="","",INDEX(aData,$A10+1,$B$2))</f>
        <v/>
      </c>
      <c r="G10" s="6">
        <f t="shared" ref="G10:G59" ca="1" si="2">INDEX(aScores,$A10+1,$B$3)</f>
        <v>39.0625</v>
      </c>
      <c r="H10" s="6" t="str">
        <f t="shared" ref="H10:H59" si="3">IF(INDEX(aData,$A10+1,$B$3)="","",INDEX(aData,$A10+1,$B$3))</f>
        <v/>
      </c>
      <c r="I10" s="6" t="e">
        <f t="shared" ref="I10:I59" si="4">INDEX(aScores,$A10+1,$B$4)</f>
        <v>#VALUE!</v>
      </c>
      <c r="J10" s="6" t="str">
        <f t="shared" ref="J10:J59" si="5">IF(INDEX(aData,$A10+1,$B$4)="","",INDEX(aData,$A10+1,$B$4))</f>
        <v/>
      </c>
      <c r="K10" s="6" t="e">
        <f t="shared" ref="K10:K59" si="6">INDEX(aScores,$A10+1,$B$5)</f>
        <v>#VALUE!</v>
      </c>
      <c r="L10" s="6" t="str">
        <f t="shared" ref="L10:L59" si="7">IF(INDEX(aData,$A10+1,$B$5)="","",INDEX(aData,$A10+1,$B$5))</f>
        <v/>
      </c>
      <c r="M10" s="6">
        <f ca="1">rScores!Z3</f>
        <v>45.441666666666663</v>
      </c>
      <c r="N10" s="6">
        <f>tblIndicators!F3</f>
        <v>1</v>
      </c>
      <c r="O10" s="6"/>
      <c r="P10" s="6"/>
      <c r="Q10" s="6"/>
      <c r="R10" s="6">
        <f t="shared" ref="R10:R41" si="8">IF($C10=0,"",(INDEX($D$10:$H$59,$A10,R$8)))</f>
        <v>1</v>
      </c>
      <c r="S10" s="6">
        <f>IF($C10=0,"",RANK(R10,R$10:R$59,1)+COUNTIF(R$10:R10,R10)-1)</f>
        <v>1</v>
      </c>
      <c r="T10" s="6">
        <f t="shared" ref="T10:T41" si="9">IF(ISERROR(MATCH($A10,S$10:S$59,0)),"",MATCH($A10,S$10:S$59,0))</f>
        <v>1</v>
      </c>
      <c r="U10" s="70">
        <f t="shared" ref="U10:U41" ca="1" si="10">IF(T10="","",RANK(Z10,Z$10:Z$59,0))</f>
        <v>10</v>
      </c>
      <c r="V10" s="70">
        <f t="shared" ref="V10:V41" ca="1" si="11">IF(T10="","",COUNTIF(Z$10:Z$59,Z10))</f>
        <v>1</v>
      </c>
      <c r="W10" s="70">
        <f t="shared" ref="W10:W41" si="12">IF(T10="",0,INDEX($D$10:$D$59,T10))</f>
        <v>1</v>
      </c>
      <c r="X10" s="69">
        <f ca="1">IF(T10="","",IF(V10&gt;1,CONCATENATE("=",U10),U10))</f>
        <v>10</v>
      </c>
      <c r="Y10" s="6" t="str">
        <f t="shared" ref="Y10:Y41" si="13">IF($T10="","",INDEX($B$10:$H$59,$T10,Y$8))</f>
        <v>1) NORMATIVA</v>
      </c>
      <c r="Z10" s="6">
        <f t="shared" ref="Z10:AA29" ca="1" si="14">IF($T10="","",INDEX($E$10:$P$59,$T10,Z$8))</f>
        <v>32.8125</v>
      </c>
      <c r="AA10" s="6" t="str">
        <f t="shared" si="14"/>
        <v/>
      </c>
      <c r="AB10" s="6">
        <f t="shared" ref="AB10:AB41" ca="1" si="15">IF($T10="","",INDEX($E$10:$L$59,$T10,AB$8))</f>
        <v>39.0625</v>
      </c>
      <c r="AC10" s="6" t="str">
        <f t="shared" ref="AC10:AC41" si="16">IF($T10="","",INDEX($E$10:$P$59,$T10,AC$8))</f>
        <v/>
      </c>
      <c r="AD10" s="6" t="e">
        <f t="shared" ref="AD10:AD41" si="17">IF($T10="","",INDEX($E$10:$L$59,$T10,AD$8))</f>
        <v>#VALUE!</v>
      </c>
      <c r="AE10" s="6" t="str">
        <f t="shared" ref="AE10:AE41" si="18">IF($T10="","",INDEX($E$10:$P$59,$T10,AE$8))</f>
        <v/>
      </c>
      <c r="AF10" s="6" t="e">
        <f t="shared" ref="AF10:AF41" si="19">IF($T10="","",INDEX($E$10:$L$59,$T10,AF$8))</f>
        <v>#VALUE!</v>
      </c>
      <c r="AG10" s="6" t="str">
        <f t="shared" ref="AG10:AI41" si="20">IF($T10="","",INDEX($E$10:$P$59,$T10,AG$8))</f>
        <v/>
      </c>
      <c r="AH10" s="6">
        <f t="shared" ca="1" si="20"/>
        <v>45.441666666666663</v>
      </c>
      <c r="AI10" s="6">
        <f t="shared" si="20"/>
        <v>1</v>
      </c>
      <c r="AJ10" s="6" t="str">
        <f ca="1">IF($T10="","",IF(ISERROR(INDEX(aRank,$T10+1,uxb_works!$B$24)),"",INDEX(aRank,$T10+1,uxb_works!$B$24)))</f>
        <v>10</v>
      </c>
      <c r="AK10" s="6" t="str">
        <f ca="1">IF($T10="","",IF(ISERROR(INDEX(aRank,$T10+1,uxb_works!$B$25)),"",INDEX(aRank,$T10+1,uxb_works!$B$25)))</f>
        <v>8</v>
      </c>
      <c r="AL10" s="6" t="str">
        <f>IF($T10="","",IF(ISERROR(INDEX(aRank,$T10+1,uxb_works!$B$26-1)),"",INDEX(aRank,$T10+1,uxb_works!$B$26-1)))</f>
        <v/>
      </c>
      <c r="AM10" s="6" t="str">
        <f>IF($T10="","",IF(ISERROR(INDEX(aRank,$T10+1,uxb_works!$B$27-1)),"",INDEX(aRank,$T10+1,uxb_works!$B$27-1)))</f>
        <v/>
      </c>
      <c r="AN10" s="6"/>
      <c r="AO10" s="14" t="str">
        <f>IF(T10="","",INDEX(tblIndicators!$H$3:$H$66,iCCompare!T10))</f>
        <v>Normativa</v>
      </c>
      <c r="AP10" s="6" t="str">
        <f t="shared" ref="AP10:AS10" ca="1" si="21">IF(AJ10=$AW10,"*","")</f>
        <v/>
      </c>
      <c r="AQ10" s="6" t="str">
        <f t="shared" ca="1" si="21"/>
        <v/>
      </c>
      <c r="AR10" s="6" t="str">
        <f t="shared" ca="1" si="21"/>
        <v/>
      </c>
      <c r="AS10" s="6" t="str">
        <f t="shared" ca="1" si="21"/>
        <v/>
      </c>
      <c r="AT10" s="6">
        <v>3</v>
      </c>
      <c r="AU10" s="6"/>
      <c r="AV10" s="28" t="str">
        <f>IF(T10="","",INDEX(tblIndicators!$V$3:$V$52,iCCompare!T10))</f>
        <v>0.0</v>
      </c>
      <c r="AW10" s="28">
        <f ca="1">MAX(AZ10:BC10)</f>
        <v>10</v>
      </c>
      <c r="AX10" s="28">
        <f ca="1">MIN(AZ10:BC10)</f>
        <v>8</v>
      </c>
      <c r="AZ10" s="6">
        <f ca="1">IF($T10="","",IF(ISERROR(INDEX(aRankNumbers,$T10+1,uxb_works!$B$24)),"",INDEX(aRankNumbers,$T10+1,uxb_works!$B$24)))</f>
        <v>10</v>
      </c>
      <c r="BA10" s="6">
        <f ca="1">IF($T10="","",IF(ISERROR(INDEX(aRankNumbers,$T10+1,uxb_works!$B$25)),"",INDEX(aRankNumbers,$T10+1,uxb_works!$B$25)))</f>
        <v>8</v>
      </c>
      <c r="BB10" s="6" t="str">
        <f>IF($T10="","",IF(ISERROR(INDEX(aRankNumbers,$T10+1,uxb_works!$B$26-1)),"",INDEX(aRankNumbers,$T10+1,uxb_works!$B$26-1)))</f>
        <v/>
      </c>
      <c r="BC10" s="6" t="str">
        <f>IF($T10="","",IF(ISERROR(INDEX(aRankNumbers,$T10+1,uxb_works!$B$27-1)),"",INDEX(aRankNumbers,$T10+1,uxb_works!$B$27-1)))</f>
        <v/>
      </c>
      <c r="BE10" s="28">
        <f ca="1">IF(AND(AZ10=$AW10,AZ10=$AX10),0,IF(AZ10=$AX10,1,IF(AZ10=$AW10,2,0)))</f>
        <v>2</v>
      </c>
      <c r="BF10" s="28">
        <f t="shared" ref="BF10:BH10" ca="1" si="22">IF(AND(BA10=$AW10,BA10=$AX10),0,IF(BA10=$AX10,1,IF(BA10=$AW10,2,0)))</f>
        <v>1</v>
      </c>
      <c r="BG10" s="28">
        <f t="shared" ca="1" si="22"/>
        <v>0</v>
      </c>
      <c r="BH10" s="28">
        <f t="shared" ca="1" si="22"/>
        <v>0</v>
      </c>
    </row>
    <row r="11" spans="1:60" s="28" customFormat="1">
      <c r="A11" s="6">
        <f>tblCategories!A4</f>
        <v>2</v>
      </c>
      <c r="B11" s="6" t="str">
        <f>tblCategories!D4</f>
        <v>1.1) Normativa sobre gestión de residuos</v>
      </c>
      <c r="C11" s="6">
        <f>tblCategories!F4</f>
        <v>1</v>
      </c>
      <c r="D11" s="6">
        <v>1</v>
      </c>
      <c r="E11" s="6">
        <f t="shared" ca="1" si="0"/>
        <v>25</v>
      </c>
      <c r="F11" s="6" t="str">
        <f t="shared" si="1"/>
        <v/>
      </c>
      <c r="G11" s="6">
        <f t="shared" ca="1" si="2"/>
        <v>50</v>
      </c>
      <c r="H11" s="6" t="str">
        <f t="shared" si="3"/>
        <v/>
      </c>
      <c r="I11" s="6" t="e">
        <f t="shared" si="4"/>
        <v>#VALUE!</v>
      </c>
      <c r="J11" s="6" t="str">
        <f t="shared" si="5"/>
        <v/>
      </c>
      <c r="K11" s="6" t="e">
        <f t="shared" si="6"/>
        <v>#VALUE!</v>
      </c>
      <c r="L11" s="6" t="str">
        <f t="shared" si="7"/>
        <v/>
      </c>
      <c r="M11" s="6">
        <f ca="1">rScores!Z4</f>
        <v>43.75</v>
      </c>
      <c r="N11" s="6">
        <f>tblIndicators!F4</f>
        <v>2</v>
      </c>
      <c r="O11" s="6"/>
      <c r="P11" s="6"/>
      <c r="Q11" s="6"/>
      <c r="R11" s="6">
        <f t="shared" si="8"/>
        <v>1</v>
      </c>
      <c r="S11" s="6">
        <f>IF($C11=0,"",RANK(R11,R$10:R$59,1)+COUNTIF(R$10:R11,R11)-1)</f>
        <v>2</v>
      </c>
      <c r="T11" s="6">
        <f t="shared" si="9"/>
        <v>2</v>
      </c>
      <c r="U11" s="70">
        <f t="shared" ca="1" si="10"/>
        <v>12</v>
      </c>
      <c r="V11" s="70">
        <f t="shared" ca="1" si="11"/>
        <v>2</v>
      </c>
      <c r="W11" s="70">
        <f t="shared" si="12"/>
        <v>1</v>
      </c>
      <c r="X11" s="69" t="str">
        <f t="shared" ref="X11:X59" ca="1" si="23">IF(T11="","",IF(V11&gt;1,CONCATENATE("=",U11),U11))</f>
        <v>=12</v>
      </c>
      <c r="Y11" s="6" t="str">
        <f t="shared" si="13"/>
        <v>1.1) Normativa sobre gestión de residuos</v>
      </c>
      <c r="Z11" s="6">
        <f t="shared" ca="1" si="14"/>
        <v>25</v>
      </c>
      <c r="AA11" s="6" t="str">
        <f t="shared" si="14"/>
        <v/>
      </c>
      <c r="AB11" s="6">
        <f t="shared" ca="1" si="15"/>
        <v>50</v>
      </c>
      <c r="AC11" s="6" t="str">
        <f t="shared" si="16"/>
        <v/>
      </c>
      <c r="AD11" s="6" t="e">
        <f t="shared" si="17"/>
        <v>#VALUE!</v>
      </c>
      <c r="AE11" s="6" t="str">
        <f t="shared" si="18"/>
        <v/>
      </c>
      <c r="AF11" s="6" t="e">
        <f t="shared" si="19"/>
        <v>#VALUE!</v>
      </c>
      <c r="AG11" s="6" t="str">
        <f t="shared" si="20"/>
        <v/>
      </c>
      <c r="AH11" s="6">
        <f t="shared" ca="1" si="20"/>
        <v>43.75</v>
      </c>
      <c r="AI11" s="6">
        <f t="shared" si="20"/>
        <v>2</v>
      </c>
      <c r="AJ11" s="6" t="str">
        <f ca="1">IF($T11="","",IF(ISERROR(INDEX(aRank,$T11+1,uxb_works!$B$24)),"",INDEX(aRank,$T11+1,uxb_works!$B$24)))</f>
        <v>=7</v>
      </c>
      <c r="AK11" s="6" t="str">
        <f ca="1">IF($T11="","",IF(ISERROR(INDEX(aRank,$T11+1,uxb_works!$B$25)),"",INDEX(aRank,$T11+1,uxb_works!$B$25)))</f>
        <v>6</v>
      </c>
      <c r="AL11" s="6" t="str">
        <f>IF($T11="","",IF(ISERROR(INDEX(aRank,$T11+1,uxb_works!$B$26-1)),"",INDEX(aRank,$T11+1,uxb_works!$B$26-1)))</f>
        <v/>
      </c>
      <c r="AM11" s="6" t="str">
        <f>IF($T11="","",IF(ISERROR(INDEX(aRank,$T11+1,uxb_works!$B$27-1)),"",INDEX(aRank,$T11+1,uxb_works!$B$27-1)))</f>
        <v/>
      </c>
      <c r="AN11" s="6"/>
      <c r="AO11" s="14" t="str">
        <f>IF(T11="","",INDEX(tblIndicators!$H$3:$H$66,iCCompare!T11))</f>
        <v>Normativa sobre gestión de residuos</v>
      </c>
      <c r="AP11" s="6" t="str">
        <f t="shared" ref="AP11:AP59" ca="1" si="24">IF(AJ11=$AW11,"*","")</f>
        <v/>
      </c>
      <c r="AQ11" s="6" t="str">
        <f t="shared" ref="AQ11:AQ59" ca="1" si="25">IF(AK11=$AW11,"*","")</f>
        <v/>
      </c>
      <c r="AR11" s="6" t="str">
        <f t="shared" ref="AR11:AR59" ca="1" si="26">IF(AL11=$AW11,"*","")</f>
        <v/>
      </c>
      <c r="AS11" s="6" t="str">
        <f t="shared" ref="AS11:AS59" ca="1" si="27">IF(AM11=$AW11,"*","")</f>
        <v/>
      </c>
      <c r="AT11" s="6">
        <v>3</v>
      </c>
      <c r="AU11" s="6"/>
      <c r="AV11" s="28" t="str">
        <f>IF(T11="","",INDEX(tblIndicators!$V$3:$V$52,iCCompare!T11))</f>
        <v>0.0</v>
      </c>
      <c r="AW11" s="28">
        <f t="shared" ref="AW11:AW59" ca="1" si="28">MAX(AZ11:BC11)</f>
        <v>7</v>
      </c>
      <c r="AX11" s="28">
        <f t="shared" ref="AX11:AX59" ca="1" si="29">MIN(AZ11:BC11)</f>
        <v>6</v>
      </c>
      <c r="AZ11" s="6">
        <f ca="1">IF($T11="","",IF(ISERROR(INDEX(aRankNumbers,$T11+1,uxb_works!$B$24)),"",INDEX(aRankNumbers,$T11+1,uxb_works!$B$24)))</f>
        <v>7</v>
      </c>
      <c r="BA11" s="6">
        <f ca="1">IF($T11="","",IF(ISERROR(INDEX(aRankNumbers,$T11+1,uxb_works!$B$25)),"",INDEX(aRankNumbers,$T11+1,uxb_works!$B$25)))</f>
        <v>6</v>
      </c>
      <c r="BB11" s="6" t="str">
        <f>IF($T11="","",IF(ISERROR(INDEX(aRankNumbers,$T11+1,uxb_works!$B$26-1)),"",INDEX(aRankNumbers,$T11+1,uxb_works!$B$26-1)))</f>
        <v/>
      </c>
      <c r="BC11" s="6" t="str">
        <f>IF($T11="","",IF(ISERROR(INDEX(aRankNumbers,$T11+1,uxb_works!$B$27-1)),"",INDEX(aRankNumbers,$T11+1,uxb_works!$B$27-1)))</f>
        <v/>
      </c>
      <c r="BE11" s="28">
        <f t="shared" ref="BE11:BE59" ca="1" si="30">IF(AND(AZ11=$AW11,AZ11=$AX11),0,IF(AZ11=$AX11,1,IF(AZ11=$AW11,2,0)))</f>
        <v>2</v>
      </c>
      <c r="BF11" s="28">
        <f t="shared" ref="BF11:BF59" ca="1" si="31">IF(AND(BA11=$AW11,BA11=$AX11),0,IF(BA11=$AX11,1,IF(BA11=$AW11,2,0)))</f>
        <v>1</v>
      </c>
      <c r="BG11" s="28">
        <f t="shared" ref="BG11:BG59" ca="1" si="32">IF(AND(BB11=$AW11,BB11=$AX11),0,IF(BB11=$AX11,1,IF(BB11=$AW11,2,0)))</f>
        <v>0</v>
      </c>
      <c r="BH11" s="28">
        <f t="shared" ref="BH11:BH59" ca="1" si="33">IF(AND(BC11=$AW11,BC11=$AX11),0,IF(BC11=$AX11,1,IF(BC11=$AW11,2,0)))</f>
        <v>0</v>
      </c>
    </row>
    <row r="12" spans="1:60" s="28" customFormat="1">
      <c r="A12" s="6">
        <f>tblCategories!A5</f>
        <v>3</v>
      </c>
      <c r="B12" s="6" t="str">
        <f>tblCategories!D5</f>
        <v>1.1.1) 1.¿ Existe un marco legal nacional para la gestión de residuos orientado al reciclaje con la inclusión de actores informales?</v>
      </c>
      <c r="C12" s="6">
        <f>tblCategories!F5</f>
        <v>1</v>
      </c>
      <c r="D12" s="6">
        <v>1</v>
      </c>
      <c r="E12" s="6">
        <f t="shared" ca="1" si="0"/>
        <v>0</v>
      </c>
      <c r="F12" s="6">
        <f t="shared" si="1"/>
        <v>0</v>
      </c>
      <c r="G12" s="6">
        <f t="shared" ca="1" si="2"/>
        <v>50</v>
      </c>
      <c r="H12" s="6">
        <f t="shared" si="3"/>
        <v>1</v>
      </c>
      <c r="I12" s="6" t="e">
        <f t="shared" si="4"/>
        <v>#VALUE!</v>
      </c>
      <c r="J12" s="6">
        <f t="shared" si="5"/>
        <v>0</v>
      </c>
      <c r="K12" s="6" t="e">
        <f t="shared" si="6"/>
        <v>#VALUE!</v>
      </c>
      <c r="L12" s="6">
        <f t="shared" si="7"/>
        <v>0</v>
      </c>
      <c r="M12" s="6">
        <f ca="1">rScores!Z5</f>
        <v>37.5</v>
      </c>
      <c r="N12" s="6">
        <f>tblIndicators!F5</f>
        <v>3</v>
      </c>
      <c r="O12" s="6"/>
      <c r="P12" s="6"/>
      <c r="Q12" s="6"/>
      <c r="R12" s="6">
        <f t="shared" si="8"/>
        <v>1</v>
      </c>
      <c r="S12" s="6">
        <f>IF($C12=0,"",RANK(R12,R$10:R$59,1)+COUNTIF(R$10:R12,R12)-1)</f>
        <v>3</v>
      </c>
      <c r="T12" s="6">
        <f t="shared" si="9"/>
        <v>3</v>
      </c>
      <c r="U12" s="70">
        <f t="shared" ca="1" si="10"/>
        <v>14</v>
      </c>
      <c r="V12" s="70">
        <f t="shared" ca="1" si="11"/>
        <v>7</v>
      </c>
      <c r="W12" s="70">
        <f t="shared" si="12"/>
        <v>1</v>
      </c>
      <c r="X12" s="69" t="str">
        <f t="shared" ca="1" si="23"/>
        <v>=14</v>
      </c>
      <c r="Y12" s="6" t="str">
        <f t="shared" si="13"/>
        <v>1.1.1) 1.¿ Existe un marco legal nacional para la gestión de residuos orientado al reciclaje con la inclusión de actores informales?</v>
      </c>
      <c r="Z12" s="6">
        <f t="shared" ca="1" si="14"/>
        <v>0</v>
      </c>
      <c r="AA12" s="6">
        <f t="shared" si="14"/>
        <v>0</v>
      </c>
      <c r="AB12" s="6">
        <f t="shared" ca="1" si="15"/>
        <v>50</v>
      </c>
      <c r="AC12" s="6">
        <f t="shared" si="16"/>
        <v>1</v>
      </c>
      <c r="AD12" s="6" t="e">
        <f t="shared" si="17"/>
        <v>#VALUE!</v>
      </c>
      <c r="AE12" s="6">
        <f t="shared" si="18"/>
        <v>0</v>
      </c>
      <c r="AF12" s="6" t="e">
        <f t="shared" si="19"/>
        <v>#VALUE!</v>
      </c>
      <c r="AG12" s="6">
        <f t="shared" si="20"/>
        <v>0</v>
      </c>
      <c r="AH12" s="6">
        <f t="shared" ca="1" si="20"/>
        <v>37.5</v>
      </c>
      <c r="AI12" s="6">
        <f t="shared" si="20"/>
        <v>3</v>
      </c>
      <c r="AJ12" s="6" t="str">
        <f ca="1">IF($T12="","",IF(ISERROR(INDEX(aRank,$T12+1,uxb_works!$B$24)),"",INDEX(aRank,$T12+1,uxb_works!$B$24)))</f>
        <v>=8</v>
      </c>
      <c r="AK12" s="6" t="str">
        <f ca="1">IF($T12="","",IF(ISERROR(INDEX(aRank,$T12+1,uxb_works!$B$25)),"",INDEX(aRank,$T12+1,uxb_works!$B$25)))</f>
        <v>=3</v>
      </c>
      <c r="AL12" s="6" t="str">
        <f>IF($T12="","",IF(ISERROR(INDEX(aRank,$T12+1,uxb_works!$B$26-1)),"",INDEX(aRank,$T12+1,uxb_works!$B$26-1)))</f>
        <v/>
      </c>
      <c r="AM12" s="6" t="str">
        <f>IF($T12="","",IF(ISERROR(INDEX(aRank,$T12+1,uxb_works!$B$27-1)),"",INDEX(aRank,$T12+1,uxb_works!$B$27-1)))</f>
        <v/>
      </c>
      <c r="AN12" s="6"/>
      <c r="AO12" s="14" t="str">
        <f>IF(T12="","",INDEX(tblIndicators!$H$3:$H$66,iCCompare!T12))</f>
        <v>1.¿ Existe un marco legal nacional para la gestión de residuos orientado al reciclaje con la inclusión de actores informales?</v>
      </c>
      <c r="AP12" s="6" t="str">
        <f t="shared" ca="1" si="24"/>
        <v/>
      </c>
      <c r="AQ12" s="6" t="str">
        <f t="shared" ca="1" si="25"/>
        <v/>
      </c>
      <c r="AR12" s="6" t="str">
        <f t="shared" ca="1" si="26"/>
        <v/>
      </c>
      <c r="AS12" s="6" t="str">
        <f t="shared" ca="1" si="27"/>
        <v/>
      </c>
      <c r="AT12" s="6">
        <v>3</v>
      </c>
      <c r="AU12" s="6"/>
      <c r="AV12" s="28">
        <f>IF(T12="","",INDEX(tblIndicators!$V$3:$V$52,iCCompare!T12))</f>
        <v>0</v>
      </c>
      <c r="AW12" s="28">
        <f t="shared" ca="1" si="28"/>
        <v>8</v>
      </c>
      <c r="AX12" s="28">
        <f t="shared" ca="1" si="29"/>
        <v>3</v>
      </c>
      <c r="AZ12" s="6">
        <f ca="1">IF($T12="","",IF(ISERROR(INDEX(aRankNumbers,$T12+1,uxb_works!$B$24)),"",INDEX(aRankNumbers,$T12+1,uxb_works!$B$24)))</f>
        <v>8</v>
      </c>
      <c r="BA12" s="6">
        <f ca="1">IF($T12="","",IF(ISERROR(INDEX(aRankNumbers,$T12+1,uxb_works!$B$25)),"",INDEX(aRankNumbers,$T12+1,uxb_works!$B$25)))</f>
        <v>3</v>
      </c>
      <c r="BB12" s="6" t="str">
        <f>IF($T12="","",IF(ISERROR(INDEX(aRankNumbers,$T12+1,uxb_works!$B$26-1)),"",INDEX(aRankNumbers,$T12+1,uxb_works!$B$26-1)))</f>
        <v/>
      </c>
      <c r="BC12" s="6" t="str">
        <f>IF($T12="","",IF(ISERROR(INDEX(aRankNumbers,$T12+1,uxb_works!$B$27-1)),"",INDEX(aRankNumbers,$T12+1,uxb_works!$B$27-1)))</f>
        <v/>
      </c>
      <c r="BE12" s="28">
        <f t="shared" ca="1" si="30"/>
        <v>2</v>
      </c>
      <c r="BF12" s="28">
        <f t="shared" ca="1" si="31"/>
        <v>1</v>
      </c>
      <c r="BG12" s="28">
        <f t="shared" ca="1" si="32"/>
        <v>0</v>
      </c>
      <c r="BH12" s="28">
        <f t="shared" ca="1" si="33"/>
        <v>0</v>
      </c>
    </row>
    <row r="13" spans="1:60" s="28" customFormat="1">
      <c r="A13" s="6">
        <f>tblCategories!A6</f>
        <v>4</v>
      </c>
      <c r="B13" s="6" t="str">
        <f>tblCategories!D6</f>
        <v>1.1.2) 2.¿Existe un marco legal municipal para la gestión de residuos orientado al reciclaje y la inclusión de actores informales?</v>
      </c>
      <c r="C13" s="6">
        <f>tblCategories!F6</f>
        <v>1</v>
      </c>
      <c r="D13" s="6">
        <v>1</v>
      </c>
      <c r="E13" s="6">
        <f t="shared" ca="1" si="0"/>
        <v>50</v>
      </c>
      <c r="F13" s="6">
        <f t="shared" si="1"/>
        <v>1</v>
      </c>
      <c r="G13" s="6">
        <f t="shared" ca="1" si="2"/>
        <v>50</v>
      </c>
      <c r="H13" s="6">
        <f t="shared" si="3"/>
        <v>1</v>
      </c>
      <c r="I13" s="6" t="e">
        <f t="shared" si="4"/>
        <v>#VALUE!</v>
      </c>
      <c r="J13" s="6">
        <f t="shared" si="5"/>
        <v>1</v>
      </c>
      <c r="K13" s="6" t="e">
        <f t="shared" si="6"/>
        <v>#VALUE!</v>
      </c>
      <c r="L13" s="6">
        <f t="shared" si="7"/>
        <v>2</v>
      </c>
      <c r="M13" s="6">
        <f ca="1">rScores!Z6</f>
        <v>54.166666666666664</v>
      </c>
      <c r="N13" s="6">
        <f>tblIndicators!F6</f>
        <v>3</v>
      </c>
      <c r="O13" s="6"/>
      <c r="P13" s="6"/>
      <c r="Q13" s="6"/>
      <c r="R13" s="6">
        <f t="shared" si="8"/>
        <v>1</v>
      </c>
      <c r="S13" s="6">
        <f>IF($C13=0,"",RANK(R13,R$10:R$59,1)+COUNTIF(R$10:R13,R13)-1)</f>
        <v>4</v>
      </c>
      <c r="T13" s="6">
        <f t="shared" si="9"/>
        <v>4</v>
      </c>
      <c r="U13" s="70">
        <f t="shared" ca="1" si="10"/>
        <v>2</v>
      </c>
      <c r="V13" s="70">
        <f t="shared" ca="1" si="11"/>
        <v>8</v>
      </c>
      <c r="W13" s="70">
        <f t="shared" si="12"/>
        <v>1</v>
      </c>
      <c r="X13" s="69" t="str">
        <f t="shared" ca="1" si="23"/>
        <v>=2</v>
      </c>
      <c r="Y13" s="6" t="str">
        <f t="shared" si="13"/>
        <v>1.1.2) 2.¿Existe un marco legal municipal para la gestión de residuos orientado al reciclaje y la inclusión de actores informales?</v>
      </c>
      <c r="Z13" s="6">
        <f t="shared" ca="1" si="14"/>
        <v>50</v>
      </c>
      <c r="AA13" s="6">
        <f t="shared" si="14"/>
        <v>1</v>
      </c>
      <c r="AB13" s="6">
        <f t="shared" ca="1" si="15"/>
        <v>50</v>
      </c>
      <c r="AC13" s="6">
        <f t="shared" si="16"/>
        <v>1</v>
      </c>
      <c r="AD13" s="6" t="e">
        <f t="shared" si="17"/>
        <v>#VALUE!</v>
      </c>
      <c r="AE13" s="6">
        <f t="shared" si="18"/>
        <v>1</v>
      </c>
      <c r="AF13" s="6" t="e">
        <f t="shared" si="19"/>
        <v>#VALUE!</v>
      </c>
      <c r="AG13" s="6">
        <f t="shared" si="20"/>
        <v>2</v>
      </c>
      <c r="AH13" s="6">
        <f t="shared" ca="1" si="20"/>
        <v>54.166666666666664</v>
      </c>
      <c r="AI13" s="6">
        <f t="shared" si="20"/>
        <v>3</v>
      </c>
      <c r="AJ13" s="6" t="str">
        <f ca="1">IF($T13="","",IF(ISERROR(INDEX(aRank,$T13+1,uxb_works!$B$24)),"",INDEX(aRank,$T13+1,uxb_works!$B$24)))</f>
        <v>=6</v>
      </c>
      <c r="AK13" s="6" t="str">
        <f ca="1">IF($T13="","",IF(ISERROR(INDEX(aRank,$T13+1,uxb_works!$B$25)),"",INDEX(aRank,$T13+1,uxb_works!$B$25)))</f>
        <v>=6</v>
      </c>
      <c r="AL13" s="6" t="str">
        <f>IF($T13="","",IF(ISERROR(INDEX(aRank,$T13+1,uxb_works!$B$26-1)),"",INDEX(aRank,$T13+1,uxb_works!$B$26-1)))</f>
        <v/>
      </c>
      <c r="AM13" s="6" t="str">
        <f>IF($T13="","",IF(ISERROR(INDEX(aRank,$T13+1,uxb_works!$B$27-1)),"",INDEX(aRank,$T13+1,uxb_works!$B$27-1)))</f>
        <v/>
      </c>
      <c r="AN13" s="6"/>
      <c r="AO13" s="14" t="str">
        <f>IF(T13="","",INDEX(tblIndicators!$H$3:$H$66,iCCompare!T13))</f>
        <v>2.¿Existe un marco legal municipal para la gestión de residuos orientado al reciclaje y la inclusión de actores informales?</v>
      </c>
      <c r="AP13" s="6" t="str">
        <f t="shared" ca="1" si="24"/>
        <v/>
      </c>
      <c r="AQ13" s="6" t="str">
        <f t="shared" ca="1" si="25"/>
        <v/>
      </c>
      <c r="AR13" s="6" t="str">
        <f t="shared" ca="1" si="26"/>
        <v/>
      </c>
      <c r="AS13" s="6" t="str">
        <f t="shared" ca="1" si="27"/>
        <v/>
      </c>
      <c r="AT13" s="6">
        <v>3</v>
      </c>
      <c r="AU13" s="6"/>
      <c r="AV13" s="28">
        <f>IF(T13="","",INDEX(tblIndicators!$V$3:$V$52,iCCompare!T13))</f>
        <v>0</v>
      </c>
      <c r="AW13" s="28">
        <f t="shared" ca="1" si="28"/>
        <v>6</v>
      </c>
      <c r="AX13" s="28">
        <f t="shared" ca="1" si="29"/>
        <v>6</v>
      </c>
      <c r="AZ13" s="6">
        <f ca="1">IF($T13="","",IF(ISERROR(INDEX(aRankNumbers,$T13+1,uxb_works!$B$24)),"",INDEX(aRankNumbers,$T13+1,uxb_works!$B$24)))</f>
        <v>6</v>
      </c>
      <c r="BA13" s="6">
        <f ca="1">IF($T13="","",IF(ISERROR(INDEX(aRankNumbers,$T13+1,uxb_works!$B$25)),"",INDEX(aRankNumbers,$T13+1,uxb_works!$B$25)))</f>
        <v>6</v>
      </c>
      <c r="BB13" s="6" t="str">
        <f>IF($T13="","",IF(ISERROR(INDEX(aRankNumbers,$T13+1,uxb_works!$B$26-1)),"",INDEX(aRankNumbers,$T13+1,uxb_works!$B$26-1)))</f>
        <v/>
      </c>
      <c r="BC13" s="6" t="str">
        <f>IF($T13="","",IF(ISERROR(INDEX(aRankNumbers,$T13+1,uxb_works!$B$27-1)),"",INDEX(aRankNumbers,$T13+1,uxb_works!$B$27-1)))</f>
        <v/>
      </c>
      <c r="BE13" s="28">
        <f t="shared" ca="1" si="30"/>
        <v>0</v>
      </c>
      <c r="BF13" s="28">
        <f t="shared" ca="1" si="31"/>
        <v>0</v>
      </c>
      <c r="BG13" s="28">
        <f t="shared" ca="1" si="32"/>
        <v>0</v>
      </c>
      <c r="BH13" s="28">
        <f t="shared" ca="1" si="33"/>
        <v>0</v>
      </c>
    </row>
    <row r="14" spans="1:60" s="28" customFormat="1">
      <c r="A14" s="6">
        <f>tblCategories!A7</f>
        <v>5</v>
      </c>
      <c r="B14" s="6" t="str">
        <f>tblCategories!D7</f>
        <v>1.1.3) 3.¿Son las políticas municipales suficientemente estables para garantizar la continuidad en materia de políticas de reciclaje inclusivo?</v>
      </c>
      <c r="C14" s="6">
        <f>tblCategories!F7</f>
        <v>1</v>
      </c>
      <c r="D14" s="6">
        <v>1</v>
      </c>
      <c r="E14" s="6">
        <f t="shared" ca="1" si="0"/>
        <v>50</v>
      </c>
      <c r="F14" s="6">
        <f t="shared" si="1"/>
        <v>1</v>
      </c>
      <c r="G14" s="6">
        <f t="shared" ca="1" si="2"/>
        <v>0</v>
      </c>
      <c r="H14" s="6">
        <f t="shared" si="3"/>
        <v>0</v>
      </c>
      <c r="I14" s="6" t="e">
        <f t="shared" si="4"/>
        <v>#VALUE!</v>
      </c>
      <c r="J14" s="6">
        <f t="shared" si="5"/>
        <v>1</v>
      </c>
      <c r="K14" s="6" t="e">
        <f t="shared" si="6"/>
        <v>#VALUE!</v>
      </c>
      <c r="L14" s="6">
        <f t="shared" si="7"/>
        <v>2</v>
      </c>
      <c r="M14" s="6">
        <f ca="1">rScores!Z7</f>
        <v>33.333333333333336</v>
      </c>
      <c r="N14" s="6">
        <f>tblIndicators!F7</f>
        <v>3</v>
      </c>
      <c r="O14" s="6"/>
      <c r="P14" s="6"/>
      <c r="Q14" s="6"/>
      <c r="R14" s="6">
        <f t="shared" si="8"/>
        <v>1</v>
      </c>
      <c r="S14" s="6">
        <f>IF($C14=0,"",RANK(R14,R$10:R$59,1)+COUNTIF(R$10:R14,R14)-1)</f>
        <v>5</v>
      </c>
      <c r="T14" s="6">
        <f t="shared" si="9"/>
        <v>5</v>
      </c>
      <c r="U14" s="70">
        <f t="shared" ca="1" si="10"/>
        <v>2</v>
      </c>
      <c r="V14" s="70">
        <f t="shared" ca="1" si="11"/>
        <v>8</v>
      </c>
      <c r="W14" s="70">
        <f t="shared" si="12"/>
        <v>1</v>
      </c>
      <c r="X14" s="69" t="str">
        <f t="shared" ca="1" si="23"/>
        <v>=2</v>
      </c>
      <c r="Y14" s="6" t="str">
        <f t="shared" si="13"/>
        <v>1.1.3) 3.¿Son las políticas municipales suficientemente estables para garantizar la continuidad en materia de políticas de reciclaje inclusivo?</v>
      </c>
      <c r="Z14" s="6">
        <f t="shared" ca="1" si="14"/>
        <v>50</v>
      </c>
      <c r="AA14" s="6">
        <f t="shared" si="14"/>
        <v>1</v>
      </c>
      <c r="AB14" s="6">
        <f t="shared" ca="1" si="15"/>
        <v>0</v>
      </c>
      <c r="AC14" s="6">
        <f t="shared" si="16"/>
        <v>0</v>
      </c>
      <c r="AD14" s="6" t="e">
        <f t="shared" si="17"/>
        <v>#VALUE!</v>
      </c>
      <c r="AE14" s="6">
        <f t="shared" si="18"/>
        <v>1</v>
      </c>
      <c r="AF14" s="6" t="e">
        <f t="shared" si="19"/>
        <v>#VALUE!</v>
      </c>
      <c r="AG14" s="6">
        <f t="shared" si="20"/>
        <v>2</v>
      </c>
      <c r="AH14" s="6">
        <f t="shared" ca="1" si="20"/>
        <v>33.333333333333336</v>
      </c>
      <c r="AI14" s="6">
        <f t="shared" si="20"/>
        <v>3</v>
      </c>
      <c r="AJ14" s="6" t="str">
        <f ca="1">IF($T14="","",IF(ISERROR(INDEX(aRank,$T14+1,uxb_works!$B$24)),"",INDEX(aRank,$T14+1,uxb_works!$B$24)))</f>
        <v>=3</v>
      </c>
      <c r="AK14" s="6" t="str">
        <f ca="1">IF($T14="","",IF(ISERROR(INDEX(aRank,$T14+1,uxb_works!$B$25)),"",INDEX(aRank,$T14+1,uxb_works!$B$25)))</f>
        <v>=7</v>
      </c>
      <c r="AL14" s="6" t="str">
        <f>IF($T14="","",IF(ISERROR(INDEX(aRank,$T14+1,uxb_works!$B$26-1)),"",INDEX(aRank,$T14+1,uxb_works!$B$26-1)))</f>
        <v/>
      </c>
      <c r="AM14" s="6" t="str">
        <f>IF($T14="","",IF(ISERROR(INDEX(aRank,$T14+1,uxb_works!$B$27-1)),"",INDEX(aRank,$T14+1,uxb_works!$B$27-1)))</f>
        <v/>
      </c>
      <c r="AN14" s="6"/>
      <c r="AO14" s="14" t="str">
        <f>IF(T14="","",INDEX(tblIndicators!$H$3:$H$66,iCCompare!T14))</f>
        <v>3.¿Son las políticas municipales suficientemente estables para garantizar la continuidad en materia de políticas de reciclaje inclusivo?</v>
      </c>
      <c r="AP14" s="6" t="str">
        <f t="shared" ca="1" si="24"/>
        <v/>
      </c>
      <c r="AQ14" s="6" t="str">
        <f t="shared" ca="1" si="25"/>
        <v/>
      </c>
      <c r="AR14" s="6" t="str">
        <f t="shared" ca="1" si="26"/>
        <v/>
      </c>
      <c r="AS14" s="6" t="str">
        <f t="shared" ca="1" si="27"/>
        <v/>
      </c>
      <c r="AT14" s="6">
        <v>3</v>
      </c>
      <c r="AU14" s="6"/>
      <c r="AV14" s="28">
        <f>IF(T14="","",INDEX(tblIndicators!$V$3:$V$52,iCCompare!T14))</f>
        <v>0</v>
      </c>
      <c r="AW14" s="28">
        <f t="shared" ca="1" si="28"/>
        <v>7</v>
      </c>
      <c r="AX14" s="28">
        <f t="shared" ca="1" si="29"/>
        <v>3</v>
      </c>
      <c r="AZ14" s="6">
        <f ca="1">IF($T14="","",IF(ISERROR(INDEX(aRankNumbers,$T14+1,uxb_works!$B$24)),"",INDEX(aRankNumbers,$T14+1,uxb_works!$B$24)))</f>
        <v>3</v>
      </c>
      <c r="BA14" s="6">
        <f ca="1">IF($T14="","",IF(ISERROR(INDEX(aRankNumbers,$T14+1,uxb_works!$B$25)),"",INDEX(aRankNumbers,$T14+1,uxb_works!$B$25)))</f>
        <v>7</v>
      </c>
      <c r="BB14" s="6" t="str">
        <f>IF($T14="","",IF(ISERROR(INDEX(aRankNumbers,$T14+1,uxb_works!$B$26-1)),"",INDEX(aRankNumbers,$T14+1,uxb_works!$B$26-1)))</f>
        <v/>
      </c>
      <c r="BC14" s="6" t="str">
        <f>IF($T14="","",IF(ISERROR(INDEX(aRankNumbers,$T14+1,uxb_works!$B$27-1)),"",INDEX(aRankNumbers,$T14+1,uxb_works!$B$27-1)))</f>
        <v/>
      </c>
      <c r="BE14" s="28">
        <f t="shared" ca="1" si="30"/>
        <v>1</v>
      </c>
      <c r="BF14" s="28">
        <f t="shared" ca="1" si="31"/>
        <v>2</v>
      </c>
      <c r="BG14" s="28">
        <f t="shared" ca="1" si="32"/>
        <v>0</v>
      </c>
      <c r="BH14" s="28">
        <f t="shared" ca="1" si="33"/>
        <v>0</v>
      </c>
    </row>
    <row r="15" spans="1:60" s="28" customFormat="1">
      <c r="A15" s="6">
        <f>tblCategories!A8</f>
        <v>6</v>
      </c>
      <c r="B15" s="6" t="str">
        <f>tblCategories!D8</f>
        <v>1.1.4) 4.¿Existe un presupuesto (o mecanismo de financiación) municipal asignado para el reciclaje inclusivo?</v>
      </c>
      <c r="C15" s="6">
        <f>tblCategories!F8</f>
        <v>1</v>
      </c>
      <c r="D15" s="6">
        <v>1</v>
      </c>
      <c r="E15" s="6">
        <f t="shared" ca="1" si="0"/>
        <v>0</v>
      </c>
      <c r="F15" s="6">
        <f t="shared" si="1"/>
        <v>0</v>
      </c>
      <c r="G15" s="6">
        <f t="shared" ca="1" si="2"/>
        <v>100</v>
      </c>
      <c r="H15" s="6">
        <f t="shared" si="3"/>
        <v>2</v>
      </c>
      <c r="I15" s="6" t="e">
        <f t="shared" si="4"/>
        <v>#VALUE!</v>
      </c>
      <c r="J15" s="6">
        <f t="shared" si="5"/>
        <v>0</v>
      </c>
      <c r="K15" s="6" t="e">
        <f t="shared" si="6"/>
        <v>#VALUE!</v>
      </c>
      <c r="L15" s="6">
        <f t="shared" si="7"/>
        <v>2</v>
      </c>
      <c r="M15" s="6">
        <f ca="1">rScores!Z8</f>
        <v>50</v>
      </c>
      <c r="N15" s="6">
        <f>tblIndicators!F8</f>
        <v>3</v>
      </c>
      <c r="O15" s="6"/>
      <c r="P15" s="6"/>
      <c r="Q15" s="6"/>
      <c r="R15" s="6">
        <f t="shared" si="8"/>
        <v>1</v>
      </c>
      <c r="S15" s="6">
        <f>IF($C15=0,"",RANK(R15,R$10:R$59,1)+COUNTIF(R$10:R15,R15)-1)</f>
        <v>6</v>
      </c>
      <c r="T15" s="6">
        <f t="shared" si="9"/>
        <v>6</v>
      </c>
      <c r="U15" s="70">
        <f t="shared" ca="1" si="10"/>
        <v>14</v>
      </c>
      <c r="V15" s="70">
        <f t="shared" ca="1" si="11"/>
        <v>7</v>
      </c>
      <c r="W15" s="70">
        <f t="shared" si="12"/>
        <v>1</v>
      </c>
      <c r="X15" s="69" t="str">
        <f t="shared" ca="1" si="23"/>
        <v>=14</v>
      </c>
      <c r="Y15" s="6" t="str">
        <f t="shared" si="13"/>
        <v>1.1.4) 4.¿Existe un presupuesto (o mecanismo de financiación) municipal asignado para el reciclaje inclusivo?</v>
      </c>
      <c r="Z15" s="6">
        <f t="shared" ca="1" si="14"/>
        <v>0</v>
      </c>
      <c r="AA15" s="6">
        <f t="shared" si="14"/>
        <v>0</v>
      </c>
      <c r="AB15" s="6">
        <f t="shared" ca="1" si="15"/>
        <v>100</v>
      </c>
      <c r="AC15" s="6">
        <f t="shared" si="16"/>
        <v>2</v>
      </c>
      <c r="AD15" s="6" t="e">
        <f t="shared" si="17"/>
        <v>#VALUE!</v>
      </c>
      <c r="AE15" s="6">
        <f t="shared" si="18"/>
        <v>0</v>
      </c>
      <c r="AF15" s="6" t="e">
        <f t="shared" si="19"/>
        <v>#VALUE!</v>
      </c>
      <c r="AG15" s="6">
        <f t="shared" si="20"/>
        <v>2</v>
      </c>
      <c r="AH15" s="6">
        <f t="shared" ca="1" si="20"/>
        <v>50</v>
      </c>
      <c r="AI15" s="6">
        <f t="shared" si="20"/>
        <v>3</v>
      </c>
      <c r="AJ15" s="6" t="str">
        <f ca="1">IF($T15="","",IF(ISERROR(INDEX(aRank,$T15+1,uxb_works!$B$24)),"",INDEX(aRank,$T15+1,uxb_works!$B$24)))</f>
        <v>=7</v>
      </c>
      <c r="AK15" s="6" t="str">
        <f ca="1">IF($T15="","",IF(ISERROR(INDEX(aRank,$T15+1,uxb_works!$B$25)),"",INDEX(aRank,$T15+1,uxb_works!$B$25)))</f>
        <v>=1</v>
      </c>
      <c r="AL15" s="6" t="str">
        <f>IF($T15="","",IF(ISERROR(INDEX(aRank,$T15+1,uxb_works!$B$26-1)),"",INDEX(aRank,$T15+1,uxb_works!$B$26-1)))</f>
        <v/>
      </c>
      <c r="AM15" s="6" t="str">
        <f>IF($T15="","",IF(ISERROR(INDEX(aRank,$T15+1,uxb_works!$B$27-1)),"",INDEX(aRank,$T15+1,uxb_works!$B$27-1)))</f>
        <v/>
      </c>
      <c r="AN15" s="6"/>
      <c r="AO15" s="14" t="str">
        <f>IF(T15="","",INDEX(tblIndicators!$H$3:$H$66,iCCompare!T15))</f>
        <v>4.¿Existe un presupuesto (o mecanismo de financiación) municipal asignado para el reciclaje inclusivo?</v>
      </c>
      <c r="AP15" s="6" t="str">
        <f t="shared" ca="1" si="24"/>
        <v/>
      </c>
      <c r="AQ15" s="6" t="str">
        <f t="shared" ca="1" si="25"/>
        <v/>
      </c>
      <c r="AR15" s="6" t="str">
        <f t="shared" ca="1" si="26"/>
        <v/>
      </c>
      <c r="AS15" s="6" t="str">
        <f t="shared" ca="1" si="27"/>
        <v/>
      </c>
      <c r="AT15" s="6">
        <v>3</v>
      </c>
      <c r="AU15" s="6"/>
      <c r="AV15" s="28">
        <f>IF(T15="","",INDEX(tblIndicators!$V$3:$V$52,iCCompare!T15))</f>
        <v>0</v>
      </c>
      <c r="AW15" s="28">
        <f t="shared" ca="1" si="28"/>
        <v>7</v>
      </c>
      <c r="AX15" s="28">
        <f t="shared" ca="1" si="29"/>
        <v>1</v>
      </c>
      <c r="AZ15" s="6">
        <f ca="1">IF($T15="","",IF(ISERROR(INDEX(aRankNumbers,$T15+1,uxb_works!$B$24)),"",INDEX(aRankNumbers,$T15+1,uxb_works!$B$24)))</f>
        <v>7</v>
      </c>
      <c r="BA15" s="6">
        <f ca="1">IF($T15="","",IF(ISERROR(INDEX(aRankNumbers,$T15+1,uxb_works!$B$25)),"",INDEX(aRankNumbers,$T15+1,uxb_works!$B$25)))</f>
        <v>1</v>
      </c>
      <c r="BB15" s="6" t="str">
        <f>IF($T15="","",IF(ISERROR(INDEX(aRankNumbers,$T15+1,uxb_works!$B$26-1)),"",INDEX(aRankNumbers,$T15+1,uxb_works!$B$26-1)))</f>
        <v/>
      </c>
      <c r="BC15" s="6" t="str">
        <f>IF($T15="","",IF(ISERROR(INDEX(aRankNumbers,$T15+1,uxb_works!$B$27-1)),"",INDEX(aRankNumbers,$T15+1,uxb_works!$B$27-1)))</f>
        <v/>
      </c>
      <c r="BE15" s="28">
        <f t="shared" ca="1" si="30"/>
        <v>2</v>
      </c>
      <c r="BF15" s="28">
        <f t="shared" ca="1" si="31"/>
        <v>1</v>
      </c>
      <c r="BG15" s="28">
        <f t="shared" ca="1" si="32"/>
        <v>0</v>
      </c>
      <c r="BH15" s="28">
        <f t="shared" ca="1" si="33"/>
        <v>0</v>
      </c>
    </row>
    <row r="16" spans="1:60" s="28" customFormat="1">
      <c r="A16" s="6">
        <f>tblCategories!A9</f>
        <v>7</v>
      </c>
      <c r="B16" s="6" t="str">
        <f>tblCategories!D9</f>
        <v>1.2) Integración del reciclador de base</v>
      </c>
      <c r="C16" s="6">
        <f>tblCategories!F9</f>
        <v>1</v>
      </c>
      <c r="D16" s="6">
        <v>1</v>
      </c>
      <c r="E16" s="6">
        <f t="shared" ca="1" si="0"/>
        <v>31.25</v>
      </c>
      <c r="F16" s="6" t="str">
        <f t="shared" si="1"/>
        <v/>
      </c>
      <c r="G16" s="6">
        <f t="shared" ca="1" si="2"/>
        <v>31.25</v>
      </c>
      <c r="H16" s="6" t="str">
        <f t="shared" si="3"/>
        <v/>
      </c>
      <c r="I16" s="6" t="e">
        <f t="shared" si="4"/>
        <v>#VALUE!</v>
      </c>
      <c r="J16" s="6" t="str">
        <f t="shared" si="5"/>
        <v/>
      </c>
      <c r="K16" s="6" t="e">
        <f t="shared" si="6"/>
        <v>#VALUE!</v>
      </c>
      <c r="L16" s="6" t="str">
        <f t="shared" si="7"/>
        <v/>
      </c>
      <c r="M16" s="6">
        <f ca="1">rScores!Z9</f>
        <v>40.116666666666667</v>
      </c>
      <c r="N16" s="6">
        <f>tblIndicators!F9</f>
        <v>2</v>
      </c>
      <c r="O16" s="6"/>
      <c r="P16" s="6"/>
      <c r="Q16" s="6"/>
      <c r="R16" s="6">
        <f t="shared" si="8"/>
        <v>1</v>
      </c>
      <c r="S16" s="6">
        <f>IF($C16=0,"",RANK(R16,R$10:R$59,1)+COUNTIF(R$10:R16,R16)-1)</f>
        <v>7</v>
      </c>
      <c r="T16" s="6">
        <f t="shared" si="9"/>
        <v>7</v>
      </c>
      <c r="U16" s="70">
        <f t="shared" ca="1" si="10"/>
        <v>11</v>
      </c>
      <c r="V16" s="70">
        <f t="shared" ca="1" si="11"/>
        <v>1</v>
      </c>
      <c r="W16" s="70">
        <f t="shared" si="12"/>
        <v>1</v>
      </c>
      <c r="X16" s="69">
        <f t="shared" ca="1" si="23"/>
        <v>11</v>
      </c>
      <c r="Y16" s="6" t="str">
        <f t="shared" si="13"/>
        <v>1.2) Integración del reciclador de base</v>
      </c>
      <c r="Z16" s="6">
        <f t="shared" ca="1" si="14"/>
        <v>31.25</v>
      </c>
      <c r="AA16" s="6" t="str">
        <f t="shared" si="14"/>
        <v/>
      </c>
      <c r="AB16" s="6">
        <f t="shared" ca="1" si="15"/>
        <v>31.25</v>
      </c>
      <c r="AC16" s="6" t="str">
        <f t="shared" si="16"/>
        <v/>
      </c>
      <c r="AD16" s="6" t="e">
        <f t="shared" si="17"/>
        <v>#VALUE!</v>
      </c>
      <c r="AE16" s="6" t="str">
        <f t="shared" si="18"/>
        <v/>
      </c>
      <c r="AF16" s="6" t="e">
        <f t="shared" si="19"/>
        <v>#VALUE!</v>
      </c>
      <c r="AG16" s="6" t="str">
        <f t="shared" si="20"/>
        <v/>
      </c>
      <c r="AH16" s="6">
        <f t="shared" ca="1" si="20"/>
        <v>40.116666666666667</v>
      </c>
      <c r="AI16" s="6">
        <f t="shared" si="20"/>
        <v>2</v>
      </c>
      <c r="AJ16" s="6" t="str">
        <f ca="1">IF($T16="","",IF(ISERROR(INDEX(aRank,$T16+1,uxb_works!$B$24)),"",INDEX(aRank,$T16+1,uxb_works!$B$24)))</f>
        <v>=7</v>
      </c>
      <c r="AK16" s="6" t="str">
        <f ca="1">IF($T16="","",IF(ISERROR(INDEX(aRank,$T16+1,uxb_works!$B$25)),"",INDEX(aRank,$T16+1,uxb_works!$B$25)))</f>
        <v>=7</v>
      </c>
      <c r="AL16" s="6" t="str">
        <f>IF($T16="","",IF(ISERROR(INDEX(aRank,$T16+1,uxb_works!$B$26-1)),"",INDEX(aRank,$T16+1,uxb_works!$B$26-1)))</f>
        <v/>
      </c>
      <c r="AM16" s="6" t="str">
        <f>IF($T16="","",IF(ISERROR(INDEX(aRank,$T16+1,uxb_works!$B$27-1)),"",INDEX(aRank,$T16+1,uxb_works!$B$27-1)))</f>
        <v/>
      </c>
      <c r="AN16" s="6"/>
      <c r="AO16" s="14" t="str">
        <f>IF(T16="","",INDEX(tblIndicators!$H$3:$H$66,iCCompare!T16))</f>
        <v>Integración del reciclador de base</v>
      </c>
      <c r="AP16" s="6" t="str">
        <f t="shared" ca="1" si="24"/>
        <v/>
      </c>
      <c r="AQ16" s="6" t="str">
        <f t="shared" ca="1" si="25"/>
        <v/>
      </c>
      <c r="AR16" s="6" t="str">
        <f t="shared" ca="1" si="26"/>
        <v/>
      </c>
      <c r="AS16" s="6" t="str">
        <f t="shared" ca="1" si="27"/>
        <v/>
      </c>
      <c r="AT16" s="6">
        <v>3</v>
      </c>
      <c r="AU16" s="6"/>
      <c r="AV16" s="28" t="str">
        <f>IF(T16="","",INDEX(tblIndicators!$V$3:$V$52,iCCompare!T16))</f>
        <v>0.0</v>
      </c>
      <c r="AW16" s="28">
        <f t="shared" ca="1" si="28"/>
        <v>7</v>
      </c>
      <c r="AX16" s="28">
        <f t="shared" ca="1" si="29"/>
        <v>7</v>
      </c>
      <c r="AZ16" s="6">
        <f ca="1">IF($T16="","",IF(ISERROR(INDEX(aRankNumbers,$T16+1,uxb_works!$B$24)),"",INDEX(aRankNumbers,$T16+1,uxb_works!$B$24)))</f>
        <v>7</v>
      </c>
      <c r="BA16" s="6">
        <f ca="1">IF($T16="","",IF(ISERROR(INDEX(aRankNumbers,$T16+1,uxb_works!$B$25)),"",INDEX(aRankNumbers,$T16+1,uxb_works!$B$25)))</f>
        <v>7</v>
      </c>
      <c r="BB16" s="6" t="str">
        <f>IF($T16="","",IF(ISERROR(INDEX(aRankNumbers,$T16+1,uxb_works!$B$26-1)),"",INDEX(aRankNumbers,$T16+1,uxb_works!$B$26-1)))</f>
        <v/>
      </c>
      <c r="BC16" s="6" t="str">
        <f>IF($T16="","",IF(ISERROR(INDEX(aRankNumbers,$T16+1,uxb_works!$B$27-1)),"",INDEX(aRankNumbers,$T16+1,uxb_works!$B$27-1)))</f>
        <v/>
      </c>
      <c r="BE16" s="28">
        <f t="shared" ca="1" si="30"/>
        <v>0</v>
      </c>
      <c r="BF16" s="28">
        <f t="shared" ca="1" si="31"/>
        <v>0</v>
      </c>
      <c r="BG16" s="28">
        <f t="shared" ca="1" si="32"/>
        <v>0</v>
      </c>
      <c r="BH16" s="28">
        <f t="shared" ca="1" si="33"/>
        <v>0</v>
      </c>
    </row>
    <row r="17" spans="1:60" s="28" customFormat="1">
      <c r="A17" s="6">
        <f>tblCategories!A10</f>
        <v>8</v>
      </c>
      <c r="B17" s="6" t="str">
        <f>tblCategories!D10</f>
        <v>1.2.1) 5.¿Existe reconocimiento legal de la ocupación de reciclador de base?</v>
      </c>
      <c r="C17" s="6">
        <f>tblCategories!F10</f>
        <v>1</v>
      </c>
      <c r="D17" s="6">
        <v>1</v>
      </c>
      <c r="E17" s="6">
        <f t="shared" ca="1" si="0"/>
        <v>0</v>
      </c>
      <c r="F17" s="6">
        <f t="shared" si="1"/>
        <v>0</v>
      </c>
      <c r="G17" s="6">
        <f t="shared" ca="1" si="2"/>
        <v>0</v>
      </c>
      <c r="H17" s="6">
        <f t="shared" si="3"/>
        <v>0</v>
      </c>
      <c r="I17" s="6" t="e">
        <f t="shared" si="4"/>
        <v>#VALUE!</v>
      </c>
      <c r="J17" s="6">
        <f t="shared" si="5"/>
        <v>0</v>
      </c>
      <c r="K17" s="6" t="e">
        <f t="shared" si="6"/>
        <v>#VALUE!</v>
      </c>
      <c r="L17" s="6">
        <f t="shared" si="7"/>
        <v>1</v>
      </c>
      <c r="M17" s="6">
        <f ca="1">rScores!Z10</f>
        <v>33.333333333333336</v>
      </c>
      <c r="N17" s="6">
        <f>tblIndicators!F10</f>
        <v>3</v>
      </c>
      <c r="O17" s="6"/>
      <c r="P17" s="6"/>
      <c r="Q17" s="6"/>
      <c r="R17" s="6">
        <f t="shared" si="8"/>
        <v>1</v>
      </c>
      <c r="S17" s="6">
        <f>IF($C17=0,"",RANK(R17,R$10:R$59,1)+COUNTIF(R$10:R17,R17)-1)</f>
        <v>8</v>
      </c>
      <c r="T17" s="6">
        <f t="shared" si="9"/>
        <v>8</v>
      </c>
      <c r="U17" s="70">
        <f t="shared" ca="1" si="10"/>
        <v>14</v>
      </c>
      <c r="V17" s="70">
        <f t="shared" ca="1" si="11"/>
        <v>7</v>
      </c>
      <c r="W17" s="70">
        <f t="shared" si="12"/>
        <v>1</v>
      </c>
      <c r="X17" s="69" t="str">
        <f t="shared" ca="1" si="23"/>
        <v>=14</v>
      </c>
      <c r="Y17" s="6" t="str">
        <f t="shared" si="13"/>
        <v>1.2.1) 5.¿Existe reconocimiento legal de la ocupación de reciclador de base?</v>
      </c>
      <c r="Z17" s="6">
        <f t="shared" ca="1" si="14"/>
        <v>0</v>
      </c>
      <c r="AA17" s="6">
        <f t="shared" si="14"/>
        <v>0</v>
      </c>
      <c r="AB17" s="6">
        <f t="shared" ca="1" si="15"/>
        <v>0</v>
      </c>
      <c r="AC17" s="6">
        <f t="shared" si="16"/>
        <v>0</v>
      </c>
      <c r="AD17" s="6" t="e">
        <f t="shared" si="17"/>
        <v>#VALUE!</v>
      </c>
      <c r="AE17" s="6">
        <f t="shared" si="18"/>
        <v>0</v>
      </c>
      <c r="AF17" s="6" t="e">
        <f t="shared" si="19"/>
        <v>#VALUE!</v>
      </c>
      <c r="AG17" s="6">
        <f t="shared" si="20"/>
        <v>1</v>
      </c>
      <c r="AH17" s="6">
        <f t="shared" ca="1" si="20"/>
        <v>33.333333333333336</v>
      </c>
      <c r="AI17" s="6">
        <f t="shared" si="20"/>
        <v>3</v>
      </c>
      <c r="AJ17" s="6" t="str">
        <f ca="1">IF($T17="","",IF(ISERROR(INDEX(aRank,$T17+1,uxb_works!$B$24)),"",INDEX(aRank,$T17+1,uxb_works!$B$24)))</f>
        <v>=5</v>
      </c>
      <c r="AK17" s="6" t="str">
        <f ca="1">IF($T17="","",IF(ISERROR(INDEX(aRank,$T17+1,uxb_works!$B$25)),"",INDEX(aRank,$T17+1,uxb_works!$B$25)))</f>
        <v>=5</v>
      </c>
      <c r="AL17" s="6" t="str">
        <f>IF($T17="","",IF(ISERROR(INDEX(aRank,$T17+1,uxb_works!$B$26-1)),"",INDEX(aRank,$T17+1,uxb_works!$B$26-1)))</f>
        <v/>
      </c>
      <c r="AM17" s="6" t="str">
        <f>IF($T17="","",IF(ISERROR(INDEX(aRank,$T17+1,uxb_works!$B$27-1)),"",INDEX(aRank,$T17+1,uxb_works!$B$27-1)))</f>
        <v/>
      </c>
      <c r="AN17" s="6"/>
      <c r="AO17" s="14" t="str">
        <f>IF(T17="","",INDEX(tblIndicators!$H$3:$H$66,iCCompare!T17))</f>
        <v>5.¿Existe reconocimiento legal de la ocupación de reciclador de base?</v>
      </c>
      <c r="AP17" s="6" t="str">
        <f t="shared" ca="1" si="24"/>
        <v/>
      </c>
      <c r="AQ17" s="6" t="str">
        <f t="shared" ca="1" si="25"/>
        <v/>
      </c>
      <c r="AR17" s="6" t="str">
        <f t="shared" ca="1" si="26"/>
        <v/>
      </c>
      <c r="AS17" s="6" t="str">
        <f t="shared" ca="1" si="27"/>
        <v/>
      </c>
      <c r="AT17" s="6">
        <v>3</v>
      </c>
      <c r="AU17" s="6"/>
      <c r="AV17" s="28">
        <f>IF(T17="","",INDEX(tblIndicators!$V$3:$V$52,iCCompare!T17))</f>
        <v>0</v>
      </c>
      <c r="AW17" s="28">
        <f t="shared" ca="1" si="28"/>
        <v>5</v>
      </c>
      <c r="AX17" s="28">
        <f t="shared" ca="1" si="29"/>
        <v>5</v>
      </c>
      <c r="AZ17" s="6">
        <f ca="1">IF($T17="","",IF(ISERROR(INDEX(aRankNumbers,$T17+1,uxb_works!$B$24)),"",INDEX(aRankNumbers,$T17+1,uxb_works!$B$24)))</f>
        <v>5</v>
      </c>
      <c r="BA17" s="6">
        <f ca="1">IF($T17="","",IF(ISERROR(INDEX(aRankNumbers,$T17+1,uxb_works!$B$25)),"",INDEX(aRankNumbers,$T17+1,uxb_works!$B$25)))</f>
        <v>5</v>
      </c>
      <c r="BB17" s="6" t="str">
        <f>IF($T17="","",IF(ISERROR(INDEX(aRankNumbers,$T17+1,uxb_works!$B$26-1)),"",INDEX(aRankNumbers,$T17+1,uxb_works!$B$26-1)))</f>
        <v/>
      </c>
      <c r="BC17" s="6" t="str">
        <f>IF($T17="","",IF(ISERROR(INDEX(aRankNumbers,$T17+1,uxb_works!$B$27-1)),"",INDEX(aRankNumbers,$T17+1,uxb_works!$B$27-1)))</f>
        <v/>
      </c>
      <c r="BE17" s="28">
        <f t="shared" ca="1" si="30"/>
        <v>0</v>
      </c>
      <c r="BF17" s="28">
        <f t="shared" ca="1" si="31"/>
        <v>0</v>
      </c>
      <c r="BG17" s="28">
        <f t="shared" ca="1" si="32"/>
        <v>0</v>
      </c>
      <c r="BH17" s="28">
        <f t="shared" ca="1" si="33"/>
        <v>0</v>
      </c>
    </row>
    <row r="18" spans="1:60" s="28" customFormat="1">
      <c r="A18" s="6">
        <f>tblCategories!A11</f>
        <v>9</v>
      </c>
      <c r="B18" s="6" t="str">
        <f>tblCategories!D11</f>
        <v>1.2.2) 6.¿Se reconoce a los recicladores de base como prestadores de servicio en la gestión de residuos?</v>
      </c>
      <c r="C18" s="6">
        <f>tblCategories!F11</f>
        <v>1</v>
      </c>
      <c r="D18" s="6">
        <v>1</v>
      </c>
      <c r="E18" s="6">
        <f t="shared" ca="1" si="0"/>
        <v>50</v>
      </c>
      <c r="F18" s="6">
        <f t="shared" si="1"/>
        <v>1</v>
      </c>
      <c r="G18" s="6">
        <f t="shared" ca="1" si="2"/>
        <v>0</v>
      </c>
      <c r="H18" s="6">
        <f t="shared" si="3"/>
        <v>0</v>
      </c>
      <c r="I18" s="6" t="e">
        <f t="shared" si="4"/>
        <v>#VALUE!</v>
      </c>
      <c r="J18" s="6">
        <f t="shared" si="5"/>
        <v>1</v>
      </c>
      <c r="K18" s="6" t="e">
        <f t="shared" si="6"/>
        <v>#VALUE!</v>
      </c>
      <c r="L18" s="6">
        <f t="shared" si="7"/>
        <v>2</v>
      </c>
      <c r="M18" s="6">
        <f ca="1">rScores!Z11</f>
        <v>45.833333333333336</v>
      </c>
      <c r="N18" s="6">
        <f>tblIndicators!F11</f>
        <v>3</v>
      </c>
      <c r="O18" s="6"/>
      <c r="P18" s="6"/>
      <c r="Q18" s="6"/>
      <c r="R18" s="6">
        <f t="shared" si="8"/>
        <v>1</v>
      </c>
      <c r="S18" s="6">
        <f>IF($C18=0,"",RANK(R18,R$10:R$59,1)+COUNTIF(R$10:R18,R18)-1)</f>
        <v>9</v>
      </c>
      <c r="T18" s="6">
        <f t="shared" si="9"/>
        <v>9</v>
      </c>
      <c r="U18" s="70">
        <f t="shared" ca="1" si="10"/>
        <v>2</v>
      </c>
      <c r="V18" s="70">
        <f t="shared" ca="1" si="11"/>
        <v>8</v>
      </c>
      <c r="W18" s="70">
        <f t="shared" si="12"/>
        <v>1</v>
      </c>
      <c r="X18" s="69" t="str">
        <f t="shared" ca="1" si="23"/>
        <v>=2</v>
      </c>
      <c r="Y18" s="6" t="str">
        <f t="shared" si="13"/>
        <v>1.2.2) 6.¿Se reconoce a los recicladores de base como prestadores de servicio en la gestión de residuos?</v>
      </c>
      <c r="Z18" s="6">
        <f t="shared" ca="1" si="14"/>
        <v>50</v>
      </c>
      <c r="AA18" s="6">
        <f t="shared" si="14"/>
        <v>1</v>
      </c>
      <c r="AB18" s="6">
        <f t="shared" ca="1" si="15"/>
        <v>0</v>
      </c>
      <c r="AC18" s="6">
        <f t="shared" si="16"/>
        <v>0</v>
      </c>
      <c r="AD18" s="6" t="e">
        <f t="shared" si="17"/>
        <v>#VALUE!</v>
      </c>
      <c r="AE18" s="6">
        <f t="shared" si="18"/>
        <v>1</v>
      </c>
      <c r="AF18" s="6" t="e">
        <f t="shared" si="19"/>
        <v>#VALUE!</v>
      </c>
      <c r="AG18" s="6">
        <f t="shared" si="20"/>
        <v>2</v>
      </c>
      <c r="AH18" s="6">
        <f t="shared" ca="1" si="20"/>
        <v>45.833333333333336</v>
      </c>
      <c r="AI18" s="6">
        <f t="shared" si="20"/>
        <v>3</v>
      </c>
      <c r="AJ18" s="6" t="str">
        <f ca="1">IF($T18="","",IF(ISERROR(INDEX(aRank,$T18+1,uxb_works!$B$24)),"",INDEX(aRank,$T18+1,uxb_works!$B$24)))</f>
        <v>=4</v>
      </c>
      <c r="AK18" s="6" t="str">
        <f ca="1">IF($T18="","",IF(ISERROR(INDEX(aRank,$T18+1,uxb_works!$B$25)),"",INDEX(aRank,$T18+1,uxb_works!$B$25)))</f>
        <v>=9</v>
      </c>
      <c r="AL18" s="6" t="str">
        <f>IF($T18="","",IF(ISERROR(INDEX(aRank,$T18+1,uxb_works!$B$26-1)),"",INDEX(aRank,$T18+1,uxb_works!$B$26-1)))</f>
        <v/>
      </c>
      <c r="AM18" s="6" t="str">
        <f>IF($T18="","",IF(ISERROR(INDEX(aRank,$T18+1,uxb_works!$B$27-1)),"",INDEX(aRank,$T18+1,uxb_works!$B$27-1)))</f>
        <v/>
      </c>
      <c r="AN18" s="6"/>
      <c r="AO18" s="14" t="str">
        <f>IF(T18="","",INDEX(tblIndicators!$H$3:$H$66,iCCompare!T18))</f>
        <v>6.¿Se reconoce a los recicladores de base como prestadores de servicio en la gestión de residuos?</v>
      </c>
      <c r="AP18" s="6" t="str">
        <f t="shared" ca="1" si="24"/>
        <v/>
      </c>
      <c r="AQ18" s="6" t="str">
        <f t="shared" ca="1" si="25"/>
        <v/>
      </c>
      <c r="AR18" s="6" t="str">
        <f t="shared" ca="1" si="26"/>
        <v/>
      </c>
      <c r="AS18" s="6" t="str">
        <f t="shared" ca="1" si="27"/>
        <v/>
      </c>
      <c r="AT18" s="6">
        <v>3</v>
      </c>
      <c r="AU18" s="6"/>
      <c r="AV18" s="28">
        <f>IF(T18="","",INDEX(tblIndicators!$V$3:$V$52,iCCompare!T18))</f>
        <v>0</v>
      </c>
      <c r="AW18" s="28">
        <f t="shared" ca="1" si="28"/>
        <v>9</v>
      </c>
      <c r="AX18" s="28">
        <f t="shared" ca="1" si="29"/>
        <v>4</v>
      </c>
      <c r="AZ18" s="6">
        <f ca="1">IF($T18="","",IF(ISERROR(INDEX(aRankNumbers,$T18+1,uxb_works!$B$24)),"",INDEX(aRankNumbers,$T18+1,uxb_works!$B$24)))</f>
        <v>4</v>
      </c>
      <c r="BA18" s="6">
        <f ca="1">IF($T18="","",IF(ISERROR(INDEX(aRankNumbers,$T18+1,uxb_works!$B$25)),"",INDEX(aRankNumbers,$T18+1,uxb_works!$B$25)))</f>
        <v>9</v>
      </c>
      <c r="BB18" s="6" t="str">
        <f>IF($T18="","",IF(ISERROR(INDEX(aRankNumbers,$T18+1,uxb_works!$B$26-1)),"",INDEX(aRankNumbers,$T18+1,uxb_works!$B$26-1)))</f>
        <v/>
      </c>
      <c r="BC18" s="6" t="str">
        <f>IF($T18="","",IF(ISERROR(INDEX(aRankNumbers,$T18+1,uxb_works!$B$27-1)),"",INDEX(aRankNumbers,$T18+1,uxb_works!$B$27-1)))</f>
        <v/>
      </c>
      <c r="BE18" s="28">
        <f t="shared" ca="1" si="30"/>
        <v>1</v>
      </c>
      <c r="BF18" s="28">
        <f t="shared" ca="1" si="31"/>
        <v>2</v>
      </c>
      <c r="BG18" s="28">
        <f t="shared" ca="1" si="32"/>
        <v>0</v>
      </c>
      <c r="BH18" s="28">
        <f t="shared" ca="1" si="33"/>
        <v>0</v>
      </c>
    </row>
    <row r="19" spans="1:60" s="28" customFormat="1">
      <c r="A19" s="6">
        <f>tblCategories!A12</f>
        <v>10</v>
      </c>
      <c r="B19" s="6" t="str">
        <f>tblCategories!D12</f>
        <v>1.2.3) 7.¿Se ha identificado la población de recicladores de base a través de un censo?</v>
      </c>
      <c r="C19" s="6">
        <f>tblCategories!F12</f>
        <v>1</v>
      </c>
      <c r="D19" s="6">
        <v>1</v>
      </c>
      <c r="E19" s="6">
        <f t="shared" ca="1" si="0"/>
        <v>0</v>
      </c>
      <c r="F19" s="6">
        <f t="shared" si="1"/>
        <v>0</v>
      </c>
      <c r="G19" s="6">
        <f t="shared" ca="1" si="2"/>
        <v>0</v>
      </c>
      <c r="H19" s="6">
        <f t="shared" si="3"/>
        <v>0</v>
      </c>
      <c r="I19" s="6" t="e">
        <f t="shared" si="4"/>
        <v>#VALUE!</v>
      </c>
      <c r="J19" s="6">
        <f t="shared" si="5"/>
        <v>0</v>
      </c>
      <c r="K19" s="6" t="e">
        <f t="shared" si="6"/>
        <v>#VALUE!</v>
      </c>
      <c r="L19" s="6">
        <f t="shared" si="7"/>
        <v>0</v>
      </c>
      <c r="M19" s="6">
        <f ca="1">rScores!Z12</f>
        <v>41.666666666666664</v>
      </c>
      <c r="N19" s="6">
        <f>tblIndicators!F12</f>
        <v>3</v>
      </c>
      <c r="O19" s="6"/>
      <c r="P19" s="6"/>
      <c r="Q19" s="6"/>
      <c r="R19" s="6">
        <f t="shared" si="8"/>
        <v>1</v>
      </c>
      <c r="S19" s="6">
        <f>IF($C19=0,"",RANK(R19,R$10:R$59,1)+COUNTIF(R$10:R19,R19)-1)</f>
        <v>10</v>
      </c>
      <c r="T19" s="6">
        <f t="shared" si="9"/>
        <v>10</v>
      </c>
      <c r="U19" s="70">
        <f t="shared" ca="1" si="10"/>
        <v>14</v>
      </c>
      <c r="V19" s="70">
        <f t="shared" ca="1" si="11"/>
        <v>7</v>
      </c>
      <c r="W19" s="70">
        <f t="shared" si="12"/>
        <v>1</v>
      </c>
      <c r="X19" s="69" t="str">
        <f t="shared" ca="1" si="23"/>
        <v>=14</v>
      </c>
      <c r="Y19" s="6" t="str">
        <f t="shared" si="13"/>
        <v>1.2.3) 7.¿Se ha identificado la población de recicladores de base a través de un censo?</v>
      </c>
      <c r="Z19" s="6">
        <f t="shared" ca="1" si="14"/>
        <v>0</v>
      </c>
      <c r="AA19" s="6">
        <f t="shared" si="14"/>
        <v>0</v>
      </c>
      <c r="AB19" s="6">
        <f t="shared" ca="1" si="15"/>
        <v>0</v>
      </c>
      <c r="AC19" s="6">
        <f t="shared" si="16"/>
        <v>0</v>
      </c>
      <c r="AD19" s="6" t="e">
        <f t="shared" si="17"/>
        <v>#VALUE!</v>
      </c>
      <c r="AE19" s="6">
        <f t="shared" si="18"/>
        <v>0</v>
      </c>
      <c r="AF19" s="6" t="e">
        <f t="shared" si="19"/>
        <v>#VALUE!</v>
      </c>
      <c r="AG19" s="6">
        <f t="shared" si="20"/>
        <v>0</v>
      </c>
      <c r="AH19" s="6">
        <f t="shared" ca="1" si="20"/>
        <v>41.666666666666664</v>
      </c>
      <c r="AI19" s="6">
        <f t="shared" si="20"/>
        <v>3</v>
      </c>
      <c r="AJ19" s="6" t="str">
        <f ca="1">IF($T19="","",IF(ISERROR(INDEX(aRank,$T19+1,uxb_works!$B$24)),"",INDEX(aRank,$T19+1,uxb_works!$B$24)))</f>
        <v>=6</v>
      </c>
      <c r="AK19" s="6" t="str">
        <f ca="1">IF($T19="","",IF(ISERROR(INDEX(aRank,$T19+1,uxb_works!$B$25)),"",INDEX(aRank,$T19+1,uxb_works!$B$25)))</f>
        <v>=6</v>
      </c>
      <c r="AL19" s="6" t="str">
        <f>IF($T19="","",IF(ISERROR(INDEX(aRank,$T19+1,uxb_works!$B$26-1)),"",INDEX(aRank,$T19+1,uxb_works!$B$26-1)))</f>
        <v/>
      </c>
      <c r="AM19" s="6" t="str">
        <f>IF($T19="","",IF(ISERROR(INDEX(aRank,$T19+1,uxb_works!$B$27-1)),"",INDEX(aRank,$T19+1,uxb_works!$B$27-1)))</f>
        <v/>
      </c>
      <c r="AN19" s="6"/>
      <c r="AO19" s="14" t="str">
        <f>IF(T19="","",INDEX(tblIndicators!$H$3:$H$66,iCCompare!T19))</f>
        <v>7.¿Se ha identificado la población de recicladores de base a través de un censo?</v>
      </c>
      <c r="AP19" s="6" t="str">
        <f t="shared" ca="1" si="24"/>
        <v/>
      </c>
      <c r="AQ19" s="6" t="str">
        <f t="shared" ca="1" si="25"/>
        <v/>
      </c>
      <c r="AR19" s="6" t="str">
        <f t="shared" ca="1" si="26"/>
        <v/>
      </c>
      <c r="AS19" s="6" t="str">
        <f t="shared" ca="1" si="27"/>
        <v/>
      </c>
      <c r="AT19" s="6">
        <v>3</v>
      </c>
      <c r="AU19" s="6"/>
      <c r="AV19" s="28">
        <f>IF(T19="","",INDEX(tblIndicators!$V$3:$V$52,iCCompare!T19))</f>
        <v>0</v>
      </c>
      <c r="AW19" s="28">
        <f t="shared" ca="1" si="28"/>
        <v>6</v>
      </c>
      <c r="AX19" s="28">
        <f t="shared" ca="1" si="29"/>
        <v>6</v>
      </c>
      <c r="AZ19" s="6">
        <f ca="1">IF($T19="","",IF(ISERROR(INDEX(aRankNumbers,$T19+1,uxb_works!$B$24)),"",INDEX(aRankNumbers,$T19+1,uxb_works!$B$24)))</f>
        <v>6</v>
      </c>
      <c r="BA19" s="6">
        <f ca="1">IF($T19="","",IF(ISERROR(INDEX(aRankNumbers,$T19+1,uxb_works!$B$25)),"",INDEX(aRankNumbers,$T19+1,uxb_works!$B$25)))</f>
        <v>6</v>
      </c>
      <c r="BB19" s="6" t="str">
        <f>IF($T19="","",IF(ISERROR(INDEX(aRankNumbers,$T19+1,uxb_works!$B$26-1)),"",INDEX(aRankNumbers,$T19+1,uxb_works!$B$26-1)))</f>
        <v/>
      </c>
      <c r="BC19" s="6" t="str">
        <f>IF($T19="","",IF(ISERROR(INDEX(aRankNumbers,$T19+1,uxb_works!$B$27-1)),"",INDEX(aRankNumbers,$T19+1,uxb_works!$B$27-1)))</f>
        <v/>
      </c>
      <c r="BE19" s="28">
        <f t="shared" ca="1" si="30"/>
        <v>0</v>
      </c>
      <c r="BF19" s="28">
        <f t="shared" ca="1" si="31"/>
        <v>0</v>
      </c>
      <c r="BG19" s="28">
        <f t="shared" ca="1" si="32"/>
        <v>0</v>
      </c>
      <c r="BH19" s="28">
        <f t="shared" ca="1" si="33"/>
        <v>0</v>
      </c>
    </row>
    <row r="20" spans="1:60" s="28" customFormat="1">
      <c r="A20" s="6">
        <f>tblCategories!A13</f>
        <v>11</v>
      </c>
      <c r="B20" s="6" t="str">
        <f>tblCategories!D13</f>
        <v>1.2.4) 8.¿Cuál es el grado de transparencia e inclusión en los procesos de licitación para el reciclaje?</v>
      </c>
      <c r="C20" s="6">
        <f>tblCategories!F13</f>
        <v>1</v>
      </c>
      <c r="D20" s="6">
        <v>1</v>
      </c>
      <c r="E20" s="6">
        <f t="shared" ca="1" si="0"/>
        <v>50</v>
      </c>
      <c r="F20" s="6">
        <f t="shared" si="1"/>
        <v>1</v>
      </c>
      <c r="G20" s="6">
        <f t="shared" ca="1" si="2"/>
        <v>0</v>
      </c>
      <c r="H20" s="6">
        <f t="shared" si="3"/>
        <v>0</v>
      </c>
      <c r="I20" s="6" t="e">
        <f t="shared" si="4"/>
        <v>#VALUE!</v>
      </c>
      <c r="J20" s="6">
        <f t="shared" si="5"/>
        <v>1</v>
      </c>
      <c r="K20" s="6" t="e">
        <f t="shared" si="6"/>
        <v>#VALUE!</v>
      </c>
      <c r="L20" s="6">
        <f t="shared" si="7"/>
        <v>1</v>
      </c>
      <c r="M20" s="6">
        <f ca="1">rScores!Z13</f>
        <v>25</v>
      </c>
      <c r="N20" s="6">
        <f>tblIndicators!F13</f>
        <v>3</v>
      </c>
      <c r="O20" s="6"/>
      <c r="P20" s="6"/>
      <c r="Q20" s="6"/>
      <c r="R20" s="6">
        <f t="shared" si="8"/>
        <v>1</v>
      </c>
      <c r="S20" s="6">
        <f>IF($C20=0,"",RANK(R20,R$10:R$59,1)+COUNTIF(R$10:R20,R20)-1)</f>
        <v>11</v>
      </c>
      <c r="T20" s="6">
        <f t="shared" si="9"/>
        <v>11</v>
      </c>
      <c r="U20" s="70">
        <f t="shared" ca="1" si="10"/>
        <v>2</v>
      </c>
      <c r="V20" s="70">
        <f t="shared" ca="1" si="11"/>
        <v>8</v>
      </c>
      <c r="W20" s="70">
        <f t="shared" si="12"/>
        <v>1</v>
      </c>
      <c r="X20" s="69" t="str">
        <f t="shared" ca="1" si="23"/>
        <v>=2</v>
      </c>
      <c r="Y20" s="6" t="str">
        <f t="shared" si="13"/>
        <v>1.2.4) 8.¿Cuál es el grado de transparencia e inclusión en los procesos de licitación para el reciclaje?</v>
      </c>
      <c r="Z20" s="6">
        <f t="shared" ca="1" si="14"/>
        <v>50</v>
      </c>
      <c r="AA20" s="6">
        <f t="shared" si="14"/>
        <v>1</v>
      </c>
      <c r="AB20" s="6">
        <f t="shared" ca="1" si="15"/>
        <v>0</v>
      </c>
      <c r="AC20" s="6">
        <f t="shared" si="16"/>
        <v>0</v>
      </c>
      <c r="AD20" s="6" t="e">
        <f t="shared" si="17"/>
        <v>#VALUE!</v>
      </c>
      <c r="AE20" s="6">
        <f t="shared" si="18"/>
        <v>1</v>
      </c>
      <c r="AF20" s="6" t="e">
        <f t="shared" si="19"/>
        <v>#VALUE!</v>
      </c>
      <c r="AG20" s="6">
        <f t="shared" si="20"/>
        <v>1</v>
      </c>
      <c r="AH20" s="6">
        <f t="shared" ca="1" si="20"/>
        <v>25</v>
      </c>
      <c r="AI20" s="6">
        <f t="shared" si="20"/>
        <v>3</v>
      </c>
      <c r="AJ20" s="6" t="str">
        <f ca="1">IF($T20="","",IF(ISERROR(INDEX(aRank,$T20+1,uxb_works!$B$24)),"",INDEX(aRank,$T20+1,uxb_works!$B$24)))</f>
        <v>=1</v>
      </c>
      <c r="AK20" s="6" t="str">
        <f ca="1">IF($T20="","",IF(ISERROR(INDEX(aRank,$T20+1,uxb_works!$B$25)),"",INDEX(aRank,$T20+1,uxb_works!$B$25)))</f>
        <v>=7</v>
      </c>
      <c r="AL20" s="6" t="str">
        <f>IF($T20="","",IF(ISERROR(INDEX(aRank,$T20+1,uxb_works!$B$26-1)),"",INDEX(aRank,$T20+1,uxb_works!$B$26-1)))</f>
        <v/>
      </c>
      <c r="AM20" s="6" t="str">
        <f>IF($T20="","",IF(ISERROR(INDEX(aRank,$T20+1,uxb_works!$B$27-1)),"",INDEX(aRank,$T20+1,uxb_works!$B$27-1)))</f>
        <v/>
      </c>
      <c r="AN20" s="6"/>
      <c r="AO20" s="14" t="str">
        <f>IF(T20="","",INDEX(tblIndicators!$H$3:$H$66,iCCompare!T20))</f>
        <v>8.¿Cuál es el grado de transparencia e inclusión en los procesos de licitación para el reciclaje?</v>
      </c>
      <c r="AP20" s="6" t="str">
        <f t="shared" ca="1" si="24"/>
        <v/>
      </c>
      <c r="AQ20" s="6" t="str">
        <f t="shared" ca="1" si="25"/>
        <v/>
      </c>
      <c r="AR20" s="6" t="str">
        <f t="shared" ca="1" si="26"/>
        <v/>
      </c>
      <c r="AS20" s="6" t="str">
        <f t="shared" ca="1" si="27"/>
        <v/>
      </c>
      <c r="AT20" s="6">
        <v>3</v>
      </c>
      <c r="AU20" s="6"/>
      <c r="AV20" s="28">
        <f>IF(T20="","",INDEX(tblIndicators!$V$3:$V$52,iCCompare!T20))</f>
        <v>0</v>
      </c>
      <c r="AW20" s="28">
        <f t="shared" ca="1" si="28"/>
        <v>7</v>
      </c>
      <c r="AX20" s="28">
        <f t="shared" ca="1" si="29"/>
        <v>1</v>
      </c>
      <c r="AZ20" s="6">
        <f ca="1">IF($T20="","",IF(ISERROR(INDEX(aRankNumbers,$T20+1,uxb_works!$B$24)),"",INDEX(aRankNumbers,$T20+1,uxb_works!$B$24)))</f>
        <v>1</v>
      </c>
      <c r="BA20" s="6">
        <f ca="1">IF($T20="","",IF(ISERROR(INDEX(aRankNumbers,$T20+1,uxb_works!$B$25)),"",INDEX(aRankNumbers,$T20+1,uxb_works!$B$25)))</f>
        <v>7</v>
      </c>
      <c r="BB20" s="6" t="str">
        <f>IF($T20="","",IF(ISERROR(INDEX(aRankNumbers,$T20+1,uxb_works!$B$26-1)),"",INDEX(aRankNumbers,$T20+1,uxb_works!$B$26-1)))</f>
        <v/>
      </c>
      <c r="BC20" s="6" t="str">
        <f>IF($T20="","",IF(ISERROR(INDEX(aRankNumbers,$T20+1,uxb_works!$B$27-1)),"",INDEX(aRankNumbers,$T20+1,uxb_works!$B$27-1)))</f>
        <v/>
      </c>
      <c r="BE20" s="28">
        <f t="shared" ca="1" si="30"/>
        <v>1</v>
      </c>
      <c r="BF20" s="28">
        <f t="shared" ca="1" si="31"/>
        <v>2</v>
      </c>
      <c r="BG20" s="28">
        <f t="shared" ca="1" si="32"/>
        <v>0</v>
      </c>
      <c r="BH20" s="28">
        <f t="shared" ca="1" si="33"/>
        <v>0</v>
      </c>
    </row>
    <row r="21" spans="1:60" s="28" customFormat="1">
      <c r="A21" s="6">
        <f>tblCategories!A14</f>
        <v>12</v>
      </c>
      <c r="B21" s="6" t="str">
        <f>tblCategories!D14</f>
        <v>1.2.5) 9.¿La normativa/ estrategia municipal de residuos sólidos: fue desarrollada de manera participativa?</v>
      </c>
      <c r="C21" s="6">
        <f>tblCategories!F14</f>
        <v>1</v>
      </c>
      <c r="D21" s="6">
        <v>1</v>
      </c>
      <c r="E21" s="6">
        <f t="shared" ca="1" si="0"/>
        <v>100</v>
      </c>
      <c r="F21" s="6">
        <f t="shared" si="1"/>
        <v>2</v>
      </c>
      <c r="G21" s="6">
        <f t="shared" ca="1" si="2"/>
        <v>50</v>
      </c>
      <c r="H21" s="6">
        <f t="shared" si="3"/>
        <v>1</v>
      </c>
      <c r="I21" s="6" t="e">
        <f t="shared" si="4"/>
        <v>#VALUE!</v>
      </c>
      <c r="J21" s="6">
        <f t="shared" si="5"/>
        <v>2</v>
      </c>
      <c r="K21" s="6" t="e">
        <f t="shared" si="6"/>
        <v>#VALUE!</v>
      </c>
      <c r="L21" s="6">
        <f t="shared" si="7"/>
        <v>2</v>
      </c>
      <c r="M21" s="6">
        <f ca="1">rScores!Z14</f>
        <v>45.833333333333336</v>
      </c>
      <c r="N21" s="6">
        <f>tblIndicators!F14</f>
        <v>3</v>
      </c>
      <c r="O21" s="6"/>
      <c r="P21" s="6"/>
      <c r="Q21" s="6"/>
      <c r="R21" s="6">
        <f t="shared" si="8"/>
        <v>1</v>
      </c>
      <c r="S21" s="6">
        <f>IF($C21=0,"",RANK(R21,R$10:R$59,1)+COUNTIF(R$10:R21,R21)-1)</f>
        <v>12</v>
      </c>
      <c r="T21" s="6">
        <f t="shared" si="9"/>
        <v>12</v>
      </c>
      <c r="U21" s="70">
        <f t="shared" ca="1" si="10"/>
        <v>1</v>
      </c>
      <c r="V21" s="70">
        <f t="shared" ca="1" si="11"/>
        <v>1</v>
      </c>
      <c r="W21" s="70">
        <f t="shared" si="12"/>
        <v>1</v>
      </c>
      <c r="X21" s="69">
        <f t="shared" ca="1" si="23"/>
        <v>1</v>
      </c>
      <c r="Y21" s="6" t="str">
        <f t="shared" si="13"/>
        <v>1.2.5) 9.¿La normativa/ estrategia municipal de residuos sólidos: fue desarrollada de manera participativa?</v>
      </c>
      <c r="Z21" s="6">
        <f t="shared" ca="1" si="14"/>
        <v>100</v>
      </c>
      <c r="AA21" s="6">
        <f t="shared" si="14"/>
        <v>2</v>
      </c>
      <c r="AB21" s="6">
        <f t="shared" ca="1" si="15"/>
        <v>50</v>
      </c>
      <c r="AC21" s="6">
        <f t="shared" si="16"/>
        <v>1</v>
      </c>
      <c r="AD21" s="6" t="e">
        <f t="shared" si="17"/>
        <v>#VALUE!</v>
      </c>
      <c r="AE21" s="6">
        <f t="shared" si="18"/>
        <v>2</v>
      </c>
      <c r="AF21" s="6" t="e">
        <f t="shared" si="19"/>
        <v>#VALUE!</v>
      </c>
      <c r="AG21" s="6">
        <f t="shared" si="20"/>
        <v>2</v>
      </c>
      <c r="AH21" s="6">
        <f t="shared" ca="1" si="20"/>
        <v>45.833333333333336</v>
      </c>
      <c r="AI21" s="6">
        <f t="shared" si="20"/>
        <v>3</v>
      </c>
      <c r="AJ21" s="6" t="str">
        <f ca="1">IF($T21="","",IF(ISERROR(INDEX(aRank,$T21+1,uxb_works!$B$24)),"",INDEX(aRank,$T21+1,uxb_works!$B$24)))</f>
        <v>=1</v>
      </c>
      <c r="AK21" s="6" t="str">
        <f ca="1">IF($T21="","",IF(ISERROR(INDEX(aRank,$T21+1,uxb_works!$B$25)),"",INDEX(aRank,$T21+1,uxb_works!$B$25)))</f>
        <v>=4</v>
      </c>
      <c r="AL21" s="6" t="str">
        <f>IF($T21="","",IF(ISERROR(INDEX(aRank,$T21+1,uxb_works!$B$26-1)),"",INDEX(aRank,$T21+1,uxb_works!$B$26-1)))</f>
        <v/>
      </c>
      <c r="AM21" s="6" t="str">
        <f>IF($T21="","",IF(ISERROR(INDEX(aRank,$T21+1,uxb_works!$B$27-1)),"",INDEX(aRank,$T21+1,uxb_works!$B$27-1)))</f>
        <v/>
      </c>
      <c r="AN21" s="6"/>
      <c r="AO21" s="14" t="str">
        <f>IF(T21="","",INDEX(tblIndicators!$H$3:$H$66,iCCompare!T21))</f>
        <v>9.¿La normativa/ estrategia municipal de residuos sólidos: fue desarrollada de manera participativa?</v>
      </c>
      <c r="AP21" s="6" t="str">
        <f t="shared" ca="1" si="24"/>
        <v/>
      </c>
      <c r="AQ21" s="6" t="str">
        <f t="shared" ca="1" si="25"/>
        <v/>
      </c>
      <c r="AR21" s="6" t="str">
        <f t="shared" ca="1" si="26"/>
        <v/>
      </c>
      <c r="AS21" s="6" t="str">
        <f t="shared" ca="1" si="27"/>
        <v/>
      </c>
      <c r="AT21" s="6">
        <v>3</v>
      </c>
      <c r="AU21" s="6"/>
      <c r="AV21" s="28">
        <f>IF(T21="","",INDEX(tblIndicators!$V$3:$V$52,iCCompare!T21))</f>
        <v>0</v>
      </c>
      <c r="AW21" s="28">
        <f t="shared" ca="1" si="28"/>
        <v>4</v>
      </c>
      <c r="AX21" s="28">
        <f t="shared" ca="1" si="29"/>
        <v>1</v>
      </c>
      <c r="AZ21" s="6">
        <f ca="1">IF($T21="","",IF(ISERROR(INDEX(aRankNumbers,$T21+1,uxb_works!$B$24)),"",INDEX(aRankNumbers,$T21+1,uxb_works!$B$24)))</f>
        <v>1</v>
      </c>
      <c r="BA21" s="6">
        <f ca="1">IF($T21="","",IF(ISERROR(INDEX(aRankNumbers,$T21+1,uxb_works!$B$25)),"",INDEX(aRankNumbers,$T21+1,uxb_works!$B$25)))</f>
        <v>4</v>
      </c>
      <c r="BB21" s="6" t="str">
        <f>IF($T21="","",IF(ISERROR(INDEX(aRankNumbers,$T21+1,uxb_works!$B$26-1)),"",INDEX(aRankNumbers,$T21+1,uxb_works!$B$26-1)))</f>
        <v/>
      </c>
      <c r="BC21" s="6" t="str">
        <f>IF($T21="","",IF(ISERROR(INDEX(aRankNumbers,$T21+1,uxb_works!$B$27-1)),"",INDEX(aRankNumbers,$T21+1,uxb_works!$B$27-1)))</f>
        <v/>
      </c>
      <c r="BE21" s="28">
        <f t="shared" ca="1" si="30"/>
        <v>1</v>
      </c>
      <c r="BF21" s="28">
        <f t="shared" ca="1" si="31"/>
        <v>2</v>
      </c>
      <c r="BG21" s="28">
        <f t="shared" ca="1" si="32"/>
        <v>0</v>
      </c>
      <c r="BH21" s="28">
        <f t="shared" ca="1" si="33"/>
        <v>0</v>
      </c>
    </row>
    <row r="22" spans="1:60" s="28" customFormat="1">
      <c r="A22" s="6">
        <f>tblCategories!A15</f>
        <v>13</v>
      </c>
      <c r="B22" s="6" t="str">
        <f>tblCategories!D15</f>
        <v>1.2.6) 10.¿Hay programas de formación/capacitación a nivel municipal?</v>
      </c>
      <c r="C22" s="6">
        <f>tblCategories!F15</f>
        <v>1</v>
      </c>
      <c r="D22" s="6">
        <v>1</v>
      </c>
      <c r="E22" s="6">
        <f t="shared" ca="1" si="0"/>
        <v>0</v>
      </c>
      <c r="F22" s="6">
        <f t="shared" si="1"/>
        <v>0</v>
      </c>
      <c r="G22" s="6">
        <f t="shared" ca="1" si="2"/>
        <v>100</v>
      </c>
      <c r="H22" s="6">
        <f t="shared" si="3"/>
        <v>3</v>
      </c>
      <c r="I22" s="6" t="e">
        <f t="shared" si="4"/>
        <v>#VALUE!</v>
      </c>
      <c r="J22" s="6">
        <f t="shared" si="5"/>
        <v>0</v>
      </c>
      <c r="K22" s="6" t="e">
        <f t="shared" si="6"/>
        <v>#VALUE!</v>
      </c>
      <c r="L22" s="6">
        <f t="shared" si="7"/>
        <v>1</v>
      </c>
      <c r="M22" s="6">
        <f ca="1">rScores!Z15</f>
        <v>49.991666666666674</v>
      </c>
      <c r="N22" s="6">
        <f>tblIndicators!F15</f>
        <v>3</v>
      </c>
      <c r="O22" s="6"/>
      <c r="P22" s="6"/>
      <c r="Q22" s="6"/>
      <c r="R22" s="6">
        <f t="shared" si="8"/>
        <v>1</v>
      </c>
      <c r="S22" s="6">
        <f>IF($C22=0,"",RANK(R22,R$10:R$59,1)+COUNTIF(R$10:R22,R22)-1)</f>
        <v>13</v>
      </c>
      <c r="T22" s="6">
        <f t="shared" si="9"/>
        <v>13</v>
      </c>
      <c r="U22" s="70">
        <f t="shared" ca="1" si="10"/>
        <v>14</v>
      </c>
      <c r="V22" s="70">
        <f t="shared" ca="1" si="11"/>
        <v>7</v>
      </c>
      <c r="W22" s="70">
        <f t="shared" si="12"/>
        <v>1</v>
      </c>
      <c r="X22" s="69" t="str">
        <f t="shared" ca="1" si="23"/>
        <v>=14</v>
      </c>
      <c r="Y22" s="6" t="str">
        <f t="shared" si="13"/>
        <v>1.2.6) 10.¿Hay programas de formación/capacitación a nivel municipal?</v>
      </c>
      <c r="Z22" s="6">
        <f t="shared" ca="1" si="14"/>
        <v>0</v>
      </c>
      <c r="AA22" s="6">
        <f t="shared" si="14"/>
        <v>0</v>
      </c>
      <c r="AB22" s="6">
        <f t="shared" ca="1" si="15"/>
        <v>100</v>
      </c>
      <c r="AC22" s="6">
        <f t="shared" si="16"/>
        <v>3</v>
      </c>
      <c r="AD22" s="6" t="e">
        <f t="shared" si="17"/>
        <v>#VALUE!</v>
      </c>
      <c r="AE22" s="6">
        <f t="shared" si="18"/>
        <v>0</v>
      </c>
      <c r="AF22" s="6" t="e">
        <f t="shared" si="19"/>
        <v>#VALUE!</v>
      </c>
      <c r="AG22" s="6">
        <f t="shared" si="20"/>
        <v>1</v>
      </c>
      <c r="AH22" s="6">
        <f t="shared" ca="1" si="20"/>
        <v>49.991666666666674</v>
      </c>
      <c r="AI22" s="6">
        <f t="shared" si="20"/>
        <v>3</v>
      </c>
      <c r="AJ22" s="6" t="str">
        <f ca="1">IF($T22="","",IF(ISERROR(INDEX(aRank,$T22+1,uxb_works!$B$24)),"",INDEX(aRank,$T22+1,uxb_works!$B$24)))</f>
        <v>=10</v>
      </c>
      <c r="AK22" s="6" t="str">
        <f ca="1">IF($T22="","",IF(ISERROR(INDEX(aRank,$T22+1,uxb_works!$B$25)),"",INDEX(aRank,$T22+1,uxb_works!$B$25)))</f>
        <v>=1</v>
      </c>
      <c r="AL22" s="6" t="str">
        <f>IF($T22="","",IF(ISERROR(INDEX(aRank,$T22+1,uxb_works!$B$26-1)),"",INDEX(aRank,$T22+1,uxb_works!$B$26-1)))</f>
        <v/>
      </c>
      <c r="AM22" s="6" t="str">
        <f>IF($T22="","",IF(ISERROR(INDEX(aRank,$T22+1,uxb_works!$B$27-1)),"",INDEX(aRank,$T22+1,uxb_works!$B$27-1)))</f>
        <v/>
      </c>
      <c r="AN22" s="6"/>
      <c r="AO22" s="14" t="str">
        <f>IF(T22="","",INDEX(tblIndicators!$H$3:$H$66,iCCompare!T22))</f>
        <v>10.¿Hay programas de formación/capacitación a nivel municipal?</v>
      </c>
      <c r="AP22" s="6" t="str">
        <f t="shared" ca="1" si="24"/>
        <v/>
      </c>
      <c r="AQ22" s="6" t="str">
        <f t="shared" ca="1" si="25"/>
        <v/>
      </c>
      <c r="AR22" s="6" t="str">
        <f t="shared" ca="1" si="26"/>
        <v/>
      </c>
      <c r="AS22" s="6" t="str">
        <f t="shared" ca="1" si="27"/>
        <v/>
      </c>
      <c r="AT22" s="6">
        <v>3</v>
      </c>
      <c r="AU22" s="6"/>
      <c r="AV22" s="28">
        <f>IF(T22="","",INDEX(tblIndicators!$V$3:$V$52,iCCompare!T22))</f>
        <v>0</v>
      </c>
      <c r="AW22" s="28">
        <f t="shared" ca="1" si="28"/>
        <v>10</v>
      </c>
      <c r="AX22" s="28">
        <f t="shared" ca="1" si="29"/>
        <v>1</v>
      </c>
      <c r="AZ22" s="6">
        <f ca="1">IF($T22="","",IF(ISERROR(INDEX(aRankNumbers,$T22+1,uxb_works!$B$24)),"",INDEX(aRankNumbers,$T22+1,uxb_works!$B$24)))</f>
        <v>10</v>
      </c>
      <c r="BA22" s="6">
        <f ca="1">IF($T22="","",IF(ISERROR(INDEX(aRankNumbers,$T22+1,uxb_works!$B$25)),"",INDEX(aRankNumbers,$T22+1,uxb_works!$B$25)))</f>
        <v>1</v>
      </c>
      <c r="BB22" s="6" t="str">
        <f>IF($T22="","",IF(ISERROR(INDEX(aRankNumbers,$T22+1,uxb_works!$B$26-1)),"",INDEX(aRankNumbers,$T22+1,uxb_works!$B$26-1)))</f>
        <v/>
      </c>
      <c r="BC22" s="6" t="str">
        <f>IF($T22="","",IF(ISERROR(INDEX(aRankNumbers,$T22+1,uxb_works!$B$27-1)),"",INDEX(aRankNumbers,$T22+1,uxb_works!$B$27-1)))</f>
        <v/>
      </c>
      <c r="BE22" s="28">
        <f t="shared" ca="1" si="30"/>
        <v>2</v>
      </c>
      <c r="BF22" s="28">
        <f t="shared" ca="1" si="31"/>
        <v>1</v>
      </c>
      <c r="BG22" s="28">
        <f t="shared" ca="1" si="32"/>
        <v>0</v>
      </c>
      <c r="BH22" s="28">
        <f t="shared" ca="1" si="33"/>
        <v>0</v>
      </c>
    </row>
    <row r="23" spans="1:60" s="28" customFormat="1">
      <c r="A23" s="6">
        <f>tblCategories!A16</f>
        <v>14</v>
      </c>
      <c r="B23" s="6" t="str">
        <f>tblCategories!D16</f>
        <v>1.2.7) 11.¿Existen incentivos, programas y/o acciones concretas para el fortalecimiento de la ocupación del reciclador de base?</v>
      </c>
      <c r="C23" s="6">
        <f>tblCategories!F16</f>
        <v>1</v>
      </c>
      <c r="D23" s="6">
        <v>1</v>
      </c>
      <c r="E23" s="6">
        <f t="shared" ca="1" si="0"/>
        <v>50</v>
      </c>
      <c r="F23" s="6">
        <f t="shared" si="1"/>
        <v>1</v>
      </c>
      <c r="G23" s="6">
        <f t="shared" ca="1" si="2"/>
        <v>50</v>
      </c>
      <c r="H23" s="6">
        <f t="shared" si="3"/>
        <v>1</v>
      </c>
      <c r="I23" s="6" t="e">
        <f t="shared" si="4"/>
        <v>#VALUE!</v>
      </c>
      <c r="J23" s="6">
        <f t="shared" si="5"/>
        <v>1</v>
      </c>
      <c r="K23" s="6" t="e">
        <f t="shared" si="6"/>
        <v>#VALUE!</v>
      </c>
      <c r="L23" s="6">
        <f t="shared" si="7"/>
        <v>2</v>
      </c>
      <c r="M23" s="6">
        <f ca="1">rScores!Z16</f>
        <v>58.333333333333336</v>
      </c>
      <c r="N23" s="6">
        <f>tblIndicators!F16</f>
        <v>3</v>
      </c>
      <c r="O23" s="6"/>
      <c r="P23" s="6"/>
      <c r="Q23" s="6"/>
      <c r="R23" s="6">
        <f t="shared" si="8"/>
        <v>1</v>
      </c>
      <c r="S23" s="6">
        <f>IF($C23=0,"",RANK(R23,R$10:R$59,1)+COUNTIF(R$10:R23,R23)-1)</f>
        <v>14</v>
      </c>
      <c r="T23" s="6">
        <f t="shared" si="9"/>
        <v>14</v>
      </c>
      <c r="U23" s="70">
        <f t="shared" ca="1" si="10"/>
        <v>2</v>
      </c>
      <c r="V23" s="70">
        <f t="shared" ca="1" si="11"/>
        <v>8</v>
      </c>
      <c r="W23" s="70">
        <f t="shared" si="12"/>
        <v>1</v>
      </c>
      <c r="X23" s="69" t="str">
        <f t="shared" ca="1" si="23"/>
        <v>=2</v>
      </c>
      <c r="Y23" s="6" t="str">
        <f t="shared" si="13"/>
        <v>1.2.7) 11.¿Existen incentivos, programas y/o acciones concretas para el fortalecimiento de la ocupación del reciclador de base?</v>
      </c>
      <c r="Z23" s="6">
        <f t="shared" ca="1" si="14"/>
        <v>50</v>
      </c>
      <c r="AA23" s="6">
        <f t="shared" si="14"/>
        <v>1</v>
      </c>
      <c r="AB23" s="6">
        <f t="shared" ca="1" si="15"/>
        <v>50</v>
      </c>
      <c r="AC23" s="6">
        <f t="shared" si="16"/>
        <v>1</v>
      </c>
      <c r="AD23" s="6" t="e">
        <f t="shared" si="17"/>
        <v>#VALUE!</v>
      </c>
      <c r="AE23" s="6">
        <f t="shared" si="18"/>
        <v>1</v>
      </c>
      <c r="AF23" s="6" t="e">
        <f t="shared" si="19"/>
        <v>#VALUE!</v>
      </c>
      <c r="AG23" s="6">
        <f t="shared" si="20"/>
        <v>2</v>
      </c>
      <c r="AH23" s="6">
        <f t="shared" ca="1" si="20"/>
        <v>58.333333333333336</v>
      </c>
      <c r="AI23" s="6">
        <f t="shared" si="20"/>
        <v>3</v>
      </c>
      <c r="AJ23" s="6" t="str">
        <f ca="1">IF($T23="","",IF(ISERROR(INDEX(aRank,$T23+1,uxb_works!$B$24)),"",INDEX(aRank,$T23+1,uxb_works!$B$24)))</f>
        <v>=5</v>
      </c>
      <c r="AK23" s="6" t="str">
        <f ca="1">IF($T23="","",IF(ISERROR(INDEX(aRank,$T23+1,uxb_works!$B$25)),"",INDEX(aRank,$T23+1,uxb_works!$B$25)))</f>
        <v>=5</v>
      </c>
      <c r="AL23" s="6" t="str">
        <f>IF($T23="","",IF(ISERROR(INDEX(aRank,$T23+1,uxb_works!$B$26-1)),"",INDEX(aRank,$T23+1,uxb_works!$B$26-1)))</f>
        <v/>
      </c>
      <c r="AM23" s="6" t="str">
        <f>IF($T23="","",IF(ISERROR(INDEX(aRank,$T23+1,uxb_works!$B$27-1)),"",INDEX(aRank,$T23+1,uxb_works!$B$27-1)))</f>
        <v/>
      </c>
      <c r="AN23" s="6"/>
      <c r="AO23" s="14" t="str">
        <f>IF(T23="","",INDEX(tblIndicators!$H$3:$H$66,iCCompare!T23))</f>
        <v>11.¿Existen incentivos, programas y/o acciones concretas para el fortalecimiento de la ocupación del reciclador de base?</v>
      </c>
      <c r="AP23" s="6" t="str">
        <f t="shared" ca="1" si="24"/>
        <v/>
      </c>
      <c r="AQ23" s="6" t="str">
        <f t="shared" ca="1" si="25"/>
        <v/>
      </c>
      <c r="AR23" s="6" t="str">
        <f t="shared" ca="1" si="26"/>
        <v/>
      </c>
      <c r="AS23" s="6" t="str">
        <f t="shared" ca="1" si="27"/>
        <v/>
      </c>
      <c r="AT23" s="6">
        <v>3</v>
      </c>
      <c r="AU23" s="6"/>
      <c r="AV23" s="28">
        <f>IF(T23="","",INDEX(tblIndicators!$V$3:$V$52,iCCompare!T23))</f>
        <v>0</v>
      </c>
      <c r="AW23" s="28">
        <f t="shared" ca="1" si="28"/>
        <v>5</v>
      </c>
      <c r="AX23" s="28">
        <f t="shared" ca="1" si="29"/>
        <v>5</v>
      </c>
      <c r="AZ23" s="6">
        <f ca="1">IF($T23="","",IF(ISERROR(INDEX(aRankNumbers,$T23+1,uxb_works!$B$24)),"",INDEX(aRankNumbers,$T23+1,uxb_works!$B$24)))</f>
        <v>5</v>
      </c>
      <c r="BA23" s="6">
        <f ca="1">IF($T23="","",IF(ISERROR(INDEX(aRankNumbers,$T23+1,uxb_works!$B$25)),"",INDEX(aRankNumbers,$T23+1,uxb_works!$B$25)))</f>
        <v>5</v>
      </c>
      <c r="BB23" s="6" t="str">
        <f>IF($T23="","",IF(ISERROR(INDEX(aRankNumbers,$T23+1,uxb_works!$B$26-1)),"",INDEX(aRankNumbers,$T23+1,uxb_works!$B$26-1)))</f>
        <v/>
      </c>
      <c r="BC23" s="6" t="str">
        <f>IF($T23="","",IF(ISERROR(INDEX(aRankNumbers,$T23+1,uxb_works!$B$27-1)),"",INDEX(aRankNumbers,$T23+1,uxb_works!$B$27-1)))</f>
        <v/>
      </c>
      <c r="BE23" s="28">
        <f t="shared" ca="1" si="30"/>
        <v>0</v>
      </c>
      <c r="BF23" s="28">
        <f t="shared" ca="1" si="31"/>
        <v>0</v>
      </c>
      <c r="BG23" s="28">
        <f t="shared" ca="1" si="32"/>
        <v>0</v>
      </c>
      <c r="BH23" s="28">
        <f t="shared" ca="1" si="33"/>
        <v>0</v>
      </c>
    </row>
    <row r="24" spans="1:60" s="28" customFormat="1">
      <c r="A24" s="6">
        <f>tblCategories!A17</f>
        <v>15</v>
      </c>
      <c r="B24" s="6" t="str">
        <f>tblCategories!D17</f>
        <v xml:space="preserve">1.2.8) 12.¿Existen incentivos de reciclaje para los usuarios? </v>
      </c>
      <c r="C24" s="6">
        <f>tblCategories!F17</f>
        <v>1</v>
      </c>
      <c r="D24" s="6">
        <v>1</v>
      </c>
      <c r="E24" s="6">
        <f t="shared" ca="1" si="0"/>
        <v>0</v>
      </c>
      <c r="F24" s="6">
        <f t="shared" si="1"/>
        <v>0</v>
      </c>
      <c r="G24" s="6">
        <f t="shared" ca="1" si="2"/>
        <v>50</v>
      </c>
      <c r="H24" s="6">
        <f t="shared" si="3"/>
        <v>1</v>
      </c>
      <c r="I24" s="6" t="e">
        <f t="shared" si="4"/>
        <v>#VALUE!</v>
      </c>
      <c r="J24" s="6">
        <f t="shared" si="5"/>
        <v>0</v>
      </c>
      <c r="K24" s="6" t="e">
        <f t="shared" si="6"/>
        <v>#VALUE!</v>
      </c>
      <c r="L24" s="6">
        <f t="shared" si="7"/>
        <v>0</v>
      </c>
      <c r="M24" s="6">
        <f ca="1">rScores!Z17</f>
        <v>20.833333333333332</v>
      </c>
      <c r="N24" s="6">
        <f>tblIndicators!F17</f>
        <v>3</v>
      </c>
      <c r="O24" s="6"/>
      <c r="P24" s="6"/>
      <c r="Q24" s="6"/>
      <c r="R24" s="6">
        <f t="shared" si="8"/>
        <v>1</v>
      </c>
      <c r="S24" s="6">
        <f>IF($C24=0,"",RANK(R24,R$10:R$59,1)+COUNTIF(R$10:R24,R24)-1)</f>
        <v>15</v>
      </c>
      <c r="T24" s="6">
        <f t="shared" si="9"/>
        <v>15</v>
      </c>
      <c r="U24" s="70">
        <f t="shared" ca="1" si="10"/>
        <v>14</v>
      </c>
      <c r="V24" s="70">
        <f t="shared" ca="1" si="11"/>
        <v>7</v>
      </c>
      <c r="W24" s="70">
        <f t="shared" si="12"/>
        <v>1</v>
      </c>
      <c r="X24" s="69" t="str">
        <f t="shared" ca="1" si="23"/>
        <v>=14</v>
      </c>
      <c r="Y24" s="6" t="str">
        <f t="shared" si="13"/>
        <v xml:space="preserve">1.2.8) 12.¿Existen incentivos de reciclaje para los usuarios? </v>
      </c>
      <c r="Z24" s="6">
        <f t="shared" ca="1" si="14"/>
        <v>0</v>
      </c>
      <c r="AA24" s="6">
        <f t="shared" si="14"/>
        <v>0</v>
      </c>
      <c r="AB24" s="6">
        <f t="shared" ca="1" si="15"/>
        <v>50</v>
      </c>
      <c r="AC24" s="6">
        <f t="shared" si="16"/>
        <v>1</v>
      </c>
      <c r="AD24" s="6" t="e">
        <f t="shared" si="17"/>
        <v>#VALUE!</v>
      </c>
      <c r="AE24" s="6">
        <f t="shared" si="18"/>
        <v>0</v>
      </c>
      <c r="AF24" s="6" t="e">
        <f t="shared" si="19"/>
        <v>#VALUE!</v>
      </c>
      <c r="AG24" s="6">
        <f t="shared" si="20"/>
        <v>0</v>
      </c>
      <c r="AH24" s="6">
        <f t="shared" ca="1" si="20"/>
        <v>20.833333333333332</v>
      </c>
      <c r="AI24" s="6">
        <f t="shared" si="20"/>
        <v>3</v>
      </c>
      <c r="AJ24" s="6" t="str">
        <f ca="1">IF($T24="","",IF(ISERROR(INDEX(aRank,$T24+1,uxb_works!$B$24)),"",INDEX(aRank,$T24+1,uxb_works!$B$24)))</f>
        <v>=6</v>
      </c>
      <c r="AK24" s="6" t="str">
        <f ca="1">IF($T24="","",IF(ISERROR(INDEX(aRank,$T24+1,uxb_works!$B$25)),"",INDEX(aRank,$T24+1,uxb_works!$B$25)))</f>
        <v>=1</v>
      </c>
      <c r="AL24" s="6" t="str">
        <f>IF($T24="","",IF(ISERROR(INDEX(aRank,$T24+1,uxb_works!$B$26-1)),"",INDEX(aRank,$T24+1,uxb_works!$B$26-1)))</f>
        <v/>
      </c>
      <c r="AM24" s="6" t="str">
        <f>IF($T24="","",IF(ISERROR(INDEX(aRank,$T24+1,uxb_works!$B$27-1)),"",INDEX(aRank,$T24+1,uxb_works!$B$27-1)))</f>
        <v/>
      </c>
      <c r="AN24" s="6"/>
      <c r="AO24" s="14" t="str">
        <f>IF(T24="","",INDEX(tblIndicators!$H$3:$H$66,iCCompare!T24))</f>
        <v xml:space="preserve">12.¿Existen incentivos de reciclaje para los usuarios? </v>
      </c>
      <c r="AP24" s="6" t="str">
        <f t="shared" ca="1" si="24"/>
        <v/>
      </c>
      <c r="AQ24" s="6" t="str">
        <f t="shared" ca="1" si="25"/>
        <v/>
      </c>
      <c r="AR24" s="6" t="str">
        <f t="shared" ca="1" si="26"/>
        <v/>
      </c>
      <c r="AS24" s="6" t="str">
        <f t="shared" ca="1" si="27"/>
        <v/>
      </c>
      <c r="AT24" s="6">
        <v>3</v>
      </c>
      <c r="AU24" s="6"/>
      <c r="AV24" s="28">
        <f>IF(T24="","",INDEX(tblIndicators!$V$3:$V$52,iCCompare!T24))</f>
        <v>0</v>
      </c>
      <c r="AW24" s="28">
        <f t="shared" ca="1" si="28"/>
        <v>6</v>
      </c>
      <c r="AX24" s="28">
        <f t="shared" ca="1" si="29"/>
        <v>1</v>
      </c>
      <c r="AZ24" s="6">
        <f ca="1">IF($T24="","",IF(ISERROR(INDEX(aRankNumbers,$T24+1,uxb_works!$B$24)),"",INDEX(aRankNumbers,$T24+1,uxb_works!$B$24)))</f>
        <v>6</v>
      </c>
      <c r="BA24" s="6">
        <f ca="1">IF($T24="","",IF(ISERROR(INDEX(aRankNumbers,$T24+1,uxb_works!$B$25)),"",INDEX(aRankNumbers,$T24+1,uxb_works!$B$25)))</f>
        <v>1</v>
      </c>
      <c r="BB24" s="6" t="str">
        <f>IF($T24="","",IF(ISERROR(INDEX(aRankNumbers,$T24+1,uxb_works!$B$26-1)),"",INDEX(aRankNumbers,$T24+1,uxb_works!$B$26-1)))</f>
        <v/>
      </c>
      <c r="BC24" s="6" t="str">
        <f>IF($T24="","",IF(ISERROR(INDEX(aRankNumbers,$T24+1,uxb_works!$B$27-1)),"",INDEX(aRankNumbers,$T24+1,uxb_works!$B$27-1)))</f>
        <v/>
      </c>
      <c r="BE24" s="28">
        <f t="shared" ca="1" si="30"/>
        <v>2</v>
      </c>
      <c r="BF24" s="28">
        <f t="shared" ca="1" si="31"/>
        <v>1</v>
      </c>
      <c r="BG24" s="28">
        <f t="shared" ca="1" si="32"/>
        <v>0</v>
      </c>
      <c r="BH24" s="28">
        <f t="shared" ca="1" si="33"/>
        <v>0</v>
      </c>
    </row>
    <row r="25" spans="1:60" s="28" customFormat="1">
      <c r="A25" s="6">
        <f>tblCategories!A18</f>
        <v>16</v>
      </c>
      <c r="B25" s="6" t="str">
        <f>tblCategories!D18</f>
        <v>1.3) Generación de información</v>
      </c>
      <c r="C25" s="6">
        <f>tblCategories!F18</f>
        <v>1</v>
      </c>
      <c r="D25" s="6">
        <v>1</v>
      </c>
      <c r="E25" s="6">
        <f t="shared" ca="1" si="0"/>
        <v>25</v>
      </c>
      <c r="F25" s="6" t="str">
        <f t="shared" si="1"/>
        <v/>
      </c>
      <c r="G25" s="6">
        <f t="shared" ca="1" si="2"/>
        <v>25</v>
      </c>
      <c r="H25" s="6" t="str">
        <f t="shared" si="3"/>
        <v/>
      </c>
      <c r="I25" s="6" t="e">
        <f t="shared" si="4"/>
        <v>#VALUE!</v>
      </c>
      <c r="J25" s="6" t="str">
        <f t="shared" si="5"/>
        <v/>
      </c>
      <c r="K25" s="6" t="e">
        <f t="shared" si="6"/>
        <v>#VALUE!</v>
      </c>
      <c r="L25" s="6" t="str">
        <f t="shared" si="7"/>
        <v/>
      </c>
      <c r="M25" s="6">
        <f ca="1">rScores!Z18</f>
        <v>31.25</v>
      </c>
      <c r="N25" s="6">
        <f>tblIndicators!F18</f>
        <v>2</v>
      </c>
      <c r="O25" s="6"/>
      <c r="P25" s="6"/>
      <c r="Q25" s="6"/>
      <c r="R25" s="6">
        <f t="shared" si="8"/>
        <v>1</v>
      </c>
      <c r="S25" s="6">
        <f>IF($C25=0,"",RANK(R25,R$10:R$59,1)+COUNTIF(R$10:R25,R25)-1)</f>
        <v>16</v>
      </c>
      <c r="T25" s="6">
        <f t="shared" si="9"/>
        <v>16</v>
      </c>
      <c r="U25" s="70">
        <f t="shared" ca="1" si="10"/>
        <v>12</v>
      </c>
      <c r="V25" s="70">
        <f t="shared" ca="1" si="11"/>
        <v>2</v>
      </c>
      <c r="W25" s="70">
        <f t="shared" si="12"/>
        <v>1</v>
      </c>
      <c r="X25" s="69" t="str">
        <f t="shared" ca="1" si="23"/>
        <v>=12</v>
      </c>
      <c r="Y25" s="6" t="str">
        <f t="shared" si="13"/>
        <v>1.3) Generación de información</v>
      </c>
      <c r="Z25" s="6">
        <f t="shared" ca="1" si="14"/>
        <v>25</v>
      </c>
      <c r="AA25" s="6" t="str">
        <f t="shared" si="14"/>
        <v/>
      </c>
      <c r="AB25" s="6">
        <f t="shared" ca="1" si="15"/>
        <v>25</v>
      </c>
      <c r="AC25" s="6" t="str">
        <f t="shared" si="16"/>
        <v/>
      </c>
      <c r="AD25" s="6" t="e">
        <f t="shared" si="17"/>
        <v>#VALUE!</v>
      </c>
      <c r="AE25" s="6" t="str">
        <f t="shared" si="18"/>
        <v/>
      </c>
      <c r="AF25" s="6" t="e">
        <f t="shared" si="19"/>
        <v>#VALUE!</v>
      </c>
      <c r="AG25" s="6" t="str">
        <f t="shared" si="20"/>
        <v/>
      </c>
      <c r="AH25" s="6">
        <f t="shared" ca="1" si="20"/>
        <v>31.25</v>
      </c>
      <c r="AI25" s="6">
        <f t="shared" si="20"/>
        <v>2</v>
      </c>
      <c r="AJ25" s="6" t="str">
        <f ca="1">IF($T25="","",IF(ISERROR(INDEX(aRank,$T25+1,uxb_works!$B$24)),"",INDEX(aRank,$T25+1,uxb_works!$B$24)))</f>
        <v>=5</v>
      </c>
      <c r="AK25" s="6" t="str">
        <f ca="1">IF($T25="","",IF(ISERROR(INDEX(aRank,$T25+1,uxb_works!$B$25)),"",INDEX(aRank,$T25+1,uxb_works!$B$25)))</f>
        <v>=5</v>
      </c>
      <c r="AL25" s="6" t="str">
        <f>IF($T25="","",IF(ISERROR(INDEX(aRank,$T25+1,uxb_works!$B$26-1)),"",INDEX(aRank,$T25+1,uxb_works!$B$26-1)))</f>
        <v/>
      </c>
      <c r="AM25" s="6" t="str">
        <f>IF($T25="","",IF(ISERROR(INDEX(aRank,$T25+1,uxb_works!$B$27-1)),"",INDEX(aRank,$T25+1,uxb_works!$B$27-1)))</f>
        <v/>
      </c>
      <c r="AN25" s="6"/>
      <c r="AO25" s="14" t="str">
        <f>IF(T25="","",INDEX(tblIndicators!$H$3:$H$66,iCCompare!T25))</f>
        <v>Generación de información</v>
      </c>
      <c r="AP25" s="6" t="str">
        <f t="shared" ca="1" si="24"/>
        <v/>
      </c>
      <c r="AQ25" s="6" t="str">
        <f t="shared" ca="1" si="25"/>
        <v/>
      </c>
      <c r="AR25" s="6" t="str">
        <f t="shared" ca="1" si="26"/>
        <v/>
      </c>
      <c r="AS25" s="6" t="str">
        <f t="shared" ca="1" si="27"/>
        <v/>
      </c>
      <c r="AT25" s="6">
        <v>3</v>
      </c>
      <c r="AU25" s="6"/>
      <c r="AV25" s="28" t="str">
        <f>IF(T25="","",INDEX(tblIndicators!$V$3:$V$52,iCCompare!T25))</f>
        <v>0.0</v>
      </c>
      <c r="AW25" s="28">
        <f t="shared" ca="1" si="28"/>
        <v>5</v>
      </c>
      <c r="AX25" s="28">
        <f t="shared" ca="1" si="29"/>
        <v>5</v>
      </c>
      <c r="AZ25" s="6">
        <f ca="1">IF($T25="","",IF(ISERROR(INDEX(aRankNumbers,$T25+1,uxb_works!$B$24)),"",INDEX(aRankNumbers,$T25+1,uxb_works!$B$24)))</f>
        <v>5</v>
      </c>
      <c r="BA25" s="6">
        <f ca="1">IF($T25="","",IF(ISERROR(INDEX(aRankNumbers,$T25+1,uxb_works!$B$25)),"",INDEX(aRankNumbers,$T25+1,uxb_works!$B$25)))</f>
        <v>5</v>
      </c>
      <c r="BB25" s="6" t="str">
        <f>IF($T25="","",IF(ISERROR(INDEX(aRankNumbers,$T25+1,uxb_works!$B$26-1)),"",INDEX(aRankNumbers,$T25+1,uxb_works!$B$26-1)))</f>
        <v/>
      </c>
      <c r="BC25" s="6" t="str">
        <f>IF($T25="","",IF(ISERROR(INDEX(aRankNumbers,$T25+1,uxb_works!$B$27-1)),"",INDEX(aRankNumbers,$T25+1,uxb_works!$B$27-1)))</f>
        <v/>
      </c>
      <c r="BE25" s="28">
        <f t="shared" ca="1" si="30"/>
        <v>0</v>
      </c>
      <c r="BF25" s="28">
        <f t="shared" ca="1" si="31"/>
        <v>0</v>
      </c>
      <c r="BG25" s="28">
        <f t="shared" ca="1" si="32"/>
        <v>0</v>
      </c>
      <c r="BH25" s="28">
        <f t="shared" ca="1" si="33"/>
        <v>0</v>
      </c>
    </row>
    <row r="26" spans="1:60" s="28" customFormat="1">
      <c r="A26" s="6">
        <f>tblCategories!A19</f>
        <v>17</v>
      </c>
      <c r="B26" s="6" t="str">
        <f>tblCategories!D19</f>
        <v>1.3.1) 13.¿Hay un sistema municipal de recolección de información de reciclaje inclusivo?</v>
      </c>
      <c r="C26" s="6">
        <f>tblCategories!F19</f>
        <v>1</v>
      </c>
      <c r="D26" s="6">
        <v>1</v>
      </c>
      <c r="E26" s="6">
        <f t="shared" ca="1" si="0"/>
        <v>0</v>
      </c>
      <c r="F26" s="6">
        <f t="shared" si="1"/>
        <v>0</v>
      </c>
      <c r="G26" s="6">
        <f t="shared" ca="1" si="2"/>
        <v>0</v>
      </c>
      <c r="H26" s="6">
        <f t="shared" si="3"/>
        <v>0</v>
      </c>
      <c r="I26" s="6" t="e">
        <f t="shared" si="4"/>
        <v>#VALUE!</v>
      </c>
      <c r="J26" s="6">
        <f t="shared" si="5"/>
        <v>0</v>
      </c>
      <c r="K26" s="6" t="e">
        <f t="shared" si="6"/>
        <v>#VALUE!</v>
      </c>
      <c r="L26" s="6">
        <f t="shared" si="7"/>
        <v>0</v>
      </c>
      <c r="M26" s="6">
        <f ca="1">rScores!Z19</f>
        <v>12.5</v>
      </c>
      <c r="N26" s="6">
        <f>tblIndicators!F19</f>
        <v>3</v>
      </c>
      <c r="O26" s="6"/>
      <c r="P26" s="6"/>
      <c r="Q26" s="6"/>
      <c r="R26" s="6">
        <f t="shared" si="8"/>
        <v>1</v>
      </c>
      <c r="S26" s="6">
        <f>IF($C26=0,"",RANK(R26,R$10:R$59,1)+COUNTIF(R$10:R26,R26)-1)</f>
        <v>17</v>
      </c>
      <c r="T26" s="6">
        <f t="shared" si="9"/>
        <v>17</v>
      </c>
      <c r="U26" s="70">
        <f t="shared" ca="1" si="10"/>
        <v>14</v>
      </c>
      <c r="V26" s="70">
        <f t="shared" ca="1" si="11"/>
        <v>7</v>
      </c>
      <c r="W26" s="70">
        <f t="shared" si="12"/>
        <v>1</v>
      </c>
      <c r="X26" s="69" t="str">
        <f t="shared" ca="1" si="23"/>
        <v>=14</v>
      </c>
      <c r="Y26" s="6" t="str">
        <f t="shared" si="13"/>
        <v>1.3.1) 13.¿Hay un sistema municipal de recolección de información de reciclaje inclusivo?</v>
      </c>
      <c r="Z26" s="6">
        <f t="shared" ca="1" si="14"/>
        <v>0</v>
      </c>
      <c r="AA26" s="6">
        <f t="shared" si="14"/>
        <v>0</v>
      </c>
      <c r="AB26" s="6">
        <f t="shared" ca="1" si="15"/>
        <v>0</v>
      </c>
      <c r="AC26" s="6">
        <f t="shared" si="16"/>
        <v>0</v>
      </c>
      <c r="AD26" s="6" t="e">
        <f t="shared" si="17"/>
        <v>#VALUE!</v>
      </c>
      <c r="AE26" s="6">
        <f t="shared" si="18"/>
        <v>0</v>
      </c>
      <c r="AF26" s="6" t="e">
        <f t="shared" si="19"/>
        <v>#VALUE!</v>
      </c>
      <c r="AG26" s="6">
        <f t="shared" si="20"/>
        <v>0</v>
      </c>
      <c r="AH26" s="6">
        <f t="shared" ca="1" si="20"/>
        <v>12.5</v>
      </c>
      <c r="AI26" s="6">
        <f t="shared" si="20"/>
        <v>3</v>
      </c>
      <c r="AJ26" s="6" t="str">
        <f ca="1">IF($T26="","",IF(ISERROR(INDEX(aRank,$T26+1,uxb_works!$B$24)),"",INDEX(aRank,$T26+1,uxb_works!$B$24)))</f>
        <v>=4</v>
      </c>
      <c r="AK26" s="6" t="str">
        <f ca="1">IF($T26="","",IF(ISERROR(INDEX(aRank,$T26+1,uxb_works!$B$25)),"",INDEX(aRank,$T26+1,uxb_works!$B$25)))</f>
        <v>=4</v>
      </c>
      <c r="AL26" s="6" t="str">
        <f>IF($T26="","",IF(ISERROR(INDEX(aRank,$T26+1,uxb_works!$B$26-1)),"",INDEX(aRank,$T26+1,uxb_works!$B$26-1)))</f>
        <v/>
      </c>
      <c r="AM26" s="6" t="str">
        <f>IF($T26="","",IF(ISERROR(INDEX(aRank,$T26+1,uxb_works!$B$27-1)),"",INDEX(aRank,$T26+1,uxb_works!$B$27-1)))</f>
        <v/>
      </c>
      <c r="AN26" s="6"/>
      <c r="AO26" s="14" t="str">
        <f>IF(T26="","",INDEX(tblIndicators!$H$3:$H$66,iCCompare!T26))</f>
        <v>13.¿Hay un sistema municipal de recolección de información de reciclaje inclusivo?</v>
      </c>
      <c r="AP26" s="6" t="str">
        <f t="shared" ca="1" si="24"/>
        <v/>
      </c>
      <c r="AQ26" s="6" t="str">
        <f t="shared" ca="1" si="25"/>
        <v/>
      </c>
      <c r="AR26" s="6" t="str">
        <f t="shared" ca="1" si="26"/>
        <v/>
      </c>
      <c r="AS26" s="6" t="str">
        <f t="shared" ca="1" si="27"/>
        <v/>
      </c>
      <c r="AT26" s="6">
        <v>3</v>
      </c>
      <c r="AU26" s="6"/>
      <c r="AV26" s="28">
        <f>IF(T26="","",INDEX(tblIndicators!$V$3:$V$52,iCCompare!T26))</f>
        <v>0</v>
      </c>
      <c r="AW26" s="28">
        <f t="shared" ca="1" si="28"/>
        <v>4</v>
      </c>
      <c r="AX26" s="28">
        <f t="shared" ca="1" si="29"/>
        <v>4</v>
      </c>
      <c r="AZ26" s="6">
        <f ca="1">IF($T26="","",IF(ISERROR(INDEX(aRankNumbers,$T26+1,uxb_works!$B$24)),"",INDEX(aRankNumbers,$T26+1,uxb_works!$B$24)))</f>
        <v>4</v>
      </c>
      <c r="BA26" s="6">
        <f ca="1">IF($T26="","",IF(ISERROR(INDEX(aRankNumbers,$T26+1,uxb_works!$B$25)),"",INDEX(aRankNumbers,$T26+1,uxb_works!$B$25)))</f>
        <v>4</v>
      </c>
      <c r="BB26" s="6" t="str">
        <f>IF($T26="","",IF(ISERROR(INDEX(aRankNumbers,$T26+1,uxb_works!$B$26-1)),"",INDEX(aRankNumbers,$T26+1,uxb_works!$B$26-1)))</f>
        <v/>
      </c>
      <c r="BC26" s="6" t="str">
        <f>IF($T26="","",IF(ISERROR(INDEX(aRankNumbers,$T26+1,uxb_works!$B$27-1)),"",INDEX(aRankNumbers,$T26+1,uxb_works!$B$27-1)))</f>
        <v/>
      </c>
      <c r="BE26" s="28">
        <f t="shared" ca="1" si="30"/>
        <v>0</v>
      </c>
      <c r="BF26" s="28">
        <f t="shared" ca="1" si="31"/>
        <v>0</v>
      </c>
      <c r="BG26" s="28">
        <f t="shared" ca="1" si="32"/>
        <v>0</v>
      </c>
      <c r="BH26" s="28">
        <f t="shared" ca="1" si="33"/>
        <v>0</v>
      </c>
    </row>
    <row r="27" spans="1:60" s="28" customFormat="1">
      <c r="A27" s="6">
        <f>tblCategories!A20</f>
        <v>18</v>
      </c>
      <c r="B27" s="6" t="str">
        <f>tblCategories!D20</f>
        <v>1.3.2) 14.¿Hay campañas de comunicación para fomentar el reciclaje inclusivo con difusión en el municipio?</v>
      </c>
      <c r="C27" s="6">
        <f>tblCategories!F20</f>
        <v>1</v>
      </c>
      <c r="D27" s="6">
        <v>1</v>
      </c>
      <c r="E27" s="6">
        <f t="shared" ca="1" si="0"/>
        <v>50</v>
      </c>
      <c r="F27" s="6">
        <f t="shared" si="1"/>
        <v>1</v>
      </c>
      <c r="G27" s="6">
        <f t="shared" ca="1" si="2"/>
        <v>50</v>
      </c>
      <c r="H27" s="6">
        <f t="shared" si="3"/>
        <v>1</v>
      </c>
      <c r="I27" s="6" t="e">
        <f t="shared" si="4"/>
        <v>#VALUE!</v>
      </c>
      <c r="J27" s="6">
        <f t="shared" si="5"/>
        <v>1</v>
      </c>
      <c r="K27" s="6" t="e">
        <f t="shared" si="6"/>
        <v>#VALUE!</v>
      </c>
      <c r="L27" s="6">
        <f t="shared" si="7"/>
        <v>1</v>
      </c>
      <c r="M27" s="6">
        <f ca="1">rScores!Z20</f>
        <v>50</v>
      </c>
      <c r="N27" s="6">
        <f>tblIndicators!F20</f>
        <v>3</v>
      </c>
      <c r="O27" s="6"/>
      <c r="P27" s="6"/>
      <c r="Q27" s="6"/>
      <c r="R27" s="6">
        <f t="shared" si="8"/>
        <v>1</v>
      </c>
      <c r="S27" s="6">
        <f>IF($C27=0,"",RANK(R27,R$10:R$59,1)+COUNTIF(R$10:R27,R27)-1)</f>
        <v>18</v>
      </c>
      <c r="T27" s="6">
        <f t="shared" si="9"/>
        <v>18</v>
      </c>
      <c r="U27" s="70">
        <f t="shared" ca="1" si="10"/>
        <v>2</v>
      </c>
      <c r="V27" s="70">
        <f t="shared" ca="1" si="11"/>
        <v>8</v>
      </c>
      <c r="W27" s="70">
        <f t="shared" si="12"/>
        <v>1</v>
      </c>
      <c r="X27" s="69" t="str">
        <f t="shared" ca="1" si="23"/>
        <v>=2</v>
      </c>
      <c r="Y27" s="6" t="str">
        <f t="shared" si="13"/>
        <v>1.3.2) 14.¿Hay campañas de comunicación para fomentar el reciclaje inclusivo con difusión en el municipio?</v>
      </c>
      <c r="Z27" s="6">
        <f t="shared" ca="1" si="14"/>
        <v>50</v>
      </c>
      <c r="AA27" s="6">
        <f t="shared" si="14"/>
        <v>1</v>
      </c>
      <c r="AB27" s="6">
        <f t="shared" ca="1" si="15"/>
        <v>50</v>
      </c>
      <c r="AC27" s="6">
        <f t="shared" si="16"/>
        <v>1</v>
      </c>
      <c r="AD27" s="6" t="e">
        <f t="shared" si="17"/>
        <v>#VALUE!</v>
      </c>
      <c r="AE27" s="6">
        <f t="shared" si="18"/>
        <v>1</v>
      </c>
      <c r="AF27" s="6" t="e">
        <f t="shared" si="19"/>
        <v>#VALUE!</v>
      </c>
      <c r="AG27" s="6">
        <f t="shared" si="20"/>
        <v>1</v>
      </c>
      <c r="AH27" s="6">
        <f t="shared" ca="1" si="20"/>
        <v>50</v>
      </c>
      <c r="AI27" s="6">
        <f t="shared" si="20"/>
        <v>3</v>
      </c>
      <c r="AJ27" s="6" t="str">
        <f ca="1">IF($T27="","",IF(ISERROR(INDEX(aRank,$T27+1,uxb_works!$B$24)),"",INDEX(aRank,$T27+1,uxb_works!$B$24)))</f>
        <v>=2</v>
      </c>
      <c r="AK27" s="6" t="str">
        <f ca="1">IF($T27="","",IF(ISERROR(INDEX(aRank,$T27+1,uxb_works!$B$25)),"",INDEX(aRank,$T27+1,uxb_works!$B$25)))</f>
        <v>=2</v>
      </c>
      <c r="AL27" s="6" t="str">
        <f>IF($T27="","",IF(ISERROR(INDEX(aRank,$T27+1,uxb_works!$B$26-1)),"",INDEX(aRank,$T27+1,uxb_works!$B$26-1)))</f>
        <v/>
      </c>
      <c r="AM27" s="6" t="str">
        <f>IF($T27="","",IF(ISERROR(INDEX(aRank,$T27+1,uxb_works!$B$27-1)),"",INDEX(aRank,$T27+1,uxb_works!$B$27-1)))</f>
        <v/>
      </c>
      <c r="AN27" s="6"/>
      <c r="AO27" s="14" t="str">
        <f>IF(T27="","",INDEX(tblIndicators!$H$3:$H$66,iCCompare!T27))</f>
        <v>14.¿Hay campañas de comunicación para fomentar el reciclaje inclusivo con difusión en el municipio?</v>
      </c>
      <c r="AP27" s="6" t="str">
        <f t="shared" ca="1" si="24"/>
        <v/>
      </c>
      <c r="AQ27" s="6" t="str">
        <f t="shared" ca="1" si="25"/>
        <v/>
      </c>
      <c r="AR27" s="6" t="str">
        <f t="shared" ca="1" si="26"/>
        <v/>
      </c>
      <c r="AS27" s="6" t="str">
        <f t="shared" ca="1" si="27"/>
        <v/>
      </c>
      <c r="AT27" s="6">
        <v>3</v>
      </c>
      <c r="AU27" s="6"/>
      <c r="AV27" s="28">
        <f>IF(T27="","",INDEX(tblIndicators!$V$3:$V$52,iCCompare!T27))</f>
        <v>0</v>
      </c>
      <c r="AW27" s="28">
        <f t="shared" ca="1" si="28"/>
        <v>2</v>
      </c>
      <c r="AX27" s="28">
        <f t="shared" ca="1" si="29"/>
        <v>2</v>
      </c>
      <c r="AZ27" s="6">
        <f ca="1">IF($T27="","",IF(ISERROR(INDEX(aRankNumbers,$T27+1,uxb_works!$B$24)),"",INDEX(aRankNumbers,$T27+1,uxb_works!$B$24)))</f>
        <v>2</v>
      </c>
      <c r="BA27" s="6">
        <f ca="1">IF($T27="","",IF(ISERROR(INDEX(aRankNumbers,$T27+1,uxb_works!$B$25)),"",INDEX(aRankNumbers,$T27+1,uxb_works!$B$25)))</f>
        <v>2</v>
      </c>
      <c r="BB27" s="6" t="str">
        <f>IF($T27="","",IF(ISERROR(INDEX(aRankNumbers,$T27+1,uxb_works!$B$26-1)),"",INDEX(aRankNumbers,$T27+1,uxb_works!$B$26-1)))</f>
        <v/>
      </c>
      <c r="BC27" s="6" t="str">
        <f>IF($T27="","",IF(ISERROR(INDEX(aRankNumbers,$T27+1,uxb_works!$B$27-1)),"",INDEX(aRankNumbers,$T27+1,uxb_works!$B$27-1)))</f>
        <v/>
      </c>
      <c r="BE27" s="28">
        <f t="shared" ca="1" si="30"/>
        <v>0</v>
      </c>
      <c r="BF27" s="28">
        <f t="shared" ca="1" si="31"/>
        <v>0</v>
      </c>
      <c r="BG27" s="28">
        <f t="shared" ca="1" si="32"/>
        <v>0</v>
      </c>
      <c r="BH27" s="28">
        <f t="shared" ca="1" si="33"/>
        <v>0</v>
      </c>
    </row>
    <row r="28" spans="1:60" s="28" customFormat="1">
      <c r="A28" s="6">
        <f>tblCategories!A21</f>
        <v>19</v>
      </c>
      <c r="B28" s="6" t="str">
        <f>tblCategories!D21</f>
        <v>1.4) Salud pública y el medioambiente</v>
      </c>
      <c r="C28" s="6">
        <f>tblCategories!F21</f>
        <v>1</v>
      </c>
      <c r="D28" s="6">
        <v>1</v>
      </c>
      <c r="E28" s="6">
        <f t="shared" ca="1" si="0"/>
        <v>50</v>
      </c>
      <c r="F28" s="6" t="str">
        <f t="shared" si="1"/>
        <v/>
      </c>
      <c r="G28" s="6">
        <f t="shared" ca="1" si="2"/>
        <v>50</v>
      </c>
      <c r="H28" s="6" t="str">
        <f t="shared" si="3"/>
        <v/>
      </c>
      <c r="I28" s="6" t="e">
        <f t="shared" si="4"/>
        <v>#VALUE!</v>
      </c>
      <c r="J28" s="6" t="str">
        <f t="shared" si="5"/>
        <v/>
      </c>
      <c r="K28" s="6" t="e">
        <f t="shared" si="6"/>
        <v>#VALUE!</v>
      </c>
      <c r="L28" s="6" t="str">
        <f t="shared" si="7"/>
        <v/>
      </c>
      <c r="M28" s="6">
        <f ca="1">rScores!Z21</f>
        <v>66.666666666666671</v>
      </c>
      <c r="N28" s="6">
        <f>tblIndicators!F21</f>
        <v>2</v>
      </c>
      <c r="O28" s="6"/>
      <c r="P28" s="6"/>
      <c r="Q28" s="6"/>
      <c r="R28" s="6">
        <f t="shared" si="8"/>
        <v>1</v>
      </c>
      <c r="S28" s="6">
        <f>IF($C28=0,"",RANK(R28,R$10:R$59,1)+COUNTIF(R$10:R28,R28)-1)</f>
        <v>19</v>
      </c>
      <c r="T28" s="6">
        <f t="shared" si="9"/>
        <v>19</v>
      </c>
      <c r="U28" s="70">
        <f t="shared" ca="1" si="10"/>
        <v>2</v>
      </c>
      <c r="V28" s="70">
        <f t="shared" ca="1" si="11"/>
        <v>8</v>
      </c>
      <c r="W28" s="70">
        <f t="shared" si="12"/>
        <v>1</v>
      </c>
      <c r="X28" s="69" t="str">
        <f t="shared" ca="1" si="23"/>
        <v>=2</v>
      </c>
      <c r="Y28" s="6" t="str">
        <f t="shared" si="13"/>
        <v>1.4) Salud pública y el medioambiente</v>
      </c>
      <c r="Z28" s="6">
        <f t="shared" ca="1" si="14"/>
        <v>50</v>
      </c>
      <c r="AA28" s="6" t="str">
        <f t="shared" si="14"/>
        <v/>
      </c>
      <c r="AB28" s="6">
        <f t="shared" ca="1" si="15"/>
        <v>50</v>
      </c>
      <c r="AC28" s="6" t="str">
        <f t="shared" si="16"/>
        <v/>
      </c>
      <c r="AD28" s="6" t="e">
        <f t="shared" si="17"/>
        <v>#VALUE!</v>
      </c>
      <c r="AE28" s="6" t="str">
        <f t="shared" si="18"/>
        <v/>
      </c>
      <c r="AF28" s="6" t="e">
        <f t="shared" si="19"/>
        <v>#VALUE!</v>
      </c>
      <c r="AG28" s="6" t="str">
        <f t="shared" si="20"/>
        <v/>
      </c>
      <c r="AH28" s="6">
        <f t="shared" ca="1" si="20"/>
        <v>66.666666666666671</v>
      </c>
      <c r="AI28" s="6">
        <f t="shared" si="20"/>
        <v>2</v>
      </c>
      <c r="AJ28" s="6" t="str">
        <f ca="1">IF($T28="","",IF(ISERROR(INDEX(aRank,$T28+1,uxb_works!$B$24)),"",INDEX(aRank,$T28+1,uxb_works!$B$24)))</f>
        <v>=5</v>
      </c>
      <c r="AK28" s="6" t="str">
        <f ca="1">IF($T28="","",IF(ISERROR(INDEX(aRank,$T28+1,uxb_works!$B$25)),"",INDEX(aRank,$T28+1,uxb_works!$B$25)))</f>
        <v>=5</v>
      </c>
      <c r="AL28" s="6" t="str">
        <f>IF($T28="","",IF(ISERROR(INDEX(aRank,$T28+1,uxb_works!$B$26-1)),"",INDEX(aRank,$T28+1,uxb_works!$B$26-1)))</f>
        <v/>
      </c>
      <c r="AM28" s="6" t="str">
        <f>IF($T28="","",IF(ISERROR(INDEX(aRank,$T28+1,uxb_works!$B$27-1)),"",INDEX(aRank,$T28+1,uxb_works!$B$27-1)))</f>
        <v/>
      </c>
      <c r="AN28" s="6"/>
      <c r="AO28" s="14" t="str">
        <f>IF(T28="","",INDEX(tblIndicators!$H$3:$H$66,iCCompare!T28))</f>
        <v>Salud pública y el medioambiente</v>
      </c>
      <c r="AP28" s="6" t="str">
        <f t="shared" ca="1" si="24"/>
        <v/>
      </c>
      <c r="AQ28" s="6" t="str">
        <f t="shared" ca="1" si="25"/>
        <v/>
      </c>
      <c r="AR28" s="6" t="str">
        <f t="shared" ca="1" si="26"/>
        <v/>
      </c>
      <c r="AS28" s="6" t="str">
        <f t="shared" ca="1" si="27"/>
        <v/>
      </c>
      <c r="AT28" s="6">
        <v>3</v>
      </c>
      <c r="AU28" s="6"/>
      <c r="AV28" s="28" t="str">
        <f>IF(T28="","",INDEX(tblIndicators!$V$3:$V$52,iCCompare!T28))</f>
        <v>0.0</v>
      </c>
      <c r="AW28" s="28">
        <f t="shared" ca="1" si="28"/>
        <v>5</v>
      </c>
      <c r="AX28" s="28">
        <f t="shared" ca="1" si="29"/>
        <v>5</v>
      </c>
      <c r="AZ28" s="6">
        <f ca="1">IF($T28="","",IF(ISERROR(INDEX(aRankNumbers,$T28+1,uxb_works!$B$24)),"",INDEX(aRankNumbers,$T28+1,uxb_works!$B$24)))</f>
        <v>5</v>
      </c>
      <c r="BA28" s="6">
        <f ca="1">IF($T28="","",IF(ISERROR(INDEX(aRankNumbers,$T28+1,uxb_works!$B$25)),"",INDEX(aRankNumbers,$T28+1,uxb_works!$B$25)))</f>
        <v>5</v>
      </c>
      <c r="BB28" s="6" t="str">
        <f>IF($T28="","",IF(ISERROR(INDEX(aRankNumbers,$T28+1,uxb_works!$B$26-1)),"",INDEX(aRankNumbers,$T28+1,uxb_works!$B$26-1)))</f>
        <v/>
      </c>
      <c r="BC28" s="6" t="str">
        <f>IF($T28="","",IF(ISERROR(INDEX(aRankNumbers,$T28+1,uxb_works!$B$27-1)),"",INDEX(aRankNumbers,$T28+1,uxb_works!$B$27-1)))</f>
        <v/>
      </c>
      <c r="BE28" s="28">
        <f t="shared" ca="1" si="30"/>
        <v>0</v>
      </c>
      <c r="BF28" s="28">
        <f t="shared" ca="1" si="31"/>
        <v>0</v>
      </c>
      <c r="BG28" s="28">
        <f t="shared" ca="1" si="32"/>
        <v>0</v>
      </c>
      <c r="BH28" s="28">
        <f t="shared" ca="1" si="33"/>
        <v>0</v>
      </c>
    </row>
    <row r="29" spans="1:60" s="28" customFormat="1">
      <c r="A29" s="6">
        <f>tblCategories!A22</f>
        <v>20</v>
      </c>
      <c r="B29" s="6" t="str">
        <f>tblCategories!D22</f>
        <v>1.4.1) 15.¿Existe adecuada regulación y control sobre clasificación y manejo de desechos especiales y/o  peligrosos y sobre clasificación en la calle?</v>
      </c>
      <c r="C29" s="6">
        <f>tblCategories!F22</f>
        <v>1</v>
      </c>
      <c r="D29" s="6">
        <v>1</v>
      </c>
      <c r="E29" s="6">
        <f t="shared" ca="1" si="0"/>
        <v>50</v>
      </c>
      <c r="F29" s="6">
        <f t="shared" si="1"/>
        <v>1</v>
      </c>
      <c r="G29" s="6">
        <f t="shared" ca="1" si="2"/>
        <v>50</v>
      </c>
      <c r="H29" s="6">
        <f t="shared" si="3"/>
        <v>1</v>
      </c>
      <c r="I29" s="6" t="e">
        <f t="shared" si="4"/>
        <v>#VALUE!</v>
      </c>
      <c r="J29" s="6">
        <f t="shared" si="5"/>
        <v>1</v>
      </c>
      <c r="K29" s="6" t="e">
        <f t="shared" si="6"/>
        <v>#VALUE!</v>
      </c>
      <c r="L29" s="6">
        <f t="shared" si="7"/>
        <v>2</v>
      </c>
      <c r="M29" s="6">
        <f ca="1">rScores!Z22</f>
        <v>66.666666666666671</v>
      </c>
      <c r="N29" s="6">
        <f>tblIndicators!F22</f>
        <v>3</v>
      </c>
      <c r="O29" s="6"/>
      <c r="P29" s="6"/>
      <c r="Q29" s="6"/>
      <c r="R29" s="6">
        <f t="shared" si="8"/>
        <v>1</v>
      </c>
      <c r="S29" s="6">
        <f>IF($C29=0,"",RANK(R29,R$10:R$59,1)+COUNTIF(R$10:R29,R29)-1)</f>
        <v>20</v>
      </c>
      <c r="T29" s="6">
        <f t="shared" si="9"/>
        <v>20</v>
      </c>
      <c r="U29" s="70">
        <f t="shared" ca="1" si="10"/>
        <v>2</v>
      </c>
      <c r="V29" s="70">
        <f t="shared" ca="1" si="11"/>
        <v>8</v>
      </c>
      <c r="W29" s="70">
        <f t="shared" si="12"/>
        <v>1</v>
      </c>
      <c r="X29" s="69" t="str">
        <f t="shared" ca="1" si="23"/>
        <v>=2</v>
      </c>
      <c r="Y29" s="6" t="str">
        <f t="shared" si="13"/>
        <v>1.4.1) 15.¿Existe adecuada regulación y control sobre clasificación y manejo de desechos especiales y/o  peligrosos y sobre clasificación en la calle?</v>
      </c>
      <c r="Z29" s="6">
        <f t="shared" ca="1" si="14"/>
        <v>50</v>
      </c>
      <c r="AA29" s="6">
        <f t="shared" si="14"/>
        <v>1</v>
      </c>
      <c r="AB29" s="6">
        <f t="shared" ca="1" si="15"/>
        <v>50</v>
      </c>
      <c r="AC29" s="6">
        <f t="shared" si="16"/>
        <v>1</v>
      </c>
      <c r="AD29" s="6" t="e">
        <f t="shared" si="17"/>
        <v>#VALUE!</v>
      </c>
      <c r="AE29" s="6">
        <f t="shared" si="18"/>
        <v>1</v>
      </c>
      <c r="AF29" s="6" t="e">
        <f t="shared" si="19"/>
        <v>#VALUE!</v>
      </c>
      <c r="AG29" s="6">
        <f t="shared" si="20"/>
        <v>2</v>
      </c>
      <c r="AH29" s="6">
        <f t="shared" ca="1" si="20"/>
        <v>66.666666666666671</v>
      </c>
      <c r="AI29" s="6">
        <f t="shared" si="20"/>
        <v>3</v>
      </c>
      <c r="AJ29" s="6" t="str">
        <f ca="1">IF($T29="","",IF(ISERROR(INDEX(aRank,$T29+1,uxb_works!$B$24)),"",INDEX(aRank,$T29+1,uxb_works!$B$24)))</f>
        <v>=5</v>
      </c>
      <c r="AK29" s="6" t="str">
        <f ca="1">IF($T29="","",IF(ISERROR(INDEX(aRank,$T29+1,uxb_works!$B$25)),"",INDEX(aRank,$T29+1,uxb_works!$B$25)))</f>
        <v>=5</v>
      </c>
      <c r="AL29" s="6" t="str">
        <f>IF($T29="","",IF(ISERROR(INDEX(aRank,$T29+1,uxb_works!$B$26-1)),"",INDEX(aRank,$T29+1,uxb_works!$B$26-1)))</f>
        <v/>
      </c>
      <c r="AM29" s="6" t="str">
        <f>IF($T29="","",IF(ISERROR(INDEX(aRank,$T29+1,uxb_works!$B$27-1)),"",INDEX(aRank,$T29+1,uxb_works!$B$27-1)))</f>
        <v/>
      </c>
      <c r="AN29" s="6"/>
      <c r="AO29" s="14" t="str">
        <f>IF(T29="","",INDEX(tblIndicators!$H$3:$H$66,iCCompare!T29))</f>
        <v>15.¿Existe adecuada regulación y control sobre clasificación y manejo de desechos especiales y/o  peligrosos y sobre clasificación en la calle?</v>
      </c>
      <c r="AP29" s="6" t="str">
        <f t="shared" ca="1" si="24"/>
        <v/>
      </c>
      <c r="AQ29" s="6" t="str">
        <f t="shared" ca="1" si="25"/>
        <v/>
      </c>
      <c r="AR29" s="6" t="str">
        <f t="shared" ca="1" si="26"/>
        <v/>
      </c>
      <c r="AS29" s="6" t="str">
        <f t="shared" ca="1" si="27"/>
        <v/>
      </c>
      <c r="AT29" s="6">
        <v>3</v>
      </c>
      <c r="AU29" s="6"/>
      <c r="AV29" s="28">
        <f>IF(T29="","",INDEX(tblIndicators!$V$3:$V$52,iCCompare!T29))</f>
        <v>0</v>
      </c>
      <c r="AW29" s="28">
        <f t="shared" ca="1" si="28"/>
        <v>5</v>
      </c>
      <c r="AX29" s="28">
        <f t="shared" ca="1" si="29"/>
        <v>5</v>
      </c>
      <c r="AZ29" s="6">
        <f ca="1">IF($T29="","",IF(ISERROR(INDEX(aRankNumbers,$T29+1,uxb_works!$B$24)),"",INDEX(aRankNumbers,$T29+1,uxb_works!$B$24)))</f>
        <v>5</v>
      </c>
      <c r="BA29" s="6">
        <f ca="1">IF($T29="","",IF(ISERROR(INDEX(aRankNumbers,$T29+1,uxb_works!$B$25)),"",INDEX(aRankNumbers,$T29+1,uxb_works!$B$25)))</f>
        <v>5</v>
      </c>
      <c r="BB29" s="6" t="str">
        <f>IF($T29="","",IF(ISERROR(INDEX(aRankNumbers,$T29+1,uxb_works!$B$26-1)),"",INDEX(aRankNumbers,$T29+1,uxb_works!$B$26-1)))</f>
        <v/>
      </c>
      <c r="BC29" s="6" t="str">
        <f>IF($T29="","",IF(ISERROR(INDEX(aRankNumbers,$T29+1,uxb_works!$B$27-1)),"",INDEX(aRankNumbers,$T29+1,uxb_works!$B$27-1)))</f>
        <v/>
      </c>
      <c r="BE29" s="28">
        <f t="shared" ca="1" si="30"/>
        <v>0</v>
      </c>
      <c r="BF29" s="28">
        <f t="shared" ca="1" si="31"/>
        <v>0</v>
      </c>
      <c r="BG29" s="28">
        <f t="shared" ca="1" si="32"/>
        <v>0</v>
      </c>
      <c r="BH29" s="28">
        <f t="shared" ca="1" si="33"/>
        <v>0</v>
      </c>
    </row>
    <row r="30" spans="1:60" s="28" customFormat="1">
      <c r="A30" s="6">
        <f>tblCategories!A23</f>
        <v>21</v>
      </c>
      <c r="B30" s="6" t="str">
        <f>tblCategories!D23</f>
        <v>2) ORGANIZATIVA</v>
      </c>
      <c r="C30" s="6">
        <f>tblCategories!F23</f>
        <v>0</v>
      </c>
      <c r="D30" s="6">
        <v>1</v>
      </c>
      <c r="E30" s="6">
        <f t="shared" ca="1" si="0"/>
        <v>28.333333333333332</v>
      </c>
      <c r="F30" s="6" t="str">
        <f t="shared" si="1"/>
        <v/>
      </c>
      <c r="G30" s="6">
        <f t="shared" ca="1" si="2"/>
        <v>34.444444444444443</v>
      </c>
      <c r="H30" s="6" t="str">
        <f t="shared" si="3"/>
        <v/>
      </c>
      <c r="I30" s="6" t="e">
        <f t="shared" si="4"/>
        <v>#VALUE!</v>
      </c>
      <c r="J30" s="6" t="str">
        <f t="shared" si="5"/>
        <v/>
      </c>
      <c r="K30" s="6" t="e">
        <f t="shared" si="6"/>
        <v>#VALUE!</v>
      </c>
      <c r="L30" s="6" t="str">
        <f t="shared" si="7"/>
        <v/>
      </c>
      <c r="M30" s="6">
        <f ca="1">rScores!Z23</f>
        <v>42.174999999999997</v>
      </c>
      <c r="N30" s="6">
        <f>tblIndicators!F23</f>
        <v>1</v>
      </c>
      <c r="O30" s="6"/>
      <c r="P30" s="6"/>
      <c r="Q30" s="6"/>
      <c r="R30" s="6" t="str">
        <f t="shared" si="8"/>
        <v/>
      </c>
      <c r="S30" s="6" t="str">
        <f>IF($C30=0,"",RANK(R30,R$10:R$59,1)+COUNTIF(R$10:R30,R30)-1)</f>
        <v/>
      </c>
      <c r="T30" s="6" t="str">
        <f t="shared" si="9"/>
        <v/>
      </c>
      <c r="U30" s="70" t="str">
        <f t="shared" si="10"/>
        <v/>
      </c>
      <c r="V30" s="70" t="str">
        <f t="shared" si="11"/>
        <v/>
      </c>
      <c r="W30" s="70">
        <f t="shared" si="12"/>
        <v>0</v>
      </c>
      <c r="X30" s="69" t="str">
        <f t="shared" si="23"/>
        <v/>
      </c>
      <c r="Y30" s="6" t="str">
        <f t="shared" si="13"/>
        <v/>
      </c>
      <c r="Z30" s="6" t="str">
        <f t="shared" ref="Z30:AA49" si="34">IF($T30="","",INDEX($E$10:$P$59,$T30,Z$8))</f>
        <v/>
      </c>
      <c r="AA30" s="6" t="str">
        <f t="shared" si="34"/>
        <v/>
      </c>
      <c r="AB30" s="6" t="str">
        <f t="shared" si="15"/>
        <v/>
      </c>
      <c r="AC30" s="6" t="str">
        <f t="shared" si="16"/>
        <v/>
      </c>
      <c r="AD30" s="6" t="str">
        <f t="shared" si="17"/>
        <v/>
      </c>
      <c r="AE30" s="6" t="str">
        <f t="shared" si="18"/>
        <v/>
      </c>
      <c r="AF30" s="6" t="str">
        <f t="shared" si="19"/>
        <v/>
      </c>
      <c r="AG30" s="6" t="str">
        <f t="shared" si="20"/>
        <v/>
      </c>
      <c r="AH30" s="6" t="str">
        <f t="shared" si="20"/>
        <v/>
      </c>
      <c r="AI30" s="6" t="str">
        <f t="shared" si="20"/>
        <v/>
      </c>
      <c r="AJ30" s="6" t="str">
        <f>IF($T30="","",IF(ISERROR(INDEX(aRank,$T30+1,uxb_works!$B$24)),"",INDEX(aRank,$T30+1,uxb_works!$B$24)))</f>
        <v/>
      </c>
      <c r="AK30" s="6" t="str">
        <f>IF($T30="","",IF(ISERROR(INDEX(aRank,$T30+1,uxb_works!$B$25)),"",INDEX(aRank,$T30+1,uxb_works!$B$25)))</f>
        <v/>
      </c>
      <c r="AL30" s="6" t="str">
        <f>IF($T30="","",IF(ISERROR(INDEX(aRank,$T30+1,uxb_works!$B$26-1)),"",INDEX(aRank,$T30+1,uxb_works!$B$26-1)))</f>
        <v/>
      </c>
      <c r="AM30" s="6" t="str">
        <f>IF($T30="","",IF(ISERROR(INDEX(aRank,$T30+1,uxb_works!$B$27-1)),"",INDEX(aRank,$T30+1,uxb_works!$B$27-1)))</f>
        <v/>
      </c>
      <c r="AN30" s="6"/>
      <c r="AO30" s="14" t="str">
        <f>IF(T30="","",INDEX(tblIndicators!$H$3:$H$66,iCCompare!T30))</f>
        <v/>
      </c>
      <c r="AP30" s="6" t="str">
        <f t="shared" si="24"/>
        <v/>
      </c>
      <c r="AQ30" s="6" t="str">
        <f t="shared" si="25"/>
        <v/>
      </c>
      <c r="AR30" s="6" t="str">
        <f t="shared" si="26"/>
        <v/>
      </c>
      <c r="AS30" s="6" t="str">
        <f t="shared" si="27"/>
        <v/>
      </c>
      <c r="AT30" s="6">
        <v>3</v>
      </c>
      <c r="AU30" s="6"/>
      <c r="AV30" s="28" t="str">
        <f>IF(T30="","",INDEX(tblIndicators!$V$3:$V$52,iCCompare!T30))</f>
        <v/>
      </c>
      <c r="AW30" s="28">
        <f t="shared" si="28"/>
        <v>0</v>
      </c>
      <c r="AX30" s="28">
        <f t="shared" si="29"/>
        <v>0</v>
      </c>
      <c r="AZ30" s="6" t="str">
        <f>IF($T30="","",IF(ISERROR(INDEX(aRankNumbers,$T30+1,uxb_works!$B$24)),"",INDEX(aRankNumbers,$T30+1,uxb_works!$B$24)))</f>
        <v/>
      </c>
      <c r="BA30" s="6" t="str">
        <f>IF($T30="","",IF(ISERROR(INDEX(aRankNumbers,$T30+1,uxb_works!$B$25)),"",INDEX(aRankNumbers,$T30+1,uxb_works!$B$25)))</f>
        <v/>
      </c>
      <c r="BB30" s="6" t="str">
        <f>IF($T30="","",IF(ISERROR(INDEX(aRankNumbers,$T30+1,uxb_works!$B$26-1)),"",INDEX(aRankNumbers,$T30+1,uxb_works!$B$26-1)))</f>
        <v/>
      </c>
      <c r="BC30" s="6" t="str">
        <f>IF($T30="","",IF(ISERROR(INDEX(aRankNumbers,$T30+1,uxb_works!$B$27-1)),"",INDEX(aRankNumbers,$T30+1,uxb_works!$B$27-1)))</f>
        <v/>
      </c>
      <c r="BE30" s="28">
        <f t="shared" si="30"/>
        <v>0</v>
      </c>
      <c r="BF30" s="28">
        <f t="shared" si="31"/>
        <v>0</v>
      </c>
      <c r="BG30" s="28">
        <f t="shared" si="32"/>
        <v>0</v>
      </c>
      <c r="BH30" s="28">
        <f t="shared" si="33"/>
        <v>0</v>
      </c>
    </row>
    <row r="31" spans="1:60" s="28" customFormat="1">
      <c r="A31" s="6">
        <f>tblCategories!A24</f>
        <v>22</v>
      </c>
      <c r="B31" s="6" t="str">
        <f>tblCategories!D24</f>
        <v>2.1) Asociatividad</v>
      </c>
      <c r="C31" s="6">
        <f>tblCategories!F24</f>
        <v>0</v>
      </c>
      <c r="D31" s="6">
        <v>1</v>
      </c>
      <c r="E31" s="6">
        <f t="shared" ca="1" si="0"/>
        <v>40</v>
      </c>
      <c r="F31" s="6" t="str">
        <f t="shared" si="1"/>
        <v/>
      </c>
      <c r="G31" s="6">
        <f t="shared" ca="1" si="2"/>
        <v>30</v>
      </c>
      <c r="H31" s="6" t="str">
        <f t="shared" si="3"/>
        <v/>
      </c>
      <c r="I31" s="6" t="e">
        <f t="shared" si="4"/>
        <v>#VALUE!</v>
      </c>
      <c r="J31" s="6" t="str">
        <f t="shared" si="5"/>
        <v/>
      </c>
      <c r="K31" s="6" t="e">
        <f t="shared" si="6"/>
        <v>#VALUE!</v>
      </c>
      <c r="L31" s="6" t="str">
        <f t="shared" si="7"/>
        <v/>
      </c>
      <c r="M31" s="6">
        <f ca="1">rScores!Z24</f>
        <v>49.166666666666664</v>
      </c>
      <c r="N31" s="6">
        <f>tblIndicators!F24</f>
        <v>2</v>
      </c>
      <c r="O31" s="6"/>
      <c r="P31" s="6"/>
      <c r="Q31" s="6"/>
      <c r="R31" s="6" t="str">
        <f t="shared" si="8"/>
        <v/>
      </c>
      <c r="S31" s="6" t="str">
        <f>IF($C31=0,"",RANK(R31,R$10:R$59,1)+COUNTIF(R$10:R31,R31)-1)</f>
        <v/>
      </c>
      <c r="T31" s="6" t="str">
        <f t="shared" si="9"/>
        <v/>
      </c>
      <c r="U31" s="70" t="str">
        <f t="shared" si="10"/>
        <v/>
      </c>
      <c r="V31" s="70" t="str">
        <f t="shared" si="11"/>
        <v/>
      </c>
      <c r="W31" s="70">
        <f t="shared" si="12"/>
        <v>0</v>
      </c>
      <c r="X31" s="69" t="str">
        <f t="shared" si="23"/>
        <v/>
      </c>
      <c r="Y31" s="6" t="str">
        <f t="shared" si="13"/>
        <v/>
      </c>
      <c r="Z31" s="6" t="str">
        <f t="shared" si="34"/>
        <v/>
      </c>
      <c r="AA31" s="6" t="str">
        <f t="shared" si="34"/>
        <v/>
      </c>
      <c r="AB31" s="6" t="str">
        <f t="shared" si="15"/>
        <v/>
      </c>
      <c r="AC31" s="6" t="str">
        <f t="shared" si="16"/>
        <v/>
      </c>
      <c r="AD31" s="6" t="str">
        <f t="shared" si="17"/>
        <v/>
      </c>
      <c r="AE31" s="6" t="str">
        <f t="shared" si="18"/>
        <v/>
      </c>
      <c r="AF31" s="6" t="str">
        <f t="shared" si="19"/>
        <v/>
      </c>
      <c r="AG31" s="6" t="str">
        <f t="shared" si="20"/>
        <v/>
      </c>
      <c r="AH31" s="6" t="str">
        <f t="shared" si="20"/>
        <v/>
      </c>
      <c r="AI31" s="6" t="str">
        <f t="shared" si="20"/>
        <v/>
      </c>
      <c r="AJ31" s="6" t="str">
        <f>IF($T31="","",IF(ISERROR(INDEX(aRank,$T31+1,uxb_works!$B$24)),"",INDEX(aRank,$T31+1,uxb_works!$B$24)))</f>
        <v/>
      </c>
      <c r="AK31" s="6" t="str">
        <f>IF($T31="","",IF(ISERROR(INDEX(aRank,$T31+1,uxb_works!$B$25)),"",INDEX(aRank,$T31+1,uxb_works!$B$25)))</f>
        <v/>
      </c>
      <c r="AL31" s="6" t="str">
        <f>IF($T31="","",IF(ISERROR(INDEX(aRank,$T31+1,uxb_works!$B$26-1)),"",INDEX(aRank,$T31+1,uxb_works!$B$26-1)))</f>
        <v/>
      </c>
      <c r="AM31" s="6" t="str">
        <f>IF($T31="","",IF(ISERROR(INDEX(aRank,$T31+1,uxb_works!$B$27-1)),"",INDEX(aRank,$T31+1,uxb_works!$B$27-1)))</f>
        <v/>
      </c>
      <c r="AN31" s="6"/>
      <c r="AO31" s="14" t="str">
        <f>IF(T31="","",INDEX(tblIndicators!$H$3:$H$66,iCCompare!T31))</f>
        <v/>
      </c>
      <c r="AP31" s="6" t="str">
        <f t="shared" si="24"/>
        <v/>
      </c>
      <c r="AQ31" s="6" t="str">
        <f t="shared" si="25"/>
        <v/>
      </c>
      <c r="AR31" s="6" t="str">
        <f t="shared" si="26"/>
        <v/>
      </c>
      <c r="AS31" s="6" t="str">
        <f t="shared" si="27"/>
        <v/>
      </c>
      <c r="AT31" s="6">
        <v>3</v>
      </c>
      <c r="AU31" s="6"/>
      <c r="AV31" s="28" t="str">
        <f>IF(T31="","",INDEX(tblIndicators!$V$3:$V$52,iCCompare!T31))</f>
        <v/>
      </c>
      <c r="AW31" s="28">
        <f t="shared" si="28"/>
        <v>0</v>
      </c>
      <c r="AX31" s="28">
        <f t="shared" si="29"/>
        <v>0</v>
      </c>
      <c r="AZ31" s="6" t="str">
        <f>IF($T31="","",IF(ISERROR(INDEX(aRankNumbers,$T31+1,uxb_works!$B$24)),"",INDEX(aRankNumbers,$T31+1,uxb_works!$B$24)))</f>
        <v/>
      </c>
      <c r="BA31" s="6" t="str">
        <f>IF($T31="","",IF(ISERROR(INDEX(aRankNumbers,$T31+1,uxb_works!$B$25)),"",INDEX(aRankNumbers,$T31+1,uxb_works!$B$25)))</f>
        <v/>
      </c>
      <c r="BB31" s="6" t="str">
        <f>IF($T31="","",IF(ISERROR(INDEX(aRankNumbers,$T31+1,uxb_works!$B$26-1)),"",INDEX(aRankNumbers,$T31+1,uxb_works!$B$26-1)))</f>
        <v/>
      </c>
      <c r="BC31" s="6" t="str">
        <f>IF($T31="","",IF(ISERROR(INDEX(aRankNumbers,$T31+1,uxb_works!$B$27-1)),"",INDEX(aRankNumbers,$T31+1,uxb_works!$B$27-1)))</f>
        <v/>
      </c>
      <c r="BE31" s="28">
        <f t="shared" si="30"/>
        <v>0</v>
      </c>
      <c r="BF31" s="28">
        <f t="shared" si="31"/>
        <v>0</v>
      </c>
      <c r="BG31" s="28">
        <f t="shared" si="32"/>
        <v>0</v>
      </c>
      <c r="BH31" s="28">
        <f t="shared" si="33"/>
        <v>0</v>
      </c>
    </row>
    <row r="32" spans="1:60" s="28" customFormat="1">
      <c r="A32" s="6">
        <f>tblCategories!A25</f>
        <v>23</v>
      </c>
      <c r="B32" s="6" t="str">
        <f>tblCategories!D25</f>
        <v>2.1.1) 16.¿Cuán dinámicas son las asociaciones?</v>
      </c>
      <c r="C32" s="6">
        <f>tblCategories!F25</f>
        <v>0</v>
      </c>
      <c r="D32" s="6">
        <v>1</v>
      </c>
      <c r="E32" s="6">
        <f t="shared" ca="1" si="0"/>
        <v>100</v>
      </c>
      <c r="F32" s="6">
        <f t="shared" si="1"/>
        <v>2</v>
      </c>
      <c r="G32" s="6">
        <f t="shared" ca="1" si="2"/>
        <v>0</v>
      </c>
      <c r="H32" s="6">
        <f t="shared" si="3"/>
        <v>0</v>
      </c>
      <c r="I32" s="6" t="e">
        <f t="shared" si="4"/>
        <v>#VALUE!</v>
      </c>
      <c r="J32" s="6">
        <f t="shared" si="5"/>
        <v>2</v>
      </c>
      <c r="K32" s="6" t="e">
        <f t="shared" si="6"/>
        <v>#VALUE!</v>
      </c>
      <c r="L32" s="6">
        <f t="shared" si="7"/>
        <v>1</v>
      </c>
      <c r="M32" s="6">
        <f ca="1">rScores!Z25</f>
        <v>41.666666666666664</v>
      </c>
      <c r="N32" s="6">
        <f>tblIndicators!F25</f>
        <v>3</v>
      </c>
      <c r="O32" s="6"/>
      <c r="P32" s="6"/>
      <c r="Q32" s="6"/>
      <c r="R32" s="6" t="str">
        <f t="shared" si="8"/>
        <v/>
      </c>
      <c r="S32" s="6" t="str">
        <f>IF($C32=0,"",RANK(R32,R$10:R$59,1)+COUNTIF(R$10:R32,R32)-1)</f>
        <v/>
      </c>
      <c r="T32" s="6" t="str">
        <f t="shared" si="9"/>
        <v/>
      </c>
      <c r="U32" s="70" t="str">
        <f t="shared" si="10"/>
        <v/>
      </c>
      <c r="V32" s="70" t="str">
        <f t="shared" si="11"/>
        <v/>
      </c>
      <c r="W32" s="70">
        <f t="shared" si="12"/>
        <v>0</v>
      </c>
      <c r="X32" s="69" t="str">
        <f t="shared" si="23"/>
        <v/>
      </c>
      <c r="Y32" s="6" t="str">
        <f t="shared" si="13"/>
        <v/>
      </c>
      <c r="Z32" s="6" t="str">
        <f t="shared" si="34"/>
        <v/>
      </c>
      <c r="AA32" s="6" t="str">
        <f t="shared" si="34"/>
        <v/>
      </c>
      <c r="AB32" s="6" t="str">
        <f t="shared" si="15"/>
        <v/>
      </c>
      <c r="AC32" s="6" t="str">
        <f t="shared" si="16"/>
        <v/>
      </c>
      <c r="AD32" s="6" t="str">
        <f t="shared" si="17"/>
        <v/>
      </c>
      <c r="AE32" s="6" t="str">
        <f t="shared" si="18"/>
        <v/>
      </c>
      <c r="AF32" s="6" t="str">
        <f t="shared" si="19"/>
        <v/>
      </c>
      <c r="AG32" s="6" t="str">
        <f t="shared" si="20"/>
        <v/>
      </c>
      <c r="AH32" s="6" t="str">
        <f t="shared" si="20"/>
        <v/>
      </c>
      <c r="AI32" s="6" t="str">
        <f t="shared" si="20"/>
        <v/>
      </c>
      <c r="AJ32" s="6" t="str">
        <f>IF($T32="","",IF(ISERROR(INDEX(aRank,$T32+1,uxb_works!$B$24)),"",INDEX(aRank,$T32+1,uxb_works!$B$24)))</f>
        <v/>
      </c>
      <c r="AK32" s="6" t="str">
        <f>IF($T32="","",IF(ISERROR(INDEX(aRank,$T32+1,uxb_works!$B$25)),"",INDEX(aRank,$T32+1,uxb_works!$B$25)))</f>
        <v/>
      </c>
      <c r="AL32" s="6" t="str">
        <f>IF($T32="","",IF(ISERROR(INDEX(aRank,$T32+1,uxb_works!$B$26-1)),"",INDEX(aRank,$T32+1,uxb_works!$B$26-1)))</f>
        <v/>
      </c>
      <c r="AM32" s="6" t="str">
        <f>IF($T32="","",IF(ISERROR(INDEX(aRank,$T32+1,uxb_works!$B$27-1)),"",INDEX(aRank,$T32+1,uxb_works!$B$27-1)))</f>
        <v/>
      </c>
      <c r="AN32" s="6"/>
      <c r="AO32" s="14" t="str">
        <f>IF(T32="","",INDEX(tblIndicators!$H$3:$H$66,iCCompare!T32))</f>
        <v/>
      </c>
      <c r="AP32" s="6" t="str">
        <f t="shared" si="24"/>
        <v/>
      </c>
      <c r="AQ32" s="6" t="str">
        <f t="shared" si="25"/>
        <v/>
      </c>
      <c r="AR32" s="6" t="str">
        <f t="shared" si="26"/>
        <v/>
      </c>
      <c r="AS32" s="6" t="str">
        <f t="shared" si="27"/>
        <v/>
      </c>
      <c r="AT32" s="6">
        <v>3</v>
      </c>
      <c r="AU32" s="6"/>
      <c r="AV32" s="28" t="str">
        <f>IF(T32="","",INDEX(tblIndicators!$V$3:$V$52,iCCompare!T32))</f>
        <v/>
      </c>
      <c r="AW32" s="28">
        <f t="shared" si="28"/>
        <v>0</v>
      </c>
      <c r="AX32" s="28">
        <f t="shared" si="29"/>
        <v>0</v>
      </c>
      <c r="AZ32" s="6" t="str">
        <f>IF($T32="","",IF(ISERROR(INDEX(aRankNumbers,$T32+1,uxb_works!$B$24)),"",INDEX(aRankNumbers,$T32+1,uxb_works!$B$24)))</f>
        <v/>
      </c>
      <c r="BA32" s="6" t="str">
        <f>IF($T32="","",IF(ISERROR(INDEX(aRankNumbers,$T32+1,uxb_works!$B$25)),"",INDEX(aRankNumbers,$T32+1,uxb_works!$B$25)))</f>
        <v/>
      </c>
      <c r="BB32" s="6" t="str">
        <f>IF($T32="","",IF(ISERROR(INDEX(aRankNumbers,$T32+1,uxb_works!$B$26-1)),"",INDEX(aRankNumbers,$T32+1,uxb_works!$B$26-1)))</f>
        <v/>
      </c>
      <c r="BC32" s="6" t="str">
        <f>IF($T32="","",IF(ISERROR(INDEX(aRankNumbers,$T32+1,uxb_works!$B$27-1)),"",INDEX(aRankNumbers,$T32+1,uxb_works!$B$27-1)))</f>
        <v/>
      </c>
      <c r="BE32" s="28">
        <f t="shared" si="30"/>
        <v>0</v>
      </c>
      <c r="BF32" s="28">
        <f t="shared" si="31"/>
        <v>0</v>
      </c>
      <c r="BG32" s="28">
        <f t="shared" si="32"/>
        <v>0</v>
      </c>
      <c r="BH32" s="28">
        <f t="shared" si="33"/>
        <v>0</v>
      </c>
    </row>
    <row r="33" spans="1:60" s="28" customFormat="1">
      <c r="A33" s="6">
        <f>tblCategories!A26</f>
        <v>24</v>
      </c>
      <c r="B33" s="6" t="str">
        <f>tblCategories!D26</f>
        <v xml:space="preserve">2.1.2) 17.¿Qué nivel de inclusión  presentan estas asociaciones? </v>
      </c>
      <c r="C33" s="6">
        <f>tblCategories!F26</f>
        <v>0</v>
      </c>
      <c r="D33" s="6">
        <v>1</v>
      </c>
      <c r="E33" s="6">
        <f t="shared" ca="1" si="0"/>
        <v>0</v>
      </c>
      <c r="F33" s="6">
        <f t="shared" si="1"/>
        <v>0</v>
      </c>
      <c r="G33" s="6">
        <f t="shared" ca="1" si="2"/>
        <v>0</v>
      </c>
      <c r="H33" s="6">
        <f t="shared" si="3"/>
        <v>0</v>
      </c>
      <c r="I33" s="6" t="e">
        <f t="shared" si="4"/>
        <v>#VALUE!</v>
      </c>
      <c r="J33" s="6">
        <f t="shared" si="5"/>
        <v>0</v>
      </c>
      <c r="K33" s="6" t="e">
        <f t="shared" si="6"/>
        <v>#VALUE!</v>
      </c>
      <c r="L33" s="6">
        <f t="shared" si="7"/>
        <v>1</v>
      </c>
      <c r="M33" s="6">
        <f ca="1">rScores!Z26</f>
        <v>37.5</v>
      </c>
      <c r="N33" s="6">
        <f>tblIndicators!F26</f>
        <v>3</v>
      </c>
      <c r="O33" s="6"/>
      <c r="P33" s="6"/>
      <c r="Q33" s="6"/>
      <c r="R33" s="6" t="str">
        <f t="shared" si="8"/>
        <v/>
      </c>
      <c r="S33" s="6" t="str">
        <f>IF($C33=0,"",RANK(R33,R$10:R$59,1)+COUNTIF(R$10:R33,R33)-1)</f>
        <v/>
      </c>
      <c r="T33" s="6" t="str">
        <f t="shared" si="9"/>
        <v/>
      </c>
      <c r="U33" s="70" t="str">
        <f t="shared" si="10"/>
        <v/>
      </c>
      <c r="V33" s="70" t="str">
        <f t="shared" si="11"/>
        <v/>
      </c>
      <c r="W33" s="70">
        <f t="shared" si="12"/>
        <v>0</v>
      </c>
      <c r="X33" s="69" t="str">
        <f t="shared" si="23"/>
        <v/>
      </c>
      <c r="Y33" s="6" t="str">
        <f t="shared" si="13"/>
        <v/>
      </c>
      <c r="Z33" s="6" t="str">
        <f t="shared" si="34"/>
        <v/>
      </c>
      <c r="AA33" s="6" t="str">
        <f t="shared" si="34"/>
        <v/>
      </c>
      <c r="AB33" s="6" t="str">
        <f t="shared" si="15"/>
        <v/>
      </c>
      <c r="AC33" s="6" t="str">
        <f t="shared" si="16"/>
        <v/>
      </c>
      <c r="AD33" s="6" t="str">
        <f t="shared" si="17"/>
        <v/>
      </c>
      <c r="AE33" s="6" t="str">
        <f t="shared" si="18"/>
        <v/>
      </c>
      <c r="AF33" s="6" t="str">
        <f t="shared" si="19"/>
        <v/>
      </c>
      <c r="AG33" s="6" t="str">
        <f t="shared" si="20"/>
        <v/>
      </c>
      <c r="AH33" s="6" t="str">
        <f t="shared" si="20"/>
        <v/>
      </c>
      <c r="AI33" s="6" t="str">
        <f t="shared" si="20"/>
        <v/>
      </c>
      <c r="AJ33" s="6" t="str">
        <f>IF($T33="","",IF(ISERROR(INDEX(aRank,$T33+1,uxb_works!$B$24)),"",INDEX(aRank,$T33+1,uxb_works!$B$24)))</f>
        <v/>
      </c>
      <c r="AK33" s="6" t="str">
        <f>IF($T33="","",IF(ISERROR(INDEX(aRank,$T33+1,uxb_works!$B$25)),"",INDEX(aRank,$T33+1,uxb_works!$B$25)))</f>
        <v/>
      </c>
      <c r="AL33" s="6" t="str">
        <f>IF($T33="","",IF(ISERROR(INDEX(aRank,$T33+1,uxb_works!$B$26-1)),"",INDEX(aRank,$T33+1,uxb_works!$B$26-1)))</f>
        <v/>
      </c>
      <c r="AM33" s="6" t="str">
        <f>IF($T33="","",IF(ISERROR(INDEX(aRank,$T33+1,uxb_works!$B$27-1)),"",INDEX(aRank,$T33+1,uxb_works!$B$27-1)))</f>
        <v/>
      </c>
      <c r="AN33" s="6"/>
      <c r="AO33" s="14" t="str">
        <f>IF(T33="","",INDEX(tblIndicators!$H$3:$H$66,iCCompare!T33))</f>
        <v/>
      </c>
      <c r="AP33" s="6" t="str">
        <f t="shared" si="24"/>
        <v/>
      </c>
      <c r="AQ33" s="6" t="str">
        <f t="shared" si="25"/>
        <v/>
      </c>
      <c r="AR33" s="6" t="str">
        <f t="shared" si="26"/>
        <v/>
      </c>
      <c r="AS33" s="6" t="str">
        <f t="shared" si="27"/>
        <v/>
      </c>
      <c r="AT33" s="6">
        <v>3</v>
      </c>
      <c r="AU33" s="6"/>
      <c r="AV33" s="28" t="str">
        <f>IF(T33="","",INDEX(tblIndicators!$V$3:$V$52,iCCompare!T33))</f>
        <v/>
      </c>
      <c r="AW33" s="28">
        <f t="shared" si="28"/>
        <v>0</v>
      </c>
      <c r="AX33" s="28">
        <f t="shared" si="29"/>
        <v>0</v>
      </c>
      <c r="AZ33" s="6" t="str">
        <f>IF($T33="","",IF(ISERROR(INDEX(aRankNumbers,$T33+1,uxb_works!$B$24)),"",INDEX(aRankNumbers,$T33+1,uxb_works!$B$24)))</f>
        <v/>
      </c>
      <c r="BA33" s="6" t="str">
        <f>IF($T33="","",IF(ISERROR(INDEX(aRankNumbers,$T33+1,uxb_works!$B$25)),"",INDEX(aRankNumbers,$T33+1,uxb_works!$B$25)))</f>
        <v/>
      </c>
      <c r="BB33" s="6" t="str">
        <f>IF($T33="","",IF(ISERROR(INDEX(aRankNumbers,$T33+1,uxb_works!$B$26-1)),"",INDEX(aRankNumbers,$T33+1,uxb_works!$B$26-1)))</f>
        <v/>
      </c>
      <c r="BC33" s="6" t="str">
        <f>IF($T33="","",IF(ISERROR(INDEX(aRankNumbers,$T33+1,uxb_works!$B$27-1)),"",INDEX(aRankNumbers,$T33+1,uxb_works!$B$27-1)))</f>
        <v/>
      </c>
      <c r="BE33" s="28">
        <f t="shared" si="30"/>
        <v>0</v>
      </c>
      <c r="BF33" s="28">
        <f t="shared" si="31"/>
        <v>0</v>
      </c>
      <c r="BG33" s="28">
        <f t="shared" si="32"/>
        <v>0</v>
      </c>
      <c r="BH33" s="28">
        <f t="shared" si="33"/>
        <v>0</v>
      </c>
    </row>
    <row r="34" spans="1:60" s="28" customFormat="1">
      <c r="A34" s="6">
        <f>tblCategories!A27</f>
        <v>25</v>
      </c>
      <c r="B34" s="6" t="str">
        <f>tblCategories!D27</f>
        <v>2.1.3) 18.¿Las asociaciones: participan en espacios de interlocución o diálogo con pares?</v>
      </c>
      <c r="C34" s="6">
        <f>tblCategories!F27</f>
        <v>0</v>
      </c>
      <c r="D34" s="6">
        <v>1</v>
      </c>
      <c r="E34" s="6">
        <f t="shared" ca="1" si="0"/>
        <v>50</v>
      </c>
      <c r="F34" s="6">
        <f t="shared" si="1"/>
        <v>1</v>
      </c>
      <c r="G34" s="6">
        <f t="shared" ca="1" si="2"/>
        <v>50</v>
      </c>
      <c r="H34" s="6">
        <f t="shared" si="3"/>
        <v>1</v>
      </c>
      <c r="I34" s="6" t="e">
        <f t="shared" si="4"/>
        <v>#VALUE!</v>
      </c>
      <c r="J34" s="6">
        <f t="shared" si="5"/>
        <v>1</v>
      </c>
      <c r="K34" s="6" t="e">
        <f t="shared" si="6"/>
        <v>#VALUE!</v>
      </c>
      <c r="L34" s="6">
        <f t="shared" si="7"/>
        <v>2</v>
      </c>
      <c r="M34" s="6">
        <f ca="1">rScores!Z27</f>
        <v>70.833333333333329</v>
      </c>
      <c r="N34" s="6">
        <f>tblIndicators!F27</f>
        <v>3</v>
      </c>
      <c r="O34" s="6"/>
      <c r="P34" s="6"/>
      <c r="Q34" s="6"/>
      <c r="R34" s="6" t="str">
        <f t="shared" si="8"/>
        <v/>
      </c>
      <c r="S34" s="6" t="str">
        <f>IF($C34=0,"",RANK(R34,R$10:R$59,1)+COUNTIF(R$10:R34,R34)-1)</f>
        <v/>
      </c>
      <c r="T34" s="6" t="str">
        <f t="shared" si="9"/>
        <v/>
      </c>
      <c r="U34" s="70" t="str">
        <f t="shared" si="10"/>
        <v/>
      </c>
      <c r="V34" s="70" t="str">
        <f t="shared" si="11"/>
        <v/>
      </c>
      <c r="W34" s="70">
        <f t="shared" si="12"/>
        <v>0</v>
      </c>
      <c r="X34" s="69" t="str">
        <f t="shared" si="23"/>
        <v/>
      </c>
      <c r="Y34" s="6" t="str">
        <f t="shared" si="13"/>
        <v/>
      </c>
      <c r="Z34" s="6" t="str">
        <f t="shared" si="34"/>
        <v/>
      </c>
      <c r="AA34" s="6" t="str">
        <f t="shared" si="34"/>
        <v/>
      </c>
      <c r="AB34" s="6" t="str">
        <f t="shared" si="15"/>
        <v/>
      </c>
      <c r="AC34" s="6" t="str">
        <f t="shared" si="16"/>
        <v/>
      </c>
      <c r="AD34" s="6" t="str">
        <f t="shared" si="17"/>
        <v/>
      </c>
      <c r="AE34" s="6" t="str">
        <f t="shared" si="18"/>
        <v/>
      </c>
      <c r="AF34" s="6" t="str">
        <f t="shared" si="19"/>
        <v/>
      </c>
      <c r="AG34" s="6" t="str">
        <f t="shared" si="20"/>
        <v/>
      </c>
      <c r="AH34" s="6" t="str">
        <f t="shared" si="20"/>
        <v/>
      </c>
      <c r="AI34" s="6" t="str">
        <f t="shared" si="20"/>
        <v/>
      </c>
      <c r="AJ34" s="6" t="str">
        <f>IF($T34="","",IF(ISERROR(INDEX(aRank,$T34+1,uxb_works!$B$24)),"",INDEX(aRank,$T34+1,uxb_works!$B$24)))</f>
        <v/>
      </c>
      <c r="AK34" s="6" t="str">
        <f>IF($T34="","",IF(ISERROR(INDEX(aRank,$T34+1,uxb_works!$B$25)),"",INDEX(aRank,$T34+1,uxb_works!$B$25)))</f>
        <v/>
      </c>
      <c r="AL34" s="6" t="str">
        <f>IF($T34="","",IF(ISERROR(INDEX(aRank,$T34+1,uxb_works!$B$26-1)),"",INDEX(aRank,$T34+1,uxb_works!$B$26-1)))</f>
        <v/>
      </c>
      <c r="AM34" s="6" t="str">
        <f>IF($T34="","",IF(ISERROR(INDEX(aRank,$T34+1,uxb_works!$B$27-1)),"",INDEX(aRank,$T34+1,uxb_works!$B$27-1)))</f>
        <v/>
      </c>
      <c r="AN34" s="6"/>
      <c r="AO34" s="14" t="str">
        <f>IF(T34="","",INDEX(tblIndicators!$H$3:$H$66,iCCompare!T34))</f>
        <v/>
      </c>
      <c r="AP34" s="6" t="str">
        <f t="shared" si="24"/>
        <v/>
      </c>
      <c r="AQ34" s="6" t="str">
        <f t="shared" si="25"/>
        <v/>
      </c>
      <c r="AR34" s="6" t="str">
        <f t="shared" si="26"/>
        <v/>
      </c>
      <c r="AS34" s="6" t="str">
        <f t="shared" si="27"/>
        <v/>
      </c>
      <c r="AT34" s="6">
        <v>3</v>
      </c>
      <c r="AU34" s="6"/>
      <c r="AV34" s="28" t="str">
        <f>IF(T34="","",INDEX(tblIndicators!$V$3:$V$52,iCCompare!T34))</f>
        <v/>
      </c>
      <c r="AW34" s="28">
        <f t="shared" si="28"/>
        <v>0</v>
      </c>
      <c r="AX34" s="28">
        <f t="shared" si="29"/>
        <v>0</v>
      </c>
      <c r="AZ34" s="6" t="str">
        <f>IF($T34="","",IF(ISERROR(INDEX(aRankNumbers,$T34+1,uxb_works!$B$24)),"",INDEX(aRankNumbers,$T34+1,uxb_works!$B$24)))</f>
        <v/>
      </c>
      <c r="BA34" s="6" t="str">
        <f>IF($T34="","",IF(ISERROR(INDEX(aRankNumbers,$T34+1,uxb_works!$B$25)),"",INDEX(aRankNumbers,$T34+1,uxb_works!$B$25)))</f>
        <v/>
      </c>
      <c r="BB34" s="6" t="str">
        <f>IF($T34="","",IF(ISERROR(INDEX(aRankNumbers,$T34+1,uxb_works!$B$26-1)),"",INDEX(aRankNumbers,$T34+1,uxb_works!$B$26-1)))</f>
        <v/>
      </c>
      <c r="BC34" s="6" t="str">
        <f>IF($T34="","",IF(ISERROR(INDEX(aRankNumbers,$T34+1,uxb_works!$B$27-1)),"",INDEX(aRankNumbers,$T34+1,uxb_works!$B$27-1)))</f>
        <v/>
      </c>
      <c r="BE34" s="28">
        <f t="shared" si="30"/>
        <v>0</v>
      </c>
      <c r="BF34" s="28">
        <f t="shared" si="31"/>
        <v>0</v>
      </c>
      <c r="BG34" s="28">
        <f t="shared" si="32"/>
        <v>0</v>
      </c>
      <c r="BH34" s="28">
        <f t="shared" si="33"/>
        <v>0</v>
      </c>
    </row>
    <row r="35" spans="1:60" s="28" customFormat="1">
      <c r="A35" s="6">
        <f>tblCategories!A28</f>
        <v>26</v>
      </c>
      <c r="B35" s="6" t="str">
        <f>tblCategories!D28</f>
        <v>2.1.4) 19.¿Existen espacios de diálogo y coordinación entre diferentes actores de la cadena de valor del reciclaje?</v>
      </c>
      <c r="C35" s="6">
        <f>tblCategories!F28</f>
        <v>0</v>
      </c>
      <c r="D35" s="6">
        <v>1</v>
      </c>
      <c r="E35" s="6">
        <f t="shared" ca="1" si="0"/>
        <v>0</v>
      </c>
      <c r="F35" s="6">
        <f t="shared" si="1"/>
        <v>0</v>
      </c>
      <c r="G35" s="6">
        <f t="shared" ca="1" si="2"/>
        <v>100</v>
      </c>
      <c r="H35" s="6">
        <f t="shared" si="3"/>
        <v>2</v>
      </c>
      <c r="I35" s="6" t="e">
        <f t="shared" si="4"/>
        <v>#VALUE!</v>
      </c>
      <c r="J35" s="6">
        <f t="shared" si="5"/>
        <v>0</v>
      </c>
      <c r="K35" s="6" t="e">
        <f t="shared" si="6"/>
        <v>#VALUE!</v>
      </c>
      <c r="L35" s="6">
        <f t="shared" si="7"/>
        <v>2</v>
      </c>
      <c r="M35" s="6">
        <f ca="1">rScores!Z28</f>
        <v>45.833333333333336</v>
      </c>
      <c r="N35" s="6">
        <f>tblIndicators!F28</f>
        <v>3</v>
      </c>
      <c r="O35" s="6"/>
      <c r="P35" s="6"/>
      <c r="Q35" s="6"/>
      <c r="R35" s="6" t="str">
        <f t="shared" si="8"/>
        <v/>
      </c>
      <c r="S35" s="6" t="str">
        <f>IF($C35=0,"",RANK(R35,R$10:R$59,1)+COUNTIF(R$10:R35,R35)-1)</f>
        <v/>
      </c>
      <c r="T35" s="6" t="str">
        <f t="shared" si="9"/>
        <v/>
      </c>
      <c r="U35" s="70" t="str">
        <f t="shared" si="10"/>
        <v/>
      </c>
      <c r="V35" s="70" t="str">
        <f t="shared" si="11"/>
        <v/>
      </c>
      <c r="W35" s="70">
        <f t="shared" si="12"/>
        <v>0</v>
      </c>
      <c r="X35" s="69" t="str">
        <f t="shared" si="23"/>
        <v/>
      </c>
      <c r="Y35" s="6" t="str">
        <f t="shared" si="13"/>
        <v/>
      </c>
      <c r="Z35" s="6" t="str">
        <f t="shared" si="34"/>
        <v/>
      </c>
      <c r="AA35" s="6" t="str">
        <f t="shared" si="34"/>
        <v/>
      </c>
      <c r="AB35" s="6" t="str">
        <f t="shared" si="15"/>
        <v/>
      </c>
      <c r="AC35" s="6" t="str">
        <f t="shared" si="16"/>
        <v/>
      </c>
      <c r="AD35" s="6" t="str">
        <f t="shared" si="17"/>
        <v/>
      </c>
      <c r="AE35" s="6" t="str">
        <f t="shared" si="18"/>
        <v/>
      </c>
      <c r="AF35" s="6" t="str">
        <f t="shared" si="19"/>
        <v/>
      </c>
      <c r="AG35" s="6" t="str">
        <f t="shared" si="20"/>
        <v/>
      </c>
      <c r="AH35" s="6" t="str">
        <f t="shared" si="20"/>
        <v/>
      </c>
      <c r="AI35" s="6" t="str">
        <f t="shared" si="20"/>
        <v/>
      </c>
      <c r="AJ35" s="6" t="str">
        <f>IF($T35="","",IF(ISERROR(INDEX(aRank,$T35+1,uxb_works!$B$24)),"",INDEX(aRank,$T35+1,uxb_works!$B$24)))</f>
        <v/>
      </c>
      <c r="AK35" s="6" t="str">
        <f>IF($T35="","",IF(ISERROR(INDEX(aRank,$T35+1,uxb_works!$B$25)),"",INDEX(aRank,$T35+1,uxb_works!$B$25)))</f>
        <v/>
      </c>
      <c r="AL35" s="6" t="str">
        <f>IF($T35="","",IF(ISERROR(INDEX(aRank,$T35+1,uxb_works!$B$26-1)),"",INDEX(aRank,$T35+1,uxb_works!$B$26-1)))</f>
        <v/>
      </c>
      <c r="AM35" s="6" t="str">
        <f>IF($T35="","",IF(ISERROR(INDEX(aRank,$T35+1,uxb_works!$B$27-1)),"",INDEX(aRank,$T35+1,uxb_works!$B$27-1)))</f>
        <v/>
      </c>
      <c r="AN35" s="6"/>
      <c r="AO35" s="14" t="str">
        <f>IF(T35="","",INDEX(tblIndicators!$H$3:$H$66,iCCompare!T35))</f>
        <v/>
      </c>
      <c r="AP35" s="6" t="str">
        <f t="shared" si="24"/>
        <v/>
      </c>
      <c r="AQ35" s="6" t="str">
        <f t="shared" si="25"/>
        <v/>
      </c>
      <c r="AR35" s="6" t="str">
        <f t="shared" si="26"/>
        <v/>
      </c>
      <c r="AS35" s="6" t="str">
        <f t="shared" si="27"/>
        <v/>
      </c>
      <c r="AT35" s="6">
        <v>3</v>
      </c>
      <c r="AU35" s="6"/>
      <c r="AV35" s="28" t="str">
        <f>IF(T35="","",INDEX(tblIndicators!$V$3:$V$52,iCCompare!T35))</f>
        <v/>
      </c>
      <c r="AW35" s="28">
        <f t="shared" si="28"/>
        <v>0</v>
      </c>
      <c r="AX35" s="28">
        <f t="shared" si="29"/>
        <v>0</v>
      </c>
      <c r="AZ35" s="6" t="str">
        <f>IF($T35="","",IF(ISERROR(INDEX(aRankNumbers,$T35+1,uxb_works!$B$24)),"",INDEX(aRankNumbers,$T35+1,uxb_works!$B$24)))</f>
        <v/>
      </c>
      <c r="BA35" s="6" t="str">
        <f>IF($T35="","",IF(ISERROR(INDEX(aRankNumbers,$T35+1,uxb_works!$B$25)),"",INDEX(aRankNumbers,$T35+1,uxb_works!$B$25)))</f>
        <v/>
      </c>
      <c r="BB35" s="6" t="str">
        <f>IF($T35="","",IF(ISERROR(INDEX(aRankNumbers,$T35+1,uxb_works!$B$26-1)),"",INDEX(aRankNumbers,$T35+1,uxb_works!$B$26-1)))</f>
        <v/>
      </c>
      <c r="BC35" s="6" t="str">
        <f>IF($T35="","",IF(ISERROR(INDEX(aRankNumbers,$T35+1,uxb_works!$B$27-1)),"",INDEX(aRankNumbers,$T35+1,uxb_works!$B$27-1)))</f>
        <v/>
      </c>
      <c r="BE35" s="28">
        <f t="shared" si="30"/>
        <v>0</v>
      </c>
      <c r="BF35" s="28">
        <f t="shared" si="31"/>
        <v>0</v>
      </c>
      <c r="BG35" s="28">
        <f t="shared" si="32"/>
        <v>0</v>
      </c>
      <c r="BH35" s="28">
        <f t="shared" si="33"/>
        <v>0</v>
      </c>
    </row>
    <row r="36" spans="1:60" s="28" customFormat="1">
      <c r="A36" s="6">
        <f>tblCategories!A29</f>
        <v>27</v>
      </c>
      <c r="B36" s="6" t="str">
        <f>tblCategories!D29</f>
        <v>2.1.5) 20.¿Cuál es el nivel de representación de las mujeres en las asociaciones?</v>
      </c>
      <c r="C36" s="6">
        <f>tblCategories!F29</f>
        <v>0</v>
      </c>
      <c r="D36" s="6">
        <v>1</v>
      </c>
      <c r="E36" s="6">
        <f t="shared" ca="1" si="0"/>
        <v>50</v>
      </c>
      <c r="F36" s="6">
        <f t="shared" si="1"/>
        <v>1</v>
      </c>
      <c r="G36" s="6">
        <f t="shared" ca="1" si="2"/>
        <v>0</v>
      </c>
      <c r="H36" s="6">
        <f t="shared" si="3"/>
        <v>0</v>
      </c>
      <c r="I36" s="6" t="e">
        <f t="shared" si="4"/>
        <v>#VALUE!</v>
      </c>
      <c r="J36" s="6">
        <f t="shared" si="5"/>
        <v>1</v>
      </c>
      <c r="K36" s="6" t="e">
        <f t="shared" si="6"/>
        <v>#VALUE!</v>
      </c>
      <c r="L36" s="6">
        <f t="shared" si="7"/>
        <v>1</v>
      </c>
      <c r="M36" s="6">
        <f ca="1">rScores!Z29</f>
        <v>50</v>
      </c>
      <c r="N36" s="6">
        <f>tblIndicators!F29</f>
        <v>3</v>
      </c>
      <c r="O36" s="6"/>
      <c r="P36" s="6"/>
      <c r="Q36" s="6"/>
      <c r="R36" s="6" t="str">
        <f t="shared" si="8"/>
        <v/>
      </c>
      <c r="S36" s="6" t="str">
        <f>IF($C36=0,"",RANK(R36,R$10:R$59,1)+COUNTIF(R$10:R36,R36)-1)</f>
        <v/>
      </c>
      <c r="T36" s="6" t="str">
        <f t="shared" si="9"/>
        <v/>
      </c>
      <c r="U36" s="70" t="str">
        <f t="shared" si="10"/>
        <v/>
      </c>
      <c r="V36" s="70" t="str">
        <f t="shared" si="11"/>
        <v/>
      </c>
      <c r="W36" s="70">
        <f t="shared" si="12"/>
        <v>0</v>
      </c>
      <c r="X36" s="69" t="str">
        <f t="shared" si="23"/>
        <v/>
      </c>
      <c r="Y36" s="6" t="str">
        <f t="shared" si="13"/>
        <v/>
      </c>
      <c r="Z36" s="6" t="str">
        <f t="shared" si="34"/>
        <v/>
      </c>
      <c r="AA36" s="6" t="str">
        <f t="shared" si="34"/>
        <v/>
      </c>
      <c r="AB36" s="6" t="str">
        <f t="shared" si="15"/>
        <v/>
      </c>
      <c r="AC36" s="6" t="str">
        <f t="shared" si="16"/>
        <v/>
      </c>
      <c r="AD36" s="6" t="str">
        <f t="shared" si="17"/>
        <v/>
      </c>
      <c r="AE36" s="6" t="str">
        <f t="shared" si="18"/>
        <v/>
      </c>
      <c r="AF36" s="6" t="str">
        <f t="shared" si="19"/>
        <v/>
      </c>
      <c r="AG36" s="6" t="str">
        <f t="shared" si="20"/>
        <v/>
      </c>
      <c r="AH36" s="6" t="str">
        <f t="shared" si="20"/>
        <v/>
      </c>
      <c r="AI36" s="6" t="str">
        <f t="shared" si="20"/>
        <v/>
      </c>
      <c r="AJ36" s="6" t="str">
        <f>IF($T36="","",IF(ISERROR(INDEX(aRank,$T36+1,uxb_works!$B$24)),"",INDEX(aRank,$T36+1,uxb_works!$B$24)))</f>
        <v/>
      </c>
      <c r="AK36" s="6" t="str">
        <f>IF($T36="","",IF(ISERROR(INDEX(aRank,$T36+1,uxb_works!$B$25)),"",INDEX(aRank,$T36+1,uxb_works!$B$25)))</f>
        <v/>
      </c>
      <c r="AL36" s="6" t="str">
        <f>IF($T36="","",IF(ISERROR(INDEX(aRank,$T36+1,uxb_works!$B$26-1)),"",INDEX(aRank,$T36+1,uxb_works!$B$26-1)))</f>
        <v/>
      </c>
      <c r="AM36" s="6" t="str">
        <f>IF($T36="","",IF(ISERROR(INDEX(aRank,$T36+1,uxb_works!$B$27-1)),"",INDEX(aRank,$T36+1,uxb_works!$B$27-1)))</f>
        <v/>
      </c>
      <c r="AN36" s="6"/>
      <c r="AO36" s="14" t="str">
        <f>IF(T36="","",INDEX(tblIndicators!$H$3:$H$66,iCCompare!T36))</f>
        <v/>
      </c>
      <c r="AP36" s="6" t="str">
        <f t="shared" si="24"/>
        <v/>
      </c>
      <c r="AQ36" s="6" t="str">
        <f t="shared" si="25"/>
        <v/>
      </c>
      <c r="AR36" s="6" t="str">
        <f t="shared" si="26"/>
        <v/>
      </c>
      <c r="AS36" s="6" t="str">
        <f t="shared" si="27"/>
        <v/>
      </c>
      <c r="AT36" s="6">
        <v>3</v>
      </c>
      <c r="AU36" s="6"/>
      <c r="AV36" s="28" t="str">
        <f>IF(T36="","",INDEX(tblIndicators!$V$3:$V$52,iCCompare!T36))</f>
        <v/>
      </c>
      <c r="AW36" s="28">
        <f t="shared" si="28"/>
        <v>0</v>
      </c>
      <c r="AX36" s="28">
        <f t="shared" si="29"/>
        <v>0</v>
      </c>
      <c r="AZ36" s="6" t="str">
        <f>IF($T36="","",IF(ISERROR(INDEX(aRankNumbers,$T36+1,uxb_works!$B$24)),"",INDEX(aRankNumbers,$T36+1,uxb_works!$B$24)))</f>
        <v/>
      </c>
      <c r="BA36" s="6" t="str">
        <f>IF($T36="","",IF(ISERROR(INDEX(aRankNumbers,$T36+1,uxb_works!$B$25)),"",INDEX(aRankNumbers,$T36+1,uxb_works!$B$25)))</f>
        <v/>
      </c>
      <c r="BB36" s="6" t="str">
        <f>IF($T36="","",IF(ISERROR(INDEX(aRankNumbers,$T36+1,uxb_works!$B$26-1)),"",INDEX(aRankNumbers,$T36+1,uxb_works!$B$26-1)))</f>
        <v/>
      </c>
      <c r="BC36" s="6" t="str">
        <f>IF($T36="","",IF(ISERROR(INDEX(aRankNumbers,$T36+1,uxb_works!$B$27-1)),"",INDEX(aRankNumbers,$T36+1,uxb_works!$B$27-1)))</f>
        <v/>
      </c>
      <c r="BE36" s="28">
        <f t="shared" si="30"/>
        <v>0</v>
      </c>
      <c r="BF36" s="28">
        <f t="shared" si="31"/>
        <v>0</v>
      </c>
      <c r="BG36" s="28">
        <f t="shared" si="32"/>
        <v>0</v>
      </c>
      <c r="BH36" s="28">
        <f t="shared" si="33"/>
        <v>0</v>
      </c>
    </row>
    <row r="37" spans="1:60" s="28" customFormat="1">
      <c r="A37" s="6">
        <f>tblCategories!A30</f>
        <v>28</v>
      </c>
      <c r="B37" s="6" t="str">
        <f>tblCategories!D30</f>
        <v>2.2) Organizaciones comerciales</v>
      </c>
      <c r="C37" s="6">
        <f>tblCategories!F30</f>
        <v>0</v>
      </c>
      <c r="D37" s="6">
        <v>1</v>
      </c>
      <c r="E37" s="6">
        <f t="shared" ca="1" si="0"/>
        <v>16.666666666666664</v>
      </c>
      <c r="F37" s="6" t="str">
        <f t="shared" si="1"/>
        <v/>
      </c>
      <c r="G37" s="6">
        <f t="shared" ca="1" si="2"/>
        <v>38.888888888888886</v>
      </c>
      <c r="H37" s="6" t="str">
        <f t="shared" si="3"/>
        <v/>
      </c>
      <c r="I37" s="6" t="e">
        <f t="shared" si="4"/>
        <v>#VALUE!</v>
      </c>
      <c r="J37" s="6" t="str">
        <f t="shared" si="5"/>
        <v/>
      </c>
      <c r="K37" s="6" t="e">
        <f t="shared" si="6"/>
        <v>#VALUE!</v>
      </c>
      <c r="L37" s="6" t="str">
        <f t="shared" si="7"/>
        <v/>
      </c>
      <c r="M37" s="6">
        <f ca="1">rScores!Z30</f>
        <v>35.183333333333337</v>
      </c>
      <c r="N37" s="6">
        <f>tblIndicators!F30</f>
        <v>2</v>
      </c>
      <c r="O37" s="6"/>
      <c r="P37" s="6"/>
      <c r="Q37" s="6"/>
      <c r="R37" s="6" t="str">
        <f t="shared" si="8"/>
        <v/>
      </c>
      <c r="S37" s="6" t="str">
        <f>IF($C37=0,"",RANK(R37,R$10:R$59,1)+COUNTIF(R$10:R37,R37)-1)</f>
        <v/>
      </c>
      <c r="T37" s="6" t="str">
        <f t="shared" si="9"/>
        <v/>
      </c>
      <c r="U37" s="70" t="str">
        <f t="shared" si="10"/>
        <v/>
      </c>
      <c r="V37" s="70" t="str">
        <f t="shared" si="11"/>
        <v/>
      </c>
      <c r="W37" s="70">
        <f t="shared" si="12"/>
        <v>0</v>
      </c>
      <c r="X37" s="69" t="str">
        <f t="shared" si="23"/>
        <v/>
      </c>
      <c r="Y37" s="6" t="str">
        <f t="shared" si="13"/>
        <v/>
      </c>
      <c r="Z37" s="6" t="str">
        <f t="shared" si="34"/>
        <v/>
      </c>
      <c r="AA37" s="6" t="str">
        <f t="shared" si="34"/>
        <v/>
      </c>
      <c r="AB37" s="6" t="str">
        <f t="shared" si="15"/>
        <v/>
      </c>
      <c r="AC37" s="6" t="str">
        <f t="shared" si="16"/>
        <v/>
      </c>
      <c r="AD37" s="6" t="str">
        <f t="shared" si="17"/>
        <v/>
      </c>
      <c r="AE37" s="6" t="str">
        <f t="shared" si="18"/>
        <v/>
      </c>
      <c r="AF37" s="6" t="str">
        <f t="shared" si="19"/>
        <v/>
      </c>
      <c r="AG37" s="6" t="str">
        <f t="shared" si="20"/>
        <v/>
      </c>
      <c r="AH37" s="6" t="str">
        <f t="shared" si="20"/>
        <v/>
      </c>
      <c r="AI37" s="6" t="str">
        <f t="shared" si="20"/>
        <v/>
      </c>
      <c r="AJ37" s="6" t="str">
        <f>IF($T37="","",IF(ISERROR(INDEX(aRank,$T37+1,uxb_works!$B$24)),"",INDEX(aRank,$T37+1,uxb_works!$B$24)))</f>
        <v/>
      </c>
      <c r="AK37" s="6" t="str">
        <f>IF($T37="","",IF(ISERROR(INDEX(aRank,$T37+1,uxb_works!$B$25)),"",INDEX(aRank,$T37+1,uxb_works!$B$25)))</f>
        <v/>
      </c>
      <c r="AL37" s="6" t="str">
        <f>IF($T37="","",IF(ISERROR(INDEX(aRank,$T37+1,uxb_works!$B$26-1)),"",INDEX(aRank,$T37+1,uxb_works!$B$26-1)))</f>
        <v/>
      </c>
      <c r="AM37" s="6" t="str">
        <f>IF($T37="","",IF(ISERROR(INDEX(aRank,$T37+1,uxb_works!$B$27-1)),"",INDEX(aRank,$T37+1,uxb_works!$B$27-1)))</f>
        <v/>
      </c>
      <c r="AN37" s="6"/>
      <c r="AO37" s="14" t="str">
        <f>IF(T37="","",INDEX(tblIndicators!$H$3:$H$66,iCCompare!T37))</f>
        <v/>
      </c>
      <c r="AP37" s="6" t="str">
        <f t="shared" si="24"/>
        <v/>
      </c>
      <c r="AQ37" s="6" t="str">
        <f t="shared" si="25"/>
        <v/>
      </c>
      <c r="AR37" s="6" t="str">
        <f t="shared" si="26"/>
        <v/>
      </c>
      <c r="AS37" s="6" t="str">
        <f t="shared" si="27"/>
        <v/>
      </c>
      <c r="AT37" s="6">
        <v>3</v>
      </c>
      <c r="AU37" s="6"/>
      <c r="AV37" s="28" t="str">
        <f>IF(T37="","",INDEX(tblIndicators!$V$3:$V$52,iCCompare!T37))</f>
        <v/>
      </c>
      <c r="AW37" s="28">
        <f t="shared" si="28"/>
        <v>0</v>
      </c>
      <c r="AX37" s="28">
        <f t="shared" si="29"/>
        <v>0</v>
      </c>
      <c r="AZ37" s="6" t="str">
        <f>IF($T37="","",IF(ISERROR(INDEX(aRankNumbers,$T37+1,uxb_works!$B$24)),"",INDEX(aRankNumbers,$T37+1,uxb_works!$B$24)))</f>
        <v/>
      </c>
      <c r="BA37" s="6" t="str">
        <f>IF($T37="","",IF(ISERROR(INDEX(aRankNumbers,$T37+1,uxb_works!$B$25)),"",INDEX(aRankNumbers,$T37+1,uxb_works!$B$25)))</f>
        <v/>
      </c>
      <c r="BB37" s="6" t="str">
        <f>IF($T37="","",IF(ISERROR(INDEX(aRankNumbers,$T37+1,uxb_works!$B$26-1)),"",INDEX(aRankNumbers,$T37+1,uxb_works!$B$26-1)))</f>
        <v/>
      </c>
      <c r="BC37" s="6" t="str">
        <f>IF($T37="","",IF(ISERROR(INDEX(aRankNumbers,$T37+1,uxb_works!$B$27-1)),"",INDEX(aRankNumbers,$T37+1,uxb_works!$B$27-1)))</f>
        <v/>
      </c>
      <c r="BE37" s="28">
        <f t="shared" si="30"/>
        <v>0</v>
      </c>
      <c r="BF37" s="28">
        <f t="shared" si="31"/>
        <v>0</v>
      </c>
      <c r="BG37" s="28">
        <f t="shared" si="32"/>
        <v>0</v>
      </c>
      <c r="BH37" s="28">
        <f t="shared" si="33"/>
        <v>0</v>
      </c>
    </row>
    <row r="38" spans="1:60" s="28" customFormat="1">
      <c r="A38" s="6">
        <f>tblCategories!A31</f>
        <v>29</v>
      </c>
      <c r="B38" s="6" t="str">
        <f>tblCategories!D31</f>
        <v xml:space="preserve">2.2.1) 21.¿Existen organizaciones de recicladores con actividad comercial en el municipio (cooperativas y/o microempresas)? </v>
      </c>
      <c r="C38" s="6">
        <f>tblCategories!F31</f>
        <v>0</v>
      </c>
      <c r="D38" s="6">
        <v>1</v>
      </c>
      <c r="E38" s="6">
        <f t="shared" ca="1" si="0"/>
        <v>50</v>
      </c>
      <c r="F38" s="6">
        <f t="shared" si="1"/>
        <v>1</v>
      </c>
      <c r="G38" s="6">
        <f t="shared" ca="1" si="2"/>
        <v>0</v>
      </c>
      <c r="H38" s="6">
        <f t="shared" si="3"/>
        <v>0</v>
      </c>
      <c r="I38" s="6" t="e">
        <f t="shared" si="4"/>
        <v>#VALUE!</v>
      </c>
      <c r="J38" s="6">
        <f t="shared" si="5"/>
        <v>1</v>
      </c>
      <c r="K38" s="6" t="e">
        <f t="shared" si="6"/>
        <v>#VALUE!</v>
      </c>
      <c r="L38" s="6">
        <f t="shared" si="7"/>
        <v>2</v>
      </c>
      <c r="M38" s="6">
        <f ca="1">rScores!Z31</f>
        <v>50</v>
      </c>
      <c r="N38" s="6">
        <f>tblIndicators!F31</f>
        <v>3</v>
      </c>
      <c r="O38" s="6"/>
      <c r="P38" s="6"/>
      <c r="Q38" s="6"/>
      <c r="R38" s="6" t="str">
        <f t="shared" si="8"/>
        <v/>
      </c>
      <c r="S38" s="6" t="str">
        <f>IF($C38=0,"",RANK(R38,R$10:R$59,1)+COUNTIF(R$10:R38,R38)-1)</f>
        <v/>
      </c>
      <c r="T38" s="6" t="str">
        <f t="shared" si="9"/>
        <v/>
      </c>
      <c r="U38" s="70" t="str">
        <f t="shared" si="10"/>
        <v/>
      </c>
      <c r="V38" s="70" t="str">
        <f t="shared" si="11"/>
        <v/>
      </c>
      <c r="W38" s="70">
        <f t="shared" si="12"/>
        <v>0</v>
      </c>
      <c r="X38" s="69" t="str">
        <f t="shared" si="23"/>
        <v/>
      </c>
      <c r="Y38" s="6" t="str">
        <f t="shared" si="13"/>
        <v/>
      </c>
      <c r="Z38" s="6" t="str">
        <f t="shared" si="34"/>
        <v/>
      </c>
      <c r="AA38" s="6" t="str">
        <f t="shared" si="34"/>
        <v/>
      </c>
      <c r="AB38" s="6" t="str">
        <f t="shared" si="15"/>
        <v/>
      </c>
      <c r="AC38" s="6" t="str">
        <f t="shared" si="16"/>
        <v/>
      </c>
      <c r="AD38" s="6" t="str">
        <f t="shared" si="17"/>
        <v/>
      </c>
      <c r="AE38" s="6" t="str">
        <f t="shared" si="18"/>
        <v/>
      </c>
      <c r="AF38" s="6" t="str">
        <f t="shared" si="19"/>
        <v/>
      </c>
      <c r="AG38" s="6" t="str">
        <f t="shared" si="20"/>
        <v/>
      </c>
      <c r="AH38" s="6" t="str">
        <f t="shared" si="20"/>
        <v/>
      </c>
      <c r="AI38" s="6" t="str">
        <f t="shared" si="20"/>
        <v/>
      </c>
      <c r="AJ38" s="6" t="str">
        <f>IF($T38="","",IF(ISERROR(INDEX(aRank,$T38+1,uxb_works!$B$24)),"",INDEX(aRank,$T38+1,uxb_works!$B$24)))</f>
        <v/>
      </c>
      <c r="AK38" s="6" t="str">
        <f>IF($T38="","",IF(ISERROR(INDEX(aRank,$T38+1,uxb_works!$B$25)),"",INDEX(aRank,$T38+1,uxb_works!$B$25)))</f>
        <v/>
      </c>
      <c r="AL38" s="6" t="str">
        <f>IF($T38="","",IF(ISERROR(INDEX(aRank,$T38+1,uxb_works!$B$26-1)),"",INDEX(aRank,$T38+1,uxb_works!$B$26-1)))</f>
        <v/>
      </c>
      <c r="AM38" s="6" t="str">
        <f>IF($T38="","",IF(ISERROR(INDEX(aRank,$T38+1,uxb_works!$B$27-1)),"",INDEX(aRank,$T38+1,uxb_works!$B$27-1)))</f>
        <v/>
      </c>
      <c r="AN38" s="6"/>
      <c r="AO38" s="14" t="str">
        <f>IF(T38="","",INDEX(tblIndicators!$H$3:$H$66,iCCompare!T38))</f>
        <v/>
      </c>
      <c r="AP38" s="6" t="str">
        <f t="shared" si="24"/>
        <v/>
      </c>
      <c r="AQ38" s="6" t="str">
        <f t="shared" si="25"/>
        <v/>
      </c>
      <c r="AR38" s="6" t="str">
        <f t="shared" si="26"/>
        <v/>
      </c>
      <c r="AS38" s="6" t="str">
        <f t="shared" si="27"/>
        <v/>
      </c>
      <c r="AT38" s="6">
        <v>3</v>
      </c>
      <c r="AU38" s="6"/>
      <c r="AV38" s="28" t="str">
        <f>IF(T38="","",INDEX(tblIndicators!$V$3:$V$52,iCCompare!T38))</f>
        <v/>
      </c>
      <c r="AW38" s="28">
        <f t="shared" si="28"/>
        <v>0</v>
      </c>
      <c r="AX38" s="28">
        <f t="shared" si="29"/>
        <v>0</v>
      </c>
      <c r="AZ38" s="6" t="str">
        <f>IF($T38="","",IF(ISERROR(INDEX(aRankNumbers,$T38+1,uxb_works!$B$24)),"",INDEX(aRankNumbers,$T38+1,uxb_works!$B$24)))</f>
        <v/>
      </c>
      <c r="BA38" s="6" t="str">
        <f>IF($T38="","",IF(ISERROR(INDEX(aRankNumbers,$T38+1,uxb_works!$B$25)),"",INDEX(aRankNumbers,$T38+1,uxb_works!$B$25)))</f>
        <v/>
      </c>
      <c r="BB38" s="6" t="str">
        <f>IF($T38="","",IF(ISERROR(INDEX(aRankNumbers,$T38+1,uxb_works!$B$26-1)),"",INDEX(aRankNumbers,$T38+1,uxb_works!$B$26-1)))</f>
        <v/>
      </c>
      <c r="BC38" s="6" t="str">
        <f>IF($T38="","",IF(ISERROR(INDEX(aRankNumbers,$T38+1,uxb_works!$B$27-1)),"",INDEX(aRankNumbers,$T38+1,uxb_works!$B$27-1)))</f>
        <v/>
      </c>
      <c r="BE38" s="28">
        <f t="shared" si="30"/>
        <v>0</v>
      </c>
      <c r="BF38" s="28">
        <f t="shared" si="31"/>
        <v>0</v>
      </c>
      <c r="BG38" s="28">
        <f t="shared" si="32"/>
        <v>0</v>
      </c>
      <c r="BH38" s="28">
        <f t="shared" si="33"/>
        <v>0</v>
      </c>
    </row>
    <row r="39" spans="1:60" s="28" customFormat="1">
      <c r="A39" s="6">
        <f>tblCategories!A32</f>
        <v>30</v>
      </c>
      <c r="B39" s="6" t="str">
        <f>tblCategories!D32</f>
        <v>2.2.2) 22.¿Cuál es el nivel de participación de las organizaciones de recicladores en la cadena de valor del reciclaje?</v>
      </c>
      <c r="C39" s="6">
        <f>tblCategories!F32</f>
        <v>0</v>
      </c>
      <c r="D39" s="6">
        <v>1</v>
      </c>
      <c r="E39" s="6">
        <f t="shared" ca="1" si="0"/>
        <v>0</v>
      </c>
      <c r="F39" s="6">
        <f t="shared" si="1"/>
        <v>0</v>
      </c>
      <c r="G39" s="6">
        <f t="shared" ca="1" si="2"/>
        <v>50</v>
      </c>
      <c r="H39" s="6">
        <f t="shared" si="3"/>
        <v>1</v>
      </c>
      <c r="I39" s="6" t="e">
        <f t="shared" si="4"/>
        <v>#VALUE!</v>
      </c>
      <c r="J39" s="6">
        <f t="shared" si="5"/>
        <v>0</v>
      </c>
      <c r="K39" s="6" t="e">
        <f t="shared" si="6"/>
        <v>#VALUE!</v>
      </c>
      <c r="L39" s="6">
        <f t="shared" si="7"/>
        <v>2</v>
      </c>
      <c r="M39" s="6">
        <f ca="1">rScores!Z32</f>
        <v>41.666666666666664</v>
      </c>
      <c r="N39" s="6">
        <f>tblIndicators!F32</f>
        <v>3</v>
      </c>
      <c r="O39" s="6"/>
      <c r="P39" s="6"/>
      <c r="Q39" s="6"/>
      <c r="R39" s="6" t="str">
        <f t="shared" si="8"/>
        <v/>
      </c>
      <c r="S39" s="6" t="str">
        <f>IF($C39=0,"",RANK(R39,R$10:R$59,1)+COUNTIF(R$10:R39,R39)-1)</f>
        <v/>
      </c>
      <c r="T39" s="6" t="str">
        <f t="shared" si="9"/>
        <v/>
      </c>
      <c r="U39" s="70" t="str">
        <f t="shared" si="10"/>
        <v/>
      </c>
      <c r="V39" s="70" t="str">
        <f t="shared" si="11"/>
        <v/>
      </c>
      <c r="W39" s="70">
        <f t="shared" si="12"/>
        <v>0</v>
      </c>
      <c r="X39" s="69" t="str">
        <f t="shared" si="23"/>
        <v/>
      </c>
      <c r="Y39" s="6" t="str">
        <f t="shared" si="13"/>
        <v/>
      </c>
      <c r="Z39" s="6" t="str">
        <f t="shared" si="34"/>
        <v/>
      </c>
      <c r="AA39" s="6" t="str">
        <f t="shared" si="34"/>
        <v/>
      </c>
      <c r="AB39" s="6" t="str">
        <f t="shared" si="15"/>
        <v/>
      </c>
      <c r="AC39" s="6" t="str">
        <f t="shared" si="16"/>
        <v/>
      </c>
      <c r="AD39" s="6" t="str">
        <f t="shared" si="17"/>
        <v/>
      </c>
      <c r="AE39" s="6" t="str">
        <f t="shared" si="18"/>
        <v/>
      </c>
      <c r="AF39" s="6" t="str">
        <f t="shared" si="19"/>
        <v/>
      </c>
      <c r="AG39" s="6" t="str">
        <f t="shared" si="20"/>
        <v/>
      </c>
      <c r="AH39" s="6" t="str">
        <f t="shared" si="20"/>
        <v/>
      </c>
      <c r="AI39" s="6" t="str">
        <f t="shared" si="20"/>
        <v/>
      </c>
      <c r="AJ39" s="6" t="str">
        <f>IF($T39="","",IF(ISERROR(INDEX(aRank,$T39+1,uxb_works!$B$24)),"",INDEX(aRank,$T39+1,uxb_works!$B$24)))</f>
        <v/>
      </c>
      <c r="AK39" s="6" t="str">
        <f>IF($T39="","",IF(ISERROR(INDEX(aRank,$T39+1,uxb_works!$B$25)),"",INDEX(aRank,$T39+1,uxb_works!$B$25)))</f>
        <v/>
      </c>
      <c r="AL39" s="6" t="str">
        <f>IF($T39="","",IF(ISERROR(INDEX(aRank,$T39+1,uxb_works!$B$26-1)),"",INDEX(aRank,$T39+1,uxb_works!$B$26-1)))</f>
        <v/>
      </c>
      <c r="AM39" s="6" t="str">
        <f>IF($T39="","",IF(ISERROR(INDEX(aRank,$T39+1,uxb_works!$B$27-1)),"",INDEX(aRank,$T39+1,uxb_works!$B$27-1)))</f>
        <v/>
      </c>
      <c r="AN39" s="6"/>
      <c r="AO39" s="14" t="str">
        <f>IF(T39="","",INDEX(tblIndicators!$H$3:$H$66,iCCompare!T39))</f>
        <v/>
      </c>
      <c r="AP39" s="6" t="str">
        <f t="shared" si="24"/>
        <v/>
      </c>
      <c r="AQ39" s="6" t="str">
        <f t="shared" si="25"/>
        <v/>
      </c>
      <c r="AR39" s="6" t="str">
        <f t="shared" si="26"/>
        <v/>
      </c>
      <c r="AS39" s="6" t="str">
        <f t="shared" si="27"/>
        <v/>
      </c>
      <c r="AT39" s="6">
        <v>3</v>
      </c>
      <c r="AU39" s="6"/>
      <c r="AV39" s="28" t="str">
        <f>IF(T39="","",INDEX(tblIndicators!$V$3:$V$52,iCCompare!T39))</f>
        <v/>
      </c>
      <c r="AW39" s="28">
        <f t="shared" si="28"/>
        <v>0</v>
      </c>
      <c r="AX39" s="28">
        <f t="shared" si="29"/>
        <v>0</v>
      </c>
      <c r="AZ39" s="6" t="str">
        <f>IF($T39="","",IF(ISERROR(INDEX(aRankNumbers,$T39+1,uxb_works!$B$24)),"",INDEX(aRankNumbers,$T39+1,uxb_works!$B$24)))</f>
        <v/>
      </c>
      <c r="BA39" s="6" t="str">
        <f>IF($T39="","",IF(ISERROR(INDEX(aRankNumbers,$T39+1,uxb_works!$B$25)),"",INDEX(aRankNumbers,$T39+1,uxb_works!$B$25)))</f>
        <v/>
      </c>
      <c r="BB39" s="6" t="str">
        <f>IF($T39="","",IF(ISERROR(INDEX(aRankNumbers,$T39+1,uxb_works!$B$26-1)),"",INDEX(aRankNumbers,$T39+1,uxb_works!$B$26-1)))</f>
        <v/>
      </c>
      <c r="BC39" s="6" t="str">
        <f>IF($T39="","",IF(ISERROR(INDEX(aRankNumbers,$T39+1,uxb_works!$B$27-1)),"",INDEX(aRankNumbers,$T39+1,uxb_works!$B$27-1)))</f>
        <v/>
      </c>
      <c r="BE39" s="28">
        <f t="shared" si="30"/>
        <v>0</v>
      </c>
      <c r="BF39" s="28">
        <f t="shared" si="31"/>
        <v>0</v>
      </c>
      <c r="BG39" s="28">
        <f t="shared" si="32"/>
        <v>0</v>
      </c>
      <c r="BH39" s="28">
        <f t="shared" si="33"/>
        <v>0</v>
      </c>
    </row>
    <row r="40" spans="1:60" s="28" customFormat="1">
      <c r="A40" s="6">
        <f>tblCategories!A33</f>
        <v>31</v>
      </c>
      <c r="B40" s="6" t="str">
        <f>tblCategories!D33</f>
        <v>2.2.3) 23. Las organizaciones comerciales de recicladores: ¿Tienen acceso a mecanismos de financiamiento?</v>
      </c>
      <c r="C40" s="6">
        <f>tblCategories!F33</f>
        <v>0</v>
      </c>
      <c r="D40" s="6">
        <v>1</v>
      </c>
      <c r="E40" s="6">
        <f t="shared" ca="1" si="0"/>
        <v>0</v>
      </c>
      <c r="F40" s="6">
        <f t="shared" si="1"/>
        <v>0</v>
      </c>
      <c r="G40" s="6">
        <f t="shared" ca="1" si="2"/>
        <v>66.666666666666657</v>
      </c>
      <c r="H40" s="6">
        <f t="shared" si="3"/>
        <v>2</v>
      </c>
      <c r="I40" s="6" t="e">
        <f t="shared" si="4"/>
        <v>#VALUE!</v>
      </c>
      <c r="J40" s="6">
        <f t="shared" si="5"/>
        <v>0</v>
      </c>
      <c r="K40" s="6" t="e">
        <f t="shared" si="6"/>
        <v>#VALUE!</v>
      </c>
      <c r="L40" s="6">
        <f t="shared" si="7"/>
        <v>2</v>
      </c>
      <c r="M40" s="6">
        <f ca="1">rScores!Z33</f>
        <v>13.891666666666666</v>
      </c>
      <c r="N40" s="6">
        <f>tblIndicators!F33</f>
        <v>3</v>
      </c>
      <c r="O40" s="6"/>
      <c r="P40" s="6"/>
      <c r="Q40" s="6"/>
      <c r="R40" s="6" t="str">
        <f t="shared" si="8"/>
        <v/>
      </c>
      <c r="S40" s="6" t="str">
        <f>IF($C40=0,"",RANK(R40,R$10:R$59,1)+COUNTIF(R$10:R40,R40)-1)</f>
        <v/>
      </c>
      <c r="T40" s="6" t="str">
        <f t="shared" si="9"/>
        <v/>
      </c>
      <c r="U40" s="70" t="str">
        <f t="shared" si="10"/>
        <v/>
      </c>
      <c r="V40" s="70" t="str">
        <f t="shared" si="11"/>
        <v/>
      </c>
      <c r="W40" s="70">
        <f t="shared" si="12"/>
        <v>0</v>
      </c>
      <c r="X40" s="69" t="str">
        <f t="shared" si="23"/>
        <v/>
      </c>
      <c r="Y40" s="6" t="str">
        <f t="shared" si="13"/>
        <v/>
      </c>
      <c r="Z40" s="6" t="str">
        <f t="shared" si="34"/>
        <v/>
      </c>
      <c r="AA40" s="6" t="str">
        <f t="shared" si="34"/>
        <v/>
      </c>
      <c r="AB40" s="6" t="str">
        <f t="shared" si="15"/>
        <v/>
      </c>
      <c r="AC40" s="6" t="str">
        <f t="shared" si="16"/>
        <v/>
      </c>
      <c r="AD40" s="6" t="str">
        <f t="shared" si="17"/>
        <v/>
      </c>
      <c r="AE40" s="6" t="str">
        <f t="shared" si="18"/>
        <v/>
      </c>
      <c r="AF40" s="6" t="str">
        <f t="shared" si="19"/>
        <v/>
      </c>
      <c r="AG40" s="6" t="str">
        <f t="shared" si="20"/>
        <v/>
      </c>
      <c r="AH40" s="6" t="str">
        <f t="shared" si="20"/>
        <v/>
      </c>
      <c r="AI40" s="6" t="str">
        <f t="shared" si="20"/>
        <v/>
      </c>
      <c r="AJ40" s="6" t="str">
        <f>IF($T40="","",IF(ISERROR(INDEX(aRank,$T40+1,uxb_works!$B$24)),"",INDEX(aRank,$T40+1,uxb_works!$B$24)))</f>
        <v/>
      </c>
      <c r="AK40" s="6" t="str">
        <f>IF($T40="","",IF(ISERROR(INDEX(aRank,$T40+1,uxb_works!$B$25)),"",INDEX(aRank,$T40+1,uxb_works!$B$25)))</f>
        <v/>
      </c>
      <c r="AL40" s="6" t="str">
        <f>IF($T40="","",IF(ISERROR(INDEX(aRank,$T40+1,uxb_works!$B$26-1)),"",INDEX(aRank,$T40+1,uxb_works!$B$26-1)))</f>
        <v/>
      </c>
      <c r="AM40" s="6" t="str">
        <f>IF($T40="","",IF(ISERROR(INDEX(aRank,$T40+1,uxb_works!$B$27-1)),"",INDEX(aRank,$T40+1,uxb_works!$B$27-1)))</f>
        <v/>
      </c>
      <c r="AN40" s="6"/>
      <c r="AO40" s="14" t="str">
        <f>IF(T40="","",INDEX(tblIndicators!$H$3:$H$66,iCCompare!T40))</f>
        <v/>
      </c>
      <c r="AP40" s="6" t="str">
        <f t="shared" si="24"/>
        <v/>
      </c>
      <c r="AQ40" s="6" t="str">
        <f t="shared" si="25"/>
        <v/>
      </c>
      <c r="AR40" s="6" t="str">
        <f t="shared" si="26"/>
        <v/>
      </c>
      <c r="AS40" s="6" t="str">
        <f t="shared" si="27"/>
        <v/>
      </c>
      <c r="AT40" s="6">
        <v>3</v>
      </c>
      <c r="AU40" s="6"/>
      <c r="AV40" s="28" t="str">
        <f>IF(T40="","",INDEX(tblIndicators!$V$3:$V$52,iCCompare!T40))</f>
        <v/>
      </c>
      <c r="AW40" s="28">
        <f t="shared" si="28"/>
        <v>0</v>
      </c>
      <c r="AX40" s="28">
        <f t="shared" si="29"/>
        <v>0</v>
      </c>
      <c r="AZ40" s="6" t="str">
        <f>IF($T40="","",IF(ISERROR(INDEX(aRankNumbers,$T40+1,uxb_works!$B$24)),"",INDEX(aRankNumbers,$T40+1,uxb_works!$B$24)))</f>
        <v/>
      </c>
      <c r="BA40" s="6" t="str">
        <f>IF($T40="","",IF(ISERROR(INDEX(aRankNumbers,$T40+1,uxb_works!$B$25)),"",INDEX(aRankNumbers,$T40+1,uxb_works!$B$25)))</f>
        <v/>
      </c>
      <c r="BB40" s="6" t="str">
        <f>IF($T40="","",IF(ISERROR(INDEX(aRankNumbers,$T40+1,uxb_works!$B$26-1)),"",INDEX(aRankNumbers,$T40+1,uxb_works!$B$26-1)))</f>
        <v/>
      </c>
      <c r="BC40" s="6" t="str">
        <f>IF($T40="","",IF(ISERROR(INDEX(aRankNumbers,$T40+1,uxb_works!$B$27-1)),"",INDEX(aRankNumbers,$T40+1,uxb_works!$B$27-1)))</f>
        <v/>
      </c>
      <c r="BE40" s="28">
        <f t="shared" si="30"/>
        <v>0</v>
      </c>
      <c r="BF40" s="28">
        <f t="shared" si="31"/>
        <v>0</v>
      </c>
      <c r="BG40" s="28">
        <f t="shared" si="32"/>
        <v>0</v>
      </c>
      <c r="BH40" s="28">
        <f t="shared" si="33"/>
        <v>0</v>
      </c>
    </row>
    <row r="41" spans="1:60" s="28" customFormat="1">
      <c r="A41" s="6">
        <f>tblCategories!A34</f>
        <v>32</v>
      </c>
      <c r="B41" s="6" t="str">
        <f>tblCategories!D34</f>
        <v>3) MERCADO</v>
      </c>
      <c r="C41" s="6">
        <f>tblCategories!F34</f>
        <v>0</v>
      </c>
      <c r="D41" s="6">
        <v>1</v>
      </c>
      <c r="E41" s="6">
        <f t="shared" ca="1" si="0"/>
        <v>27.448964052231986</v>
      </c>
      <c r="F41" s="6" t="str">
        <f t="shared" si="1"/>
        <v/>
      </c>
      <c r="G41" s="6">
        <f t="shared" ca="1" si="2"/>
        <v>55.437108967208651</v>
      </c>
      <c r="H41" s="6" t="str">
        <f t="shared" si="3"/>
        <v/>
      </c>
      <c r="I41" s="6" t="e">
        <f t="shared" si="4"/>
        <v>#VALUE!</v>
      </c>
      <c r="J41" s="6" t="str">
        <f t="shared" si="5"/>
        <v/>
      </c>
      <c r="K41" s="6" t="e">
        <f t="shared" si="6"/>
        <v>#VALUE!</v>
      </c>
      <c r="L41" s="6" t="str">
        <f t="shared" si="7"/>
        <v/>
      </c>
      <c r="M41" s="6">
        <f ca="1">rScores!Z34</f>
        <v>49.908333333333324</v>
      </c>
      <c r="N41" s="6">
        <f>tblIndicators!F34</f>
        <v>1</v>
      </c>
      <c r="O41" s="6"/>
      <c r="P41" s="6"/>
      <c r="Q41" s="6"/>
      <c r="R41" s="6" t="str">
        <f t="shared" si="8"/>
        <v/>
      </c>
      <c r="S41" s="6" t="str">
        <f>IF($C41=0,"",RANK(R41,R$10:R$59,1)+COUNTIF(R$10:R41,R41)-1)</f>
        <v/>
      </c>
      <c r="T41" s="6" t="str">
        <f t="shared" si="9"/>
        <v/>
      </c>
      <c r="U41" s="70" t="str">
        <f t="shared" si="10"/>
        <v/>
      </c>
      <c r="V41" s="70" t="str">
        <f t="shared" si="11"/>
        <v/>
      </c>
      <c r="W41" s="70">
        <f t="shared" si="12"/>
        <v>0</v>
      </c>
      <c r="X41" s="69" t="str">
        <f t="shared" si="23"/>
        <v/>
      </c>
      <c r="Y41" s="6" t="str">
        <f t="shared" si="13"/>
        <v/>
      </c>
      <c r="Z41" s="6" t="str">
        <f t="shared" si="34"/>
        <v/>
      </c>
      <c r="AA41" s="6" t="str">
        <f t="shared" si="34"/>
        <v/>
      </c>
      <c r="AB41" s="6" t="str">
        <f t="shared" si="15"/>
        <v/>
      </c>
      <c r="AC41" s="6" t="str">
        <f t="shared" si="16"/>
        <v/>
      </c>
      <c r="AD41" s="6" t="str">
        <f t="shared" si="17"/>
        <v/>
      </c>
      <c r="AE41" s="6" t="str">
        <f t="shared" si="18"/>
        <v/>
      </c>
      <c r="AF41" s="6" t="str">
        <f t="shared" si="19"/>
        <v/>
      </c>
      <c r="AG41" s="6" t="str">
        <f t="shared" si="20"/>
        <v/>
      </c>
      <c r="AH41" s="6" t="str">
        <f t="shared" si="20"/>
        <v/>
      </c>
      <c r="AI41" s="6" t="str">
        <f t="shared" si="20"/>
        <v/>
      </c>
      <c r="AJ41" s="6" t="str">
        <f>IF($T41="","",IF(ISERROR(INDEX(aRank,$T41+1,uxb_works!$B$24)),"",INDEX(aRank,$T41+1,uxb_works!$B$24)))</f>
        <v/>
      </c>
      <c r="AK41" s="6" t="str">
        <f>IF($T41="","",IF(ISERROR(INDEX(aRank,$T41+1,uxb_works!$B$25)),"",INDEX(aRank,$T41+1,uxb_works!$B$25)))</f>
        <v/>
      </c>
      <c r="AL41" s="6" t="str">
        <f>IF($T41="","",IF(ISERROR(INDEX(aRank,$T41+1,uxb_works!$B$26-1)),"",INDEX(aRank,$T41+1,uxb_works!$B$26-1)))</f>
        <v/>
      </c>
      <c r="AM41" s="6" t="str">
        <f>IF($T41="","",IF(ISERROR(INDEX(aRank,$T41+1,uxb_works!$B$27-1)),"",INDEX(aRank,$T41+1,uxb_works!$B$27-1)))</f>
        <v/>
      </c>
      <c r="AN41" s="6"/>
      <c r="AO41" s="14" t="str">
        <f>IF(T41="","",INDEX(tblIndicators!$H$3:$H$66,iCCompare!T41))</f>
        <v/>
      </c>
      <c r="AP41" s="6" t="str">
        <f t="shared" si="24"/>
        <v/>
      </c>
      <c r="AQ41" s="6" t="str">
        <f t="shared" si="25"/>
        <v/>
      </c>
      <c r="AR41" s="6" t="str">
        <f t="shared" si="26"/>
        <v/>
      </c>
      <c r="AS41" s="6" t="str">
        <f t="shared" si="27"/>
        <v/>
      </c>
      <c r="AT41" s="6">
        <v>3</v>
      </c>
      <c r="AU41" s="6"/>
      <c r="AV41" s="28" t="str">
        <f>IF(T41="","",INDEX(tblIndicators!$V$3:$V$52,iCCompare!T41))</f>
        <v/>
      </c>
      <c r="AW41" s="28">
        <f t="shared" si="28"/>
        <v>0</v>
      </c>
      <c r="AX41" s="28">
        <f t="shared" si="29"/>
        <v>0</v>
      </c>
      <c r="AZ41" s="6" t="str">
        <f>IF($T41="","",IF(ISERROR(INDEX(aRankNumbers,$T41+1,uxb_works!$B$24)),"",INDEX(aRankNumbers,$T41+1,uxb_works!$B$24)))</f>
        <v/>
      </c>
      <c r="BA41" s="6" t="str">
        <f>IF($T41="","",IF(ISERROR(INDEX(aRankNumbers,$T41+1,uxb_works!$B$25)),"",INDEX(aRankNumbers,$T41+1,uxb_works!$B$25)))</f>
        <v/>
      </c>
      <c r="BB41" s="6" t="str">
        <f>IF($T41="","",IF(ISERROR(INDEX(aRankNumbers,$T41+1,uxb_works!$B$26-1)),"",INDEX(aRankNumbers,$T41+1,uxb_works!$B$26-1)))</f>
        <v/>
      </c>
      <c r="BC41" s="6" t="str">
        <f>IF($T41="","",IF(ISERROR(INDEX(aRankNumbers,$T41+1,uxb_works!$B$27-1)),"",INDEX(aRankNumbers,$T41+1,uxb_works!$B$27-1)))</f>
        <v/>
      </c>
      <c r="BE41" s="28">
        <f t="shared" si="30"/>
        <v>0</v>
      </c>
      <c r="BF41" s="28">
        <f t="shared" si="31"/>
        <v>0</v>
      </c>
      <c r="BG41" s="28">
        <f t="shared" si="32"/>
        <v>0</v>
      </c>
      <c r="BH41" s="28">
        <f t="shared" si="33"/>
        <v>0</v>
      </c>
    </row>
    <row r="42" spans="1:60" s="28" customFormat="1">
      <c r="A42" s="6">
        <f>tblCategories!A35</f>
        <v>33</v>
      </c>
      <c r="B42" s="6" t="str">
        <f>tblCategories!D35</f>
        <v>3.1) Condiciones de acceso y almacenamiento de residuos</v>
      </c>
      <c r="C42" s="6">
        <f>tblCategories!F35</f>
        <v>0</v>
      </c>
      <c r="D42" s="6">
        <v>1</v>
      </c>
      <c r="E42" s="6">
        <f t="shared" ca="1" si="0"/>
        <v>8.3333333333333321</v>
      </c>
      <c r="F42" s="6" t="str">
        <f t="shared" si="1"/>
        <v/>
      </c>
      <c r="G42" s="6">
        <f t="shared" ca="1" si="2"/>
        <v>58.333333333333329</v>
      </c>
      <c r="H42" s="6" t="str">
        <f t="shared" si="3"/>
        <v/>
      </c>
      <c r="I42" s="6" t="e">
        <f t="shared" si="4"/>
        <v>#VALUE!</v>
      </c>
      <c r="J42" s="6" t="str">
        <f t="shared" si="5"/>
        <v/>
      </c>
      <c r="K42" s="6" t="e">
        <f t="shared" si="6"/>
        <v>#VALUE!</v>
      </c>
      <c r="L42" s="6" t="str">
        <f t="shared" si="7"/>
        <v/>
      </c>
      <c r="M42" s="6">
        <f ca="1">rScores!Z35</f>
        <v>43.733333333333341</v>
      </c>
      <c r="N42" s="6">
        <f>tblIndicators!F35</f>
        <v>2</v>
      </c>
      <c r="O42" s="6"/>
      <c r="P42" s="6"/>
      <c r="Q42" s="6"/>
      <c r="R42" s="6" t="str">
        <f t="shared" ref="R42:R59" si="35">IF($C42=0,"",(INDEX($D$10:$H$59,$A42,R$8)))</f>
        <v/>
      </c>
      <c r="S42" s="6" t="str">
        <f>IF($C42=0,"",RANK(R42,R$10:R$59,1)+COUNTIF(R$10:R42,R42)-1)</f>
        <v/>
      </c>
      <c r="T42" s="6" t="str">
        <f t="shared" ref="T42:T59" si="36">IF(ISERROR(MATCH($A42,S$10:S$59,0)),"",MATCH($A42,S$10:S$59,0))</f>
        <v/>
      </c>
      <c r="U42" s="70" t="str">
        <f t="shared" ref="U42:U59" si="37">IF(T42="","",RANK(Z42,Z$10:Z$59,0))</f>
        <v/>
      </c>
      <c r="V42" s="70" t="str">
        <f t="shared" ref="V42:V59" si="38">IF(T42="","",COUNTIF(Z$10:Z$59,Z42))</f>
        <v/>
      </c>
      <c r="W42" s="70">
        <f t="shared" ref="W42:W59" si="39">IF(T42="",0,INDEX($D$10:$D$59,T42))</f>
        <v>0</v>
      </c>
      <c r="X42" s="69" t="str">
        <f t="shared" si="23"/>
        <v/>
      </c>
      <c r="Y42" s="6" t="str">
        <f t="shared" ref="Y42:Y59" si="40">IF($T42="","",INDEX($B$10:$H$59,$T42,Y$8))</f>
        <v/>
      </c>
      <c r="Z42" s="6" t="str">
        <f t="shared" si="34"/>
        <v/>
      </c>
      <c r="AA42" s="6" t="str">
        <f t="shared" si="34"/>
        <v/>
      </c>
      <c r="AB42" s="6" t="str">
        <f t="shared" ref="AB42:AB59" si="41">IF($T42="","",INDEX($E$10:$L$59,$T42,AB$8))</f>
        <v/>
      </c>
      <c r="AC42" s="6" t="str">
        <f t="shared" ref="AC42:AC59" si="42">IF($T42="","",INDEX($E$10:$P$59,$T42,AC$8))</f>
        <v/>
      </c>
      <c r="AD42" s="6" t="str">
        <f t="shared" ref="AD42:AD59" si="43">IF($T42="","",INDEX($E$10:$L$59,$T42,AD$8))</f>
        <v/>
      </c>
      <c r="AE42" s="6" t="str">
        <f t="shared" ref="AE42:AE59" si="44">IF($T42="","",INDEX($E$10:$P$59,$T42,AE$8))</f>
        <v/>
      </c>
      <c r="AF42" s="6" t="str">
        <f t="shared" ref="AF42:AF59" si="45">IF($T42="","",INDEX($E$10:$L$59,$T42,AF$8))</f>
        <v/>
      </c>
      <c r="AG42" s="6" t="str">
        <f t="shared" ref="AG42:AI59" si="46">IF($T42="","",INDEX($E$10:$P$59,$T42,AG$8))</f>
        <v/>
      </c>
      <c r="AH42" s="6" t="str">
        <f t="shared" si="46"/>
        <v/>
      </c>
      <c r="AI42" s="6" t="str">
        <f t="shared" si="46"/>
        <v/>
      </c>
      <c r="AJ42" s="6" t="str">
        <f>IF($T42="","",IF(ISERROR(INDEX(aRank,$T42+1,uxb_works!$B$24)),"",INDEX(aRank,$T42+1,uxb_works!$B$24)))</f>
        <v/>
      </c>
      <c r="AK42" s="6" t="str">
        <f>IF($T42="","",IF(ISERROR(INDEX(aRank,$T42+1,uxb_works!$B$25)),"",INDEX(aRank,$T42+1,uxb_works!$B$25)))</f>
        <v/>
      </c>
      <c r="AL42" s="6" t="str">
        <f>IF($T42="","",IF(ISERROR(INDEX(aRank,$T42+1,uxb_works!$B$26-1)),"",INDEX(aRank,$T42+1,uxb_works!$B$26-1)))</f>
        <v/>
      </c>
      <c r="AM42" s="6" t="str">
        <f>IF($T42="","",IF(ISERROR(INDEX(aRank,$T42+1,uxb_works!$B$27-1)),"",INDEX(aRank,$T42+1,uxb_works!$B$27-1)))</f>
        <v/>
      </c>
      <c r="AN42" s="6"/>
      <c r="AO42" s="14" t="str">
        <f>IF(T42="","",INDEX(tblIndicators!$H$3:$H$66,iCCompare!T42))</f>
        <v/>
      </c>
      <c r="AP42" s="6" t="str">
        <f t="shared" si="24"/>
        <v/>
      </c>
      <c r="AQ42" s="6" t="str">
        <f t="shared" si="25"/>
        <v/>
      </c>
      <c r="AR42" s="6" t="str">
        <f t="shared" si="26"/>
        <v/>
      </c>
      <c r="AS42" s="6" t="str">
        <f t="shared" si="27"/>
        <v/>
      </c>
      <c r="AT42" s="6">
        <v>3</v>
      </c>
      <c r="AU42" s="6"/>
      <c r="AV42" s="28" t="str">
        <f>IF(T42="","",INDEX(tblIndicators!$V$3:$V$52,iCCompare!T42))</f>
        <v/>
      </c>
      <c r="AW42" s="28">
        <f t="shared" si="28"/>
        <v>0</v>
      </c>
      <c r="AX42" s="28">
        <f t="shared" si="29"/>
        <v>0</v>
      </c>
      <c r="AZ42" s="6" t="str">
        <f>IF($T42="","",IF(ISERROR(INDEX(aRankNumbers,$T42+1,uxb_works!$B$24)),"",INDEX(aRankNumbers,$T42+1,uxb_works!$B$24)))</f>
        <v/>
      </c>
      <c r="BA42" s="6" t="str">
        <f>IF($T42="","",IF(ISERROR(INDEX(aRankNumbers,$T42+1,uxb_works!$B$25)),"",INDEX(aRankNumbers,$T42+1,uxb_works!$B$25)))</f>
        <v/>
      </c>
      <c r="BB42" s="6" t="str">
        <f>IF($T42="","",IF(ISERROR(INDEX(aRankNumbers,$T42+1,uxb_works!$B$26-1)),"",INDEX(aRankNumbers,$T42+1,uxb_works!$B$26-1)))</f>
        <v/>
      </c>
      <c r="BC42" s="6" t="str">
        <f>IF($T42="","",IF(ISERROR(INDEX(aRankNumbers,$T42+1,uxb_works!$B$27-1)),"",INDEX(aRankNumbers,$T42+1,uxb_works!$B$27-1)))</f>
        <v/>
      </c>
      <c r="BE42" s="28">
        <f t="shared" si="30"/>
        <v>0</v>
      </c>
      <c r="BF42" s="28">
        <f t="shared" si="31"/>
        <v>0</v>
      </c>
      <c r="BG42" s="28">
        <f t="shared" si="32"/>
        <v>0</v>
      </c>
      <c r="BH42" s="28">
        <f t="shared" si="33"/>
        <v>0</v>
      </c>
    </row>
    <row r="43" spans="1:60" s="28" customFormat="1">
      <c r="A43" s="6">
        <f>tblCategories!A36</f>
        <v>34</v>
      </c>
      <c r="B43" s="6" t="str">
        <f>tblCategories!D36</f>
        <v>3.1.1) 24.¿Cómo es el acceso del material reciclable?</v>
      </c>
      <c r="C43" s="6">
        <f>tblCategories!F36</f>
        <v>0</v>
      </c>
      <c r="D43" s="6">
        <v>1</v>
      </c>
      <c r="E43" s="6">
        <f t="shared" ca="1" si="0"/>
        <v>33.333333333333329</v>
      </c>
      <c r="F43" s="6">
        <f t="shared" si="1"/>
        <v>1</v>
      </c>
      <c r="G43" s="6">
        <f t="shared" ca="1" si="2"/>
        <v>33.333333333333329</v>
      </c>
      <c r="H43" s="6">
        <f t="shared" si="3"/>
        <v>1</v>
      </c>
      <c r="I43" s="6" t="e">
        <f t="shared" si="4"/>
        <v>#VALUE!</v>
      </c>
      <c r="J43" s="6">
        <f t="shared" si="5"/>
        <v>1</v>
      </c>
      <c r="K43" s="6" t="e">
        <f t="shared" si="6"/>
        <v>#VALUE!</v>
      </c>
      <c r="L43" s="6">
        <f t="shared" si="7"/>
        <v>3</v>
      </c>
      <c r="M43" s="6">
        <f ca="1">rScores!Z36</f>
        <v>49.983333333333327</v>
      </c>
      <c r="N43" s="6">
        <f>tblIndicators!F36</f>
        <v>3</v>
      </c>
      <c r="O43" s="6"/>
      <c r="P43" s="6"/>
      <c r="Q43" s="6"/>
      <c r="R43" s="6" t="str">
        <f t="shared" si="35"/>
        <v/>
      </c>
      <c r="S43" s="6" t="str">
        <f>IF($C43=0,"",RANK(R43,R$10:R$59,1)+COUNTIF(R$10:R43,R43)-1)</f>
        <v/>
      </c>
      <c r="T43" s="6" t="str">
        <f t="shared" si="36"/>
        <v/>
      </c>
      <c r="U43" s="70" t="str">
        <f t="shared" si="37"/>
        <v/>
      </c>
      <c r="V43" s="70" t="str">
        <f t="shared" si="38"/>
        <v/>
      </c>
      <c r="W43" s="70">
        <f t="shared" si="39"/>
        <v>0</v>
      </c>
      <c r="X43" s="69" t="str">
        <f t="shared" si="23"/>
        <v/>
      </c>
      <c r="Y43" s="6" t="str">
        <f t="shared" si="40"/>
        <v/>
      </c>
      <c r="Z43" s="6" t="str">
        <f t="shared" si="34"/>
        <v/>
      </c>
      <c r="AA43" s="6" t="str">
        <f t="shared" si="34"/>
        <v/>
      </c>
      <c r="AB43" s="6" t="str">
        <f t="shared" si="41"/>
        <v/>
      </c>
      <c r="AC43" s="6" t="str">
        <f t="shared" si="42"/>
        <v/>
      </c>
      <c r="AD43" s="6" t="str">
        <f t="shared" si="43"/>
        <v/>
      </c>
      <c r="AE43" s="6" t="str">
        <f t="shared" si="44"/>
        <v/>
      </c>
      <c r="AF43" s="6" t="str">
        <f t="shared" si="45"/>
        <v/>
      </c>
      <c r="AG43" s="6" t="str">
        <f t="shared" si="46"/>
        <v/>
      </c>
      <c r="AH43" s="6" t="str">
        <f t="shared" si="46"/>
        <v/>
      </c>
      <c r="AI43" s="6" t="str">
        <f t="shared" si="46"/>
        <v/>
      </c>
      <c r="AJ43" s="6" t="str">
        <f>IF($T43="","",IF(ISERROR(INDEX(aRank,$T43+1,uxb_works!$B$24)),"",INDEX(aRank,$T43+1,uxb_works!$B$24)))</f>
        <v/>
      </c>
      <c r="AK43" s="6" t="str">
        <f>IF($T43="","",IF(ISERROR(INDEX(aRank,$T43+1,uxb_works!$B$25)),"",INDEX(aRank,$T43+1,uxb_works!$B$25)))</f>
        <v/>
      </c>
      <c r="AL43" s="6" t="str">
        <f>IF($T43="","",IF(ISERROR(INDEX(aRank,$T43+1,uxb_works!$B$26-1)),"",INDEX(aRank,$T43+1,uxb_works!$B$26-1)))</f>
        <v/>
      </c>
      <c r="AM43" s="6" t="str">
        <f>IF($T43="","",IF(ISERROR(INDEX(aRank,$T43+1,uxb_works!$B$27-1)),"",INDEX(aRank,$T43+1,uxb_works!$B$27-1)))</f>
        <v/>
      </c>
      <c r="AN43" s="6"/>
      <c r="AO43" s="14" t="str">
        <f>IF(T43="","",INDEX(tblIndicators!$H$3:$H$66,iCCompare!T43))</f>
        <v/>
      </c>
      <c r="AP43" s="6" t="str">
        <f t="shared" si="24"/>
        <v/>
      </c>
      <c r="AQ43" s="6" t="str">
        <f t="shared" si="25"/>
        <v/>
      </c>
      <c r="AR43" s="6" t="str">
        <f t="shared" si="26"/>
        <v/>
      </c>
      <c r="AS43" s="6" t="str">
        <f t="shared" si="27"/>
        <v/>
      </c>
      <c r="AT43" s="6">
        <v>3</v>
      </c>
      <c r="AU43" s="6"/>
      <c r="AV43" s="28" t="str">
        <f>IF(T43="","",INDEX(tblIndicators!$V$3:$V$52,iCCompare!T43))</f>
        <v/>
      </c>
      <c r="AW43" s="28">
        <f t="shared" si="28"/>
        <v>0</v>
      </c>
      <c r="AX43" s="28">
        <f t="shared" si="29"/>
        <v>0</v>
      </c>
      <c r="AZ43" s="6" t="str">
        <f>IF($T43="","",IF(ISERROR(INDEX(aRankNumbers,$T43+1,uxb_works!$B$24)),"",INDEX(aRankNumbers,$T43+1,uxb_works!$B$24)))</f>
        <v/>
      </c>
      <c r="BA43" s="6" t="str">
        <f>IF($T43="","",IF(ISERROR(INDEX(aRankNumbers,$T43+1,uxb_works!$B$25)),"",INDEX(aRankNumbers,$T43+1,uxb_works!$B$25)))</f>
        <v/>
      </c>
      <c r="BB43" s="6" t="str">
        <f>IF($T43="","",IF(ISERROR(INDEX(aRankNumbers,$T43+1,uxb_works!$B$26-1)),"",INDEX(aRankNumbers,$T43+1,uxb_works!$B$26-1)))</f>
        <v/>
      </c>
      <c r="BC43" s="6" t="str">
        <f>IF($T43="","",IF(ISERROR(INDEX(aRankNumbers,$T43+1,uxb_works!$B$27-1)),"",INDEX(aRankNumbers,$T43+1,uxb_works!$B$27-1)))</f>
        <v/>
      </c>
      <c r="BE43" s="28">
        <f t="shared" si="30"/>
        <v>0</v>
      </c>
      <c r="BF43" s="28">
        <f t="shared" si="31"/>
        <v>0</v>
      </c>
      <c r="BG43" s="28">
        <f t="shared" si="32"/>
        <v>0</v>
      </c>
      <c r="BH43" s="28">
        <f t="shared" si="33"/>
        <v>0</v>
      </c>
    </row>
    <row r="44" spans="1:60" s="28" customFormat="1">
      <c r="A44" s="6">
        <f>tblCategories!A37</f>
        <v>35</v>
      </c>
      <c r="B44" s="6" t="str">
        <f>tblCategories!D37</f>
        <v>3.1.2) 25.¿Existen esquemas formales de recolección diferenciada de residuos reciclables en el municipio que involucran a recicladores de base?</v>
      </c>
      <c r="C44" s="6">
        <f>tblCategories!F37</f>
        <v>0</v>
      </c>
      <c r="D44" s="6">
        <v>1</v>
      </c>
      <c r="E44" s="6">
        <f t="shared" ca="1" si="0"/>
        <v>0</v>
      </c>
      <c r="F44" s="6">
        <f t="shared" si="1"/>
        <v>0</v>
      </c>
      <c r="G44" s="6">
        <f t="shared" ca="1" si="2"/>
        <v>100</v>
      </c>
      <c r="H44" s="6">
        <f t="shared" si="3"/>
        <v>2</v>
      </c>
      <c r="I44" s="6" t="e">
        <f t="shared" si="4"/>
        <v>#VALUE!</v>
      </c>
      <c r="J44" s="6">
        <f t="shared" si="5"/>
        <v>0</v>
      </c>
      <c r="K44" s="6" t="e">
        <f t="shared" si="6"/>
        <v>#VALUE!</v>
      </c>
      <c r="L44" s="6">
        <f t="shared" si="7"/>
        <v>2</v>
      </c>
      <c r="M44" s="6">
        <f ca="1">rScores!Z37</f>
        <v>45.833333333333336</v>
      </c>
      <c r="N44" s="6">
        <f>tblIndicators!F37</f>
        <v>3</v>
      </c>
      <c r="O44" s="6"/>
      <c r="P44" s="6"/>
      <c r="Q44" s="6"/>
      <c r="R44" s="6" t="str">
        <f t="shared" si="35"/>
        <v/>
      </c>
      <c r="S44" s="6" t="str">
        <f>IF($C44=0,"",RANK(R44,R$10:R$59,1)+COUNTIF(R$10:R44,R44)-1)</f>
        <v/>
      </c>
      <c r="T44" s="6" t="str">
        <f t="shared" si="36"/>
        <v/>
      </c>
      <c r="U44" s="70" t="str">
        <f t="shared" si="37"/>
        <v/>
      </c>
      <c r="V44" s="70" t="str">
        <f t="shared" si="38"/>
        <v/>
      </c>
      <c r="W44" s="70">
        <f t="shared" si="39"/>
        <v>0</v>
      </c>
      <c r="X44" s="69" t="str">
        <f t="shared" si="23"/>
        <v/>
      </c>
      <c r="Y44" s="6" t="str">
        <f t="shared" si="40"/>
        <v/>
      </c>
      <c r="Z44" s="6" t="str">
        <f t="shared" si="34"/>
        <v/>
      </c>
      <c r="AA44" s="6" t="str">
        <f t="shared" si="34"/>
        <v/>
      </c>
      <c r="AB44" s="6" t="str">
        <f t="shared" si="41"/>
        <v/>
      </c>
      <c r="AC44" s="6" t="str">
        <f t="shared" si="42"/>
        <v/>
      </c>
      <c r="AD44" s="6" t="str">
        <f t="shared" si="43"/>
        <v/>
      </c>
      <c r="AE44" s="6" t="str">
        <f t="shared" si="44"/>
        <v/>
      </c>
      <c r="AF44" s="6" t="str">
        <f t="shared" si="45"/>
        <v/>
      </c>
      <c r="AG44" s="6" t="str">
        <f t="shared" si="46"/>
        <v/>
      </c>
      <c r="AH44" s="6" t="str">
        <f t="shared" si="46"/>
        <v/>
      </c>
      <c r="AI44" s="6" t="str">
        <f t="shared" si="46"/>
        <v/>
      </c>
      <c r="AJ44" s="6" t="str">
        <f>IF($T44="","",IF(ISERROR(INDEX(aRank,$T44+1,uxb_works!$B$24)),"",INDEX(aRank,$T44+1,uxb_works!$B$24)))</f>
        <v/>
      </c>
      <c r="AK44" s="6" t="str">
        <f>IF($T44="","",IF(ISERROR(INDEX(aRank,$T44+1,uxb_works!$B$25)),"",INDEX(aRank,$T44+1,uxb_works!$B$25)))</f>
        <v/>
      </c>
      <c r="AL44" s="6" t="str">
        <f>IF($T44="","",IF(ISERROR(INDEX(aRank,$T44+1,uxb_works!$B$26-1)),"",INDEX(aRank,$T44+1,uxb_works!$B$26-1)))</f>
        <v/>
      </c>
      <c r="AM44" s="6" t="str">
        <f>IF($T44="","",IF(ISERROR(INDEX(aRank,$T44+1,uxb_works!$B$27-1)),"",INDEX(aRank,$T44+1,uxb_works!$B$27-1)))</f>
        <v/>
      </c>
      <c r="AN44" s="6"/>
      <c r="AO44" s="14" t="str">
        <f>IF(T44="","",INDEX(tblIndicators!$H$3:$H$66,iCCompare!T44))</f>
        <v/>
      </c>
      <c r="AP44" s="6" t="str">
        <f t="shared" si="24"/>
        <v/>
      </c>
      <c r="AQ44" s="6" t="str">
        <f t="shared" si="25"/>
        <v/>
      </c>
      <c r="AR44" s="6" t="str">
        <f t="shared" si="26"/>
        <v/>
      </c>
      <c r="AS44" s="6" t="str">
        <f t="shared" si="27"/>
        <v/>
      </c>
      <c r="AT44" s="6">
        <v>3</v>
      </c>
      <c r="AU44" s="6"/>
      <c r="AV44" s="28" t="str">
        <f>IF(T44="","",INDEX(tblIndicators!$V$3:$V$52,iCCompare!T44))</f>
        <v/>
      </c>
      <c r="AW44" s="28">
        <f t="shared" si="28"/>
        <v>0</v>
      </c>
      <c r="AX44" s="28">
        <f t="shared" si="29"/>
        <v>0</v>
      </c>
      <c r="AZ44" s="6" t="str">
        <f>IF($T44="","",IF(ISERROR(INDEX(aRankNumbers,$T44+1,uxb_works!$B$24)),"",INDEX(aRankNumbers,$T44+1,uxb_works!$B$24)))</f>
        <v/>
      </c>
      <c r="BA44" s="6" t="str">
        <f>IF($T44="","",IF(ISERROR(INDEX(aRankNumbers,$T44+1,uxb_works!$B$25)),"",INDEX(aRankNumbers,$T44+1,uxb_works!$B$25)))</f>
        <v/>
      </c>
      <c r="BB44" s="6" t="str">
        <f>IF($T44="","",IF(ISERROR(INDEX(aRankNumbers,$T44+1,uxb_works!$B$26-1)),"",INDEX(aRankNumbers,$T44+1,uxb_works!$B$26-1)))</f>
        <v/>
      </c>
      <c r="BC44" s="6" t="str">
        <f>IF($T44="","",IF(ISERROR(INDEX(aRankNumbers,$T44+1,uxb_works!$B$27-1)),"",INDEX(aRankNumbers,$T44+1,uxb_works!$B$27-1)))</f>
        <v/>
      </c>
      <c r="BE44" s="28">
        <f t="shared" si="30"/>
        <v>0</v>
      </c>
      <c r="BF44" s="28">
        <f t="shared" si="31"/>
        <v>0</v>
      </c>
      <c r="BG44" s="28">
        <f t="shared" si="32"/>
        <v>0</v>
      </c>
      <c r="BH44" s="28">
        <f t="shared" si="33"/>
        <v>0</v>
      </c>
    </row>
    <row r="45" spans="1:60" s="28" customFormat="1">
      <c r="A45" s="6">
        <f>tblCategories!A38</f>
        <v>36</v>
      </c>
      <c r="B45" s="6" t="str">
        <f>tblCategories!D38</f>
        <v>3.1.3) 26.¿Los recicladores tienen acceso a instalaciones para el almacenamiento y la clasificación de materiales?</v>
      </c>
      <c r="C45" s="6">
        <f>tblCategories!F38</f>
        <v>0</v>
      </c>
      <c r="D45" s="6">
        <v>1</v>
      </c>
      <c r="E45" s="6">
        <f t="shared" ca="1" si="0"/>
        <v>0</v>
      </c>
      <c r="F45" s="6">
        <f t="shared" si="1"/>
        <v>0</v>
      </c>
      <c r="G45" s="6">
        <f t="shared" ca="1" si="2"/>
        <v>100</v>
      </c>
      <c r="H45" s="6">
        <f t="shared" si="3"/>
        <v>1</v>
      </c>
      <c r="I45" s="6" t="e">
        <f t="shared" si="4"/>
        <v>#VALUE!</v>
      </c>
      <c r="J45" s="6">
        <f t="shared" si="5"/>
        <v>0</v>
      </c>
      <c r="K45" s="6" t="e">
        <f t="shared" si="6"/>
        <v>#VALUE!</v>
      </c>
      <c r="L45" s="6">
        <f t="shared" si="7"/>
        <v>1</v>
      </c>
      <c r="M45" s="6">
        <f ca="1">rScores!Z38</f>
        <v>58.333333333333336</v>
      </c>
      <c r="N45" s="6">
        <f>tblIndicators!F38</f>
        <v>3</v>
      </c>
      <c r="O45" s="6"/>
      <c r="P45" s="6"/>
      <c r="Q45" s="6"/>
      <c r="R45" s="6" t="str">
        <f t="shared" si="35"/>
        <v/>
      </c>
      <c r="S45" s="6" t="str">
        <f>IF($C45=0,"",RANK(R45,R$10:R$59,1)+COUNTIF(R$10:R45,R45)-1)</f>
        <v/>
      </c>
      <c r="T45" s="6" t="str">
        <f t="shared" si="36"/>
        <v/>
      </c>
      <c r="U45" s="70" t="str">
        <f t="shared" si="37"/>
        <v/>
      </c>
      <c r="V45" s="70" t="str">
        <f t="shared" si="38"/>
        <v/>
      </c>
      <c r="W45" s="70">
        <f t="shared" si="39"/>
        <v>0</v>
      </c>
      <c r="X45" s="69" t="str">
        <f t="shared" si="23"/>
        <v/>
      </c>
      <c r="Y45" s="6" t="str">
        <f t="shared" si="40"/>
        <v/>
      </c>
      <c r="Z45" s="6" t="str">
        <f t="shared" si="34"/>
        <v/>
      </c>
      <c r="AA45" s="6" t="str">
        <f t="shared" si="34"/>
        <v/>
      </c>
      <c r="AB45" s="6" t="str">
        <f t="shared" si="41"/>
        <v/>
      </c>
      <c r="AC45" s="6" t="str">
        <f t="shared" si="42"/>
        <v/>
      </c>
      <c r="AD45" s="6" t="str">
        <f t="shared" si="43"/>
        <v/>
      </c>
      <c r="AE45" s="6" t="str">
        <f t="shared" si="44"/>
        <v/>
      </c>
      <c r="AF45" s="6" t="str">
        <f t="shared" si="45"/>
        <v/>
      </c>
      <c r="AG45" s="6" t="str">
        <f t="shared" si="46"/>
        <v/>
      </c>
      <c r="AH45" s="6" t="str">
        <f t="shared" si="46"/>
        <v/>
      </c>
      <c r="AI45" s="6" t="str">
        <f t="shared" si="46"/>
        <v/>
      </c>
      <c r="AJ45" s="6" t="str">
        <f>IF($T45="","",IF(ISERROR(INDEX(aRank,$T45+1,uxb_works!$B$24)),"",INDEX(aRank,$T45+1,uxb_works!$B$24)))</f>
        <v/>
      </c>
      <c r="AK45" s="6" t="str">
        <f>IF($T45="","",IF(ISERROR(INDEX(aRank,$T45+1,uxb_works!$B$25)),"",INDEX(aRank,$T45+1,uxb_works!$B$25)))</f>
        <v/>
      </c>
      <c r="AL45" s="6" t="str">
        <f>IF($T45="","",IF(ISERROR(INDEX(aRank,$T45+1,uxb_works!$B$26-1)),"",INDEX(aRank,$T45+1,uxb_works!$B$26-1)))</f>
        <v/>
      </c>
      <c r="AM45" s="6" t="str">
        <f>IF($T45="","",IF(ISERROR(INDEX(aRank,$T45+1,uxb_works!$B$27-1)),"",INDEX(aRank,$T45+1,uxb_works!$B$27-1)))</f>
        <v/>
      </c>
      <c r="AN45" s="6"/>
      <c r="AO45" s="14" t="str">
        <f>IF(T45="","",INDEX(tblIndicators!$H$3:$H$66,iCCompare!T45))</f>
        <v/>
      </c>
      <c r="AP45" s="6" t="str">
        <f t="shared" si="24"/>
        <v/>
      </c>
      <c r="AQ45" s="6" t="str">
        <f t="shared" si="25"/>
        <v/>
      </c>
      <c r="AR45" s="6" t="str">
        <f t="shared" si="26"/>
        <v/>
      </c>
      <c r="AS45" s="6" t="str">
        <f t="shared" si="27"/>
        <v/>
      </c>
      <c r="AT45" s="6">
        <v>3</v>
      </c>
      <c r="AU45" s="6"/>
      <c r="AV45" s="28" t="str">
        <f>IF(T45="","",INDEX(tblIndicators!$V$3:$V$52,iCCompare!T45))</f>
        <v/>
      </c>
      <c r="AW45" s="28">
        <f t="shared" si="28"/>
        <v>0</v>
      </c>
      <c r="AX45" s="28">
        <f t="shared" si="29"/>
        <v>0</v>
      </c>
      <c r="AZ45" s="6" t="str">
        <f>IF($T45="","",IF(ISERROR(INDEX(aRankNumbers,$T45+1,uxb_works!$B$24)),"",INDEX(aRankNumbers,$T45+1,uxb_works!$B$24)))</f>
        <v/>
      </c>
      <c r="BA45" s="6" t="str">
        <f>IF($T45="","",IF(ISERROR(INDEX(aRankNumbers,$T45+1,uxb_works!$B$25)),"",INDEX(aRankNumbers,$T45+1,uxb_works!$B$25)))</f>
        <v/>
      </c>
      <c r="BB45" s="6" t="str">
        <f>IF($T45="","",IF(ISERROR(INDEX(aRankNumbers,$T45+1,uxb_works!$B$26-1)),"",INDEX(aRankNumbers,$T45+1,uxb_works!$B$26-1)))</f>
        <v/>
      </c>
      <c r="BC45" s="6" t="str">
        <f>IF($T45="","",IF(ISERROR(INDEX(aRankNumbers,$T45+1,uxb_works!$B$27-1)),"",INDEX(aRankNumbers,$T45+1,uxb_works!$B$27-1)))</f>
        <v/>
      </c>
      <c r="BE45" s="28">
        <f t="shared" si="30"/>
        <v>0</v>
      </c>
      <c r="BF45" s="28">
        <f t="shared" si="31"/>
        <v>0</v>
      </c>
      <c r="BG45" s="28">
        <f t="shared" si="32"/>
        <v>0</v>
      </c>
      <c r="BH45" s="28">
        <f t="shared" si="33"/>
        <v>0</v>
      </c>
    </row>
    <row r="46" spans="1:60" s="28" customFormat="1">
      <c r="A46" s="6">
        <f>tblCategories!A39</f>
        <v>37</v>
      </c>
      <c r="B46" s="6" t="str">
        <f>tblCategories!D39</f>
        <v>3.1.4) 27.¿Cuál es el nivel de desarrollo técnico alcanzado en la clasificación (o pre-procesamiento) de materiales reciclables por parte de agrupaciones de recicladores?</v>
      </c>
      <c r="C46" s="6">
        <f>tblCategories!F39</f>
        <v>0</v>
      </c>
      <c r="D46" s="6">
        <v>1</v>
      </c>
      <c r="E46" s="6">
        <f t="shared" ca="1" si="0"/>
        <v>0</v>
      </c>
      <c r="F46" s="6">
        <f t="shared" si="1"/>
        <v>0</v>
      </c>
      <c r="G46" s="6">
        <f t="shared" ca="1" si="2"/>
        <v>0</v>
      </c>
      <c r="H46" s="6">
        <f t="shared" si="3"/>
        <v>0</v>
      </c>
      <c r="I46" s="6" t="e">
        <f t="shared" si="4"/>
        <v>#VALUE!</v>
      </c>
      <c r="J46" s="6">
        <f t="shared" si="5"/>
        <v>0</v>
      </c>
      <c r="K46" s="6" t="e">
        <f t="shared" si="6"/>
        <v>#VALUE!</v>
      </c>
      <c r="L46" s="6">
        <f t="shared" si="7"/>
        <v>2</v>
      </c>
      <c r="M46" s="6">
        <f ca="1">rScores!Z39</f>
        <v>20.833333333333332</v>
      </c>
      <c r="N46" s="6">
        <f>tblIndicators!F39</f>
        <v>3</v>
      </c>
      <c r="O46" s="6"/>
      <c r="P46" s="6"/>
      <c r="Q46" s="6"/>
      <c r="R46" s="6" t="str">
        <f t="shared" si="35"/>
        <v/>
      </c>
      <c r="S46" s="6" t="str">
        <f>IF($C46=0,"",RANK(R46,R$10:R$59,1)+COUNTIF(R$10:R46,R46)-1)</f>
        <v/>
      </c>
      <c r="T46" s="6" t="str">
        <f t="shared" si="36"/>
        <v/>
      </c>
      <c r="U46" s="70" t="str">
        <f t="shared" si="37"/>
        <v/>
      </c>
      <c r="V46" s="70" t="str">
        <f t="shared" si="38"/>
        <v/>
      </c>
      <c r="W46" s="70">
        <f t="shared" si="39"/>
        <v>0</v>
      </c>
      <c r="X46" s="69" t="str">
        <f t="shared" si="23"/>
        <v/>
      </c>
      <c r="Y46" s="6" t="str">
        <f t="shared" si="40"/>
        <v/>
      </c>
      <c r="Z46" s="6" t="str">
        <f t="shared" si="34"/>
        <v/>
      </c>
      <c r="AA46" s="6" t="str">
        <f t="shared" si="34"/>
        <v/>
      </c>
      <c r="AB46" s="6" t="str">
        <f t="shared" si="41"/>
        <v/>
      </c>
      <c r="AC46" s="6" t="str">
        <f t="shared" si="42"/>
        <v/>
      </c>
      <c r="AD46" s="6" t="str">
        <f t="shared" si="43"/>
        <v/>
      </c>
      <c r="AE46" s="6" t="str">
        <f t="shared" si="44"/>
        <v/>
      </c>
      <c r="AF46" s="6" t="str">
        <f t="shared" si="45"/>
        <v/>
      </c>
      <c r="AG46" s="6" t="str">
        <f t="shared" si="46"/>
        <v/>
      </c>
      <c r="AH46" s="6" t="str">
        <f t="shared" si="46"/>
        <v/>
      </c>
      <c r="AI46" s="6" t="str">
        <f t="shared" si="46"/>
        <v/>
      </c>
      <c r="AJ46" s="6" t="str">
        <f>IF($T46="","",IF(ISERROR(INDEX(aRank,$T46+1,uxb_works!$B$24)),"",INDEX(aRank,$T46+1,uxb_works!$B$24)))</f>
        <v/>
      </c>
      <c r="AK46" s="6" t="str">
        <f>IF($T46="","",IF(ISERROR(INDEX(aRank,$T46+1,uxb_works!$B$25)),"",INDEX(aRank,$T46+1,uxb_works!$B$25)))</f>
        <v/>
      </c>
      <c r="AL46" s="6" t="str">
        <f>IF($T46="","",IF(ISERROR(INDEX(aRank,$T46+1,uxb_works!$B$26-1)),"",INDEX(aRank,$T46+1,uxb_works!$B$26-1)))</f>
        <v/>
      </c>
      <c r="AM46" s="6" t="str">
        <f>IF($T46="","",IF(ISERROR(INDEX(aRank,$T46+1,uxb_works!$B$27-1)),"",INDEX(aRank,$T46+1,uxb_works!$B$27-1)))</f>
        <v/>
      </c>
      <c r="AN46" s="6"/>
      <c r="AO46" s="14" t="str">
        <f>IF(T46="","",INDEX(tblIndicators!$H$3:$H$66,iCCompare!T46))</f>
        <v/>
      </c>
      <c r="AP46" s="6" t="str">
        <f t="shared" si="24"/>
        <v/>
      </c>
      <c r="AQ46" s="6" t="str">
        <f t="shared" si="25"/>
        <v/>
      </c>
      <c r="AR46" s="6" t="str">
        <f t="shared" si="26"/>
        <v/>
      </c>
      <c r="AS46" s="6" t="str">
        <f t="shared" si="27"/>
        <v/>
      </c>
      <c r="AT46" s="6">
        <v>3</v>
      </c>
      <c r="AU46" s="6"/>
      <c r="AV46" s="28" t="str">
        <f>IF(T46="","",INDEX(tblIndicators!$V$3:$V$52,iCCompare!T46))</f>
        <v/>
      </c>
      <c r="AW46" s="28">
        <f t="shared" si="28"/>
        <v>0</v>
      </c>
      <c r="AX46" s="28">
        <f t="shared" si="29"/>
        <v>0</v>
      </c>
      <c r="AZ46" s="6" t="str">
        <f>IF($T46="","",IF(ISERROR(INDEX(aRankNumbers,$T46+1,uxb_works!$B$24)),"",INDEX(aRankNumbers,$T46+1,uxb_works!$B$24)))</f>
        <v/>
      </c>
      <c r="BA46" s="6" t="str">
        <f>IF($T46="","",IF(ISERROR(INDEX(aRankNumbers,$T46+1,uxb_works!$B$25)),"",INDEX(aRankNumbers,$T46+1,uxb_works!$B$25)))</f>
        <v/>
      </c>
      <c r="BB46" s="6" t="str">
        <f>IF($T46="","",IF(ISERROR(INDEX(aRankNumbers,$T46+1,uxb_works!$B$26-1)),"",INDEX(aRankNumbers,$T46+1,uxb_works!$B$26-1)))</f>
        <v/>
      </c>
      <c r="BC46" s="6" t="str">
        <f>IF($T46="","",IF(ISERROR(INDEX(aRankNumbers,$T46+1,uxb_works!$B$27-1)),"",INDEX(aRankNumbers,$T46+1,uxb_works!$B$27-1)))</f>
        <v/>
      </c>
      <c r="BE46" s="28">
        <f t="shared" si="30"/>
        <v>0</v>
      </c>
      <c r="BF46" s="28">
        <f t="shared" si="31"/>
        <v>0</v>
      </c>
      <c r="BG46" s="28">
        <f t="shared" si="32"/>
        <v>0</v>
      </c>
      <c r="BH46" s="28">
        <f t="shared" si="33"/>
        <v>0</v>
      </c>
    </row>
    <row r="47" spans="1:60" s="28" customFormat="1">
      <c r="A47" s="6">
        <f>tblCategories!A40</f>
        <v>38</v>
      </c>
      <c r="B47" s="6" t="str">
        <f>tblCategories!D40</f>
        <v>3.2) Condiciones para la comercialización de material reciclable</v>
      </c>
      <c r="C47" s="6">
        <f>tblCategories!F40</f>
        <v>0</v>
      </c>
      <c r="D47" s="6">
        <v>1</v>
      </c>
      <c r="E47" s="6">
        <f t="shared" ca="1" si="0"/>
        <v>97.584355828220851</v>
      </c>
      <c r="F47" s="6" t="str">
        <f t="shared" si="1"/>
        <v/>
      </c>
      <c r="G47" s="6">
        <f t="shared" ca="1" si="2"/>
        <v>90.250766871165638</v>
      </c>
      <c r="H47" s="6" t="str">
        <f t="shared" si="3"/>
        <v/>
      </c>
      <c r="I47" s="6" t="e">
        <f t="shared" si="4"/>
        <v>#VALUE!</v>
      </c>
      <c r="J47" s="6" t="str">
        <f t="shared" si="5"/>
        <v/>
      </c>
      <c r="K47" s="6" t="e">
        <f t="shared" si="6"/>
        <v>#VALUE!</v>
      </c>
      <c r="L47" s="6" t="str">
        <f t="shared" si="7"/>
        <v/>
      </c>
      <c r="M47" s="6">
        <f ca="1">rScores!Z40</f>
        <v>84.174999999999997</v>
      </c>
      <c r="N47" s="6">
        <f>tblIndicators!F40</f>
        <v>2</v>
      </c>
      <c r="O47" s="6"/>
      <c r="P47" s="6"/>
      <c r="Q47" s="6"/>
      <c r="R47" s="6" t="str">
        <f t="shared" si="35"/>
        <v/>
      </c>
      <c r="S47" s="6" t="str">
        <f>IF($C47=0,"",RANK(R47,R$10:R$59,1)+COUNTIF(R$10:R47,R47)-1)</f>
        <v/>
      </c>
      <c r="T47" s="6" t="str">
        <f t="shared" si="36"/>
        <v/>
      </c>
      <c r="U47" s="70" t="str">
        <f t="shared" si="37"/>
        <v/>
      </c>
      <c r="V47" s="70" t="str">
        <f t="shared" si="38"/>
        <v/>
      </c>
      <c r="W47" s="70">
        <f t="shared" si="39"/>
        <v>0</v>
      </c>
      <c r="X47" s="69" t="str">
        <f t="shared" si="23"/>
        <v/>
      </c>
      <c r="Y47" s="6" t="str">
        <f t="shared" si="40"/>
        <v/>
      </c>
      <c r="Z47" s="6" t="str">
        <f t="shared" si="34"/>
        <v/>
      </c>
      <c r="AA47" s="6" t="str">
        <f t="shared" si="34"/>
        <v/>
      </c>
      <c r="AB47" s="6" t="str">
        <f t="shared" si="41"/>
        <v/>
      </c>
      <c r="AC47" s="6" t="str">
        <f t="shared" si="42"/>
        <v/>
      </c>
      <c r="AD47" s="6" t="str">
        <f t="shared" si="43"/>
        <v/>
      </c>
      <c r="AE47" s="6" t="str">
        <f t="shared" si="44"/>
        <v/>
      </c>
      <c r="AF47" s="6" t="str">
        <f t="shared" si="45"/>
        <v/>
      </c>
      <c r="AG47" s="6" t="str">
        <f t="shared" si="46"/>
        <v/>
      </c>
      <c r="AH47" s="6" t="str">
        <f t="shared" si="46"/>
        <v/>
      </c>
      <c r="AI47" s="6" t="str">
        <f t="shared" si="46"/>
        <v/>
      </c>
      <c r="AJ47" s="6" t="str">
        <f>IF($T47="","",IF(ISERROR(INDEX(aRank,$T47+1,uxb_works!$B$24)),"",INDEX(aRank,$T47+1,uxb_works!$B$24)))</f>
        <v/>
      </c>
      <c r="AK47" s="6" t="str">
        <f>IF($T47="","",IF(ISERROR(INDEX(aRank,$T47+1,uxb_works!$B$25)),"",INDEX(aRank,$T47+1,uxb_works!$B$25)))</f>
        <v/>
      </c>
      <c r="AL47" s="6" t="str">
        <f>IF($T47="","",IF(ISERROR(INDEX(aRank,$T47+1,uxb_works!$B$26-1)),"",INDEX(aRank,$T47+1,uxb_works!$B$26-1)))</f>
        <v/>
      </c>
      <c r="AM47" s="6" t="str">
        <f>IF($T47="","",IF(ISERROR(INDEX(aRank,$T47+1,uxb_works!$B$27-1)),"",INDEX(aRank,$T47+1,uxb_works!$B$27-1)))</f>
        <v/>
      </c>
      <c r="AN47" s="6"/>
      <c r="AO47" s="14" t="str">
        <f>IF(T47="","",INDEX(tblIndicators!$H$3:$H$66,iCCompare!T47))</f>
        <v/>
      </c>
      <c r="AP47" s="6" t="str">
        <f t="shared" si="24"/>
        <v/>
      </c>
      <c r="AQ47" s="6" t="str">
        <f t="shared" si="25"/>
        <v/>
      </c>
      <c r="AR47" s="6" t="str">
        <f t="shared" si="26"/>
        <v/>
      </c>
      <c r="AS47" s="6" t="str">
        <f t="shared" si="27"/>
        <v/>
      </c>
      <c r="AT47" s="6">
        <v>3</v>
      </c>
      <c r="AU47" s="6"/>
      <c r="AV47" s="28" t="str">
        <f>IF(T47="","",INDEX(tblIndicators!$V$3:$V$52,iCCompare!T47))</f>
        <v/>
      </c>
      <c r="AW47" s="28">
        <f t="shared" si="28"/>
        <v>0</v>
      </c>
      <c r="AX47" s="28">
        <f t="shared" si="29"/>
        <v>0</v>
      </c>
      <c r="AZ47" s="6" t="str">
        <f>IF($T47="","",IF(ISERROR(INDEX(aRankNumbers,$T47+1,uxb_works!$B$24)),"",INDEX(aRankNumbers,$T47+1,uxb_works!$B$24)))</f>
        <v/>
      </c>
      <c r="BA47" s="6" t="str">
        <f>IF($T47="","",IF(ISERROR(INDEX(aRankNumbers,$T47+1,uxb_works!$B$25)),"",INDEX(aRankNumbers,$T47+1,uxb_works!$B$25)))</f>
        <v/>
      </c>
      <c r="BB47" s="6" t="str">
        <f>IF($T47="","",IF(ISERROR(INDEX(aRankNumbers,$T47+1,uxb_works!$B$26-1)),"",INDEX(aRankNumbers,$T47+1,uxb_works!$B$26-1)))</f>
        <v/>
      </c>
      <c r="BC47" s="6" t="str">
        <f>IF($T47="","",IF(ISERROR(INDEX(aRankNumbers,$T47+1,uxb_works!$B$27-1)),"",INDEX(aRankNumbers,$T47+1,uxb_works!$B$27-1)))</f>
        <v/>
      </c>
      <c r="BE47" s="28">
        <f t="shared" si="30"/>
        <v>0</v>
      </c>
      <c r="BF47" s="28">
        <f t="shared" si="31"/>
        <v>0</v>
      </c>
      <c r="BG47" s="28">
        <f t="shared" si="32"/>
        <v>0</v>
      </c>
      <c r="BH47" s="28">
        <f t="shared" si="33"/>
        <v>0</v>
      </c>
    </row>
    <row r="48" spans="1:60" s="28" customFormat="1">
      <c r="A48" s="6">
        <f>tblCategories!A41</f>
        <v>39</v>
      </c>
      <c r="B48" s="6" t="str">
        <f>tblCategories!D41</f>
        <v>3.2.1) 28.¿Cuál es la diferencia de valor del material en los diferentes eslabones de la cadena del reciclaje?</v>
      </c>
      <c r="C48" s="6">
        <f>tblCategories!F41</f>
        <v>0</v>
      </c>
      <c r="D48" s="6">
        <v>1</v>
      </c>
      <c r="E48" s="6">
        <f t="shared" ca="1" si="0"/>
        <v>95.168711656441715</v>
      </c>
      <c r="F48" s="6">
        <f t="shared" si="1"/>
        <v>1.5</v>
      </c>
      <c r="G48" s="6">
        <f t="shared" ca="1" si="2"/>
        <v>80.50153374233129</v>
      </c>
      <c r="H48" s="6">
        <f t="shared" si="3"/>
        <v>2.81</v>
      </c>
      <c r="I48" s="6" t="e">
        <f t="shared" si="4"/>
        <v>#VALUE!</v>
      </c>
      <c r="J48" s="6">
        <f t="shared" si="5"/>
        <v>1.5</v>
      </c>
      <c r="K48" s="6" t="e">
        <f t="shared" si="6"/>
        <v>#VALUE!</v>
      </c>
      <c r="L48" s="6">
        <f t="shared" si="7"/>
        <v>2.3319999999999999</v>
      </c>
      <c r="M48" s="6">
        <f ca="1">rScores!Z41</f>
        <v>79.458333333333343</v>
      </c>
      <c r="N48" s="6">
        <f>tblIndicators!F41</f>
        <v>3</v>
      </c>
      <c r="O48" s="6"/>
      <c r="P48" s="6"/>
      <c r="Q48" s="6"/>
      <c r="R48" s="6" t="str">
        <f t="shared" si="35"/>
        <v/>
      </c>
      <c r="S48" s="6" t="str">
        <f>IF($C48=0,"",RANK(R48,R$10:R$59,1)+COUNTIF(R$10:R48,R48)-1)</f>
        <v/>
      </c>
      <c r="T48" s="6" t="str">
        <f t="shared" si="36"/>
        <v/>
      </c>
      <c r="U48" s="70" t="str">
        <f t="shared" si="37"/>
        <v/>
      </c>
      <c r="V48" s="70" t="str">
        <f t="shared" si="38"/>
        <v/>
      </c>
      <c r="W48" s="70">
        <f t="shared" si="39"/>
        <v>0</v>
      </c>
      <c r="X48" s="69" t="str">
        <f t="shared" si="23"/>
        <v/>
      </c>
      <c r="Y48" s="6" t="str">
        <f t="shared" si="40"/>
        <v/>
      </c>
      <c r="Z48" s="6" t="str">
        <f t="shared" si="34"/>
        <v/>
      </c>
      <c r="AA48" s="6" t="str">
        <f t="shared" si="34"/>
        <v/>
      </c>
      <c r="AB48" s="6" t="str">
        <f t="shared" si="41"/>
        <v/>
      </c>
      <c r="AC48" s="6" t="str">
        <f t="shared" si="42"/>
        <v/>
      </c>
      <c r="AD48" s="6" t="str">
        <f t="shared" si="43"/>
        <v/>
      </c>
      <c r="AE48" s="6" t="str">
        <f t="shared" si="44"/>
        <v/>
      </c>
      <c r="AF48" s="6" t="str">
        <f t="shared" si="45"/>
        <v/>
      </c>
      <c r="AG48" s="6" t="str">
        <f t="shared" si="46"/>
        <v/>
      </c>
      <c r="AH48" s="6" t="str">
        <f t="shared" si="46"/>
        <v/>
      </c>
      <c r="AI48" s="6" t="str">
        <f t="shared" si="46"/>
        <v/>
      </c>
      <c r="AJ48" s="6" t="str">
        <f>IF($T48="","",IF(ISERROR(INDEX(aRank,$T48+1,uxb_works!$B$24)),"",INDEX(aRank,$T48+1,uxb_works!$B$24)))</f>
        <v/>
      </c>
      <c r="AK48" s="6" t="str">
        <f>IF($T48="","",IF(ISERROR(INDEX(aRank,$T48+1,uxb_works!$B$25)),"",INDEX(aRank,$T48+1,uxb_works!$B$25)))</f>
        <v/>
      </c>
      <c r="AL48" s="6" t="str">
        <f>IF($T48="","",IF(ISERROR(INDEX(aRank,$T48+1,uxb_works!$B$26-1)),"",INDEX(aRank,$T48+1,uxb_works!$B$26-1)))</f>
        <v/>
      </c>
      <c r="AM48" s="6" t="str">
        <f>IF($T48="","",IF(ISERROR(INDEX(aRank,$T48+1,uxb_works!$B$27-1)),"",INDEX(aRank,$T48+1,uxb_works!$B$27-1)))</f>
        <v/>
      </c>
      <c r="AN48" s="6"/>
      <c r="AO48" s="14" t="str">
        <f>IF(T48="","",INDEX(tblIndicators!$H$3:$H$66,iCCompare!T48))</f>
        <v/>
      </c>
      <c r="AP48" s="6" t="str">
        <f t="shared" si="24"/>
        <v/>
      </c>
      <c r="AQ48" s="6" t="str">
        <f t="shared" si="25"/>
        <v/>
      </c>
      <c r="AR48" s="6" t="str">
        <f t="shared" si="26"/>
        <v/>
      </c>
      <c r="AS48" s="6" t="str">
        <f t="shared" si="27"/>
        <v/>
      </c>
      <c r="AT48" s="6">
        <v>3</v>
      </c>
      <c r="AU48" s="6"/>
      <c r="AV48" s="28" t="str">
        <f>IF(T48="","",INDEX(tblIndicators!$V$3:$V$52,iCCompare!T48))</f>
        <v/>
      </c>
      <c r="AW48" s="28">
        <f t="shared" si="28"/>
        <v>0</v>
      </c>
      <c r="AX48" s="28">
        <f t="shared" si="29"/>
        <v>0</v>
      </c>
      <c r="AZ48" s="6" t="str">
        <f>IF($T48="","",IF(ISERROR(INDEX(aRankNumbers,$T48+1,uxb_works!$B$24)),"",INDEX(aRankNumbers,$T48+1,uxb_works!$B$24)))</f>
        <v/>
      </c>
      <c r="BA48" s="6" t="str">
        <f>IF($T48="","",IF(ISERROR(INDEX(aRankNumbers,$T48+1,uxb_works!$B$25)),"",INDEX(aRankNumbers,$T48+1,uxb_works!$B$25)))</f>
        <v/>
      </c>
      <c r="BB48" s="6" t="str">
        <f>IF($T48="","",IF(ISERROR(INDEX(aRankNumbers,$T48+1,uxb_works!$B$26-1)),"",INDEX(aRankNumbers,$T48+1,uxb_works!$B$26-1)))</f>
        <v/>
      </c>
      <c r="BC48" s="6" t="str">
        <f>IF($T48="","",IF(ISERROR(INDEX(aRankNumbers,$T48+1,uxb_works!$B$27-1)),"",INDEX(aRankNumbers,$T48+1,uxb_works!$B$27-1)))</f>
        <v/>
      </c>
      <c r="BE48" s="28">
        <f t="shared" si="30"/>
        <v>0</v>
      </c>
      <c r="BF48" s="28">
        <f t="shared" si="31"/>
        <v>0</v>
      </c>
      <c r="BG48" s="28">
        <f t="shared" si="32"/>
        <v>0</v>
      </c>
      <c r="BH48" s="28">
        <f t="shared" si="33"/>
        <v>0</v>
      </c>
    </row>
    <row r="49" spans="1:60" s="28" customFormat="1">
      <c r="A49" s="6">
        <f>tblCategories!A42</f>
        <v>40</v>
      </c>
      <c r="B49" s="6" t="str">
        <f>tblCategories!D42</f>
        <v>3.2.2) 29.¿Cuál es el nivel de desarrollo de la industria transformadora a nivel nacional?</v>
      </c>
      <c r="C49" s="6">
        <f>tblCategories!F42</f>
        <v>0</v>
      </c>
      <c r="D49" s="6">
        <v>1</v>
      </c>
      <c r="E49" s="6">
        <f t="shared" ca="1" si="0"/>
        <v>100</v>
      </c>
      <c r="F49" s="6">
        <f t="shared" si="1"/>
        <v>3</v>
      </c>
      <c r="G49" s="6">
        <f t="shared" ca="1" si="2"/>
        <v>100</v>
      </c>
      <c r="H49" s="6">
        <f t="shared" si="3"/>
        <v>3</v>
      </c>
      <c r="I49" s="6" t="e">
        <f t="shared" si="4"/>
        <v>#VALUE!</v>
      </c>
      <c r="J49" s="6">
        <f t="shared" si="5"/>
        <v>3</v>
      </c>
      <c r="K49" s="6" t="e">
        <f t="shared" si="6"/>
        <v>#VALUE!</v>
      </c>
      <c r="L49" s="6">
        <f t="shared" si="7"/>
        <v>3</v>
      </c>
      <c r="M49" s="6">
        <f ca="1">rScores!Z42</f>
        <v>88.891666666666666</v>
      </c>
      <c r="N49" s="6">
        <f>tblIndicators!F42</f>
        <v>3</v>
      </c>
      <c r="O49" s="6"/>
      <c r="P49" s="6"/>
      <c r="Q49" s="6"/>
      <c r="R49" s="6" t="str">
        <f t="shared" si="35"/>
        <v/>
      </c>
      <c r="S49" s="6" t="str">
        <f>IF($C49=0,"",RANK(R49,R$10:R$59,1)+COUNTIF(R$10:R49,R49)-1)</f>
        <v/>
      </c>
      <c r="T49" s="6" t="str">
        <f t="shared" si="36"/>
        <v/>
      </c>
      <c r="U49" s="70" t="str">
        <f t="shared" si="37"/>
        <v/>
      </c>
      <c r="V49" s="70" t="str">
        <f t="shared" si="38"/>
        <v/>
      </c>
      <c r="W49" s="70">
        <f t="shared" si="39"/>
        <v>0</v>
      </c>
      <c r="X49" s="69" t="str">
        <f t="shared" si="23"/>
        <v/>
      </c>
      <c r="Y49" s="6" t="str">
        <f t="shared" si="40"/>
        <v/>
      </c>
      <c r="Z49" s="6" t="str">
        <f t="shared" si="34"/>
        <v/>
      </c>
      <c r="AA49" s="6" t="str">
        <f t="shared" si="34"/>
        <v/>
      </c>
      <c r="AB49" s="6" t="str">
        <f t="shared" si="41"/>
        <v/>
      </c>
      <c r="AC49" s="6" t="str">
        <f t="shared" si="42"/>
        <v/>
      </c>
      <c r="AD49" s="6" t="str">
        <f t="shared" si="43"/>
        <v/>
      </c>
      <c r="AE49" s="6" t="str">
        <f t="shared" si="44"/>
        <v/>
      </c>
      <c r="AF49" s="6" t="str">
        <f t="shared" si="45"/>
        <v/>
      </c>
      <c r="AG49" s="6" t="str">
        <f t="shared" si="46"/>
        <v/>
      </c>
      <c r="AH49" s="6" t="str">
        <f t="shared" si="46"/>
        <v/>
      </c>
      <c r="AI49" s="6" t="str">
        <f t="shared" si="46"/>
        <v/>
      </c>
      <c r="AJ49" s="6" t="str">
        <f>IF($T49="","",IF(ISERROR(INDEX(aRank,$T49+1,uxb_works!$B$24)),"",INDEX(aRank,$T49+1,uxb_works!$B$24)))</f>
        <v/>
      </c>
      <c r="AK49" s="6" t="str">
        <f>IF($T49="","",IF(ISERROR(INDEX(aRank,$T49+1,uxb_works!$B$25)),"",INDEX(aRank,$T49+1,uxb_works!$B$25)))</f>
        <v/>
      </c>
      <c r="AL49" s="6" t="str">
        <f>IF($T49="","",IF(ISERROR(INDEX(aRank,$T49+1,uxb_works!$B$26-1)),"",INDEX(aRank,$T49+1,uxb_works!$B$26-1)))</f>
        <v/>
      </c>
      <c r="AM49" s="6" t="str">
        <f>IF($T49="","",IF(ISERROR(INDEX(aRank,$T49+1,uxb_works!$B$27-1)),"",INDEX(aRank,$T49+1,uxb_works!$B$27-1)))</f>
        <v/>
      </c>
      <c r="AN49" s="6"/>
      <c r="AO49" s="14" t="str">
        <f>IF(T49="","",INDEX(tblIndicators!$H$3:$H$66,iCCompare!T49))</f>
        <v/>
      </c>
      <c r="AP49" s="6" t="str">
        <f t="shared" si="24"/>
        <v/>
      </c>
      <c r="AQ49" s="6" t="str">
        <f t="shared" si="25"/>
        <v/>
      </c>
      <c r="AR49" s="6" t="str">
        <f t="shared" si="26"/>
        <v/>
      </c>
      <c r="AS49" s="6" t="str">
        <f t="shared" si="27"/>
        <v/>
      </c>
      <c r="AT49" s="6">
        <v>3</v>
      </c>
      <c r="AU49" s="6"/>
      <c r="AV49" s="28" t="str">
        <f>IF(T49="","",INDEX(tblIndicators!$V$3:$V$52,iCCompare!T49))</f>
        <v/>
      </c>
      <c r="AW49" s="28">
        <f t="shared" si="28"/>
        <v>0</v>
      </c>
      <c r="AX49" s="28">
        <f t="shared" si="29"/>
        <v>0</v>
      </c>
      <c r="AZ49" s="6" t="str">
        <f>IF($T49="","",IF(ISERROR(INDEX(aRankNumbers,$T49+1,uxb_works!$B$24)),"",INDEX(aRankNumbers,$T49+1,uxb_works!$B$24)))</f>
        <v/>
      </c>
      <c r="BA49" s="6" t="str">
        <f>IF($T49="","",IF(ISERROR(INDEX(aRankNumbers,$T49+1,uxb_works!$B$25)),"",INDEX(aRankNumbers,$T49+1,uxb_works!$B$25)))</f>
        <v/>
      </c>
      <c r="BB49" s="6" t="str">
        <f>IF($T49="","",IF(ISERROR(INDEX(aRankNumbers,$T49+1,uxb_works!$B$26-1)),"",INDEX(aRankNumbers,$T49+1,uxb_works!$B$26-1)))</f>
        <v/>
      </c>
      <c r="BC49" s="6" t="str">
        <f>IF($T49="","",IF(ISERROR(INDEX(aRankNumbers,$T49+1,uxb_works!$B$27-1)),"",INDEX(aRankNumbers,$T49+1,uxb_works!$B$27-1)))</f>
        <v/>
      </c>
      <c r="BE49" s="28">
        <f t="shared" si="30"/>
        <v>0</v>
      </c>
      <c r="BF49" s="28">
        <f t="shared" si="31"/>
        <v>0</v>
      </c>
      <c r="BG49" s="28">
        <f t="shared" si="32"/>
        <v>0</v>
      </c>
      <c r="BH49" s="28">
        <f t="shared" si="33"/>
        <v>0</v>
      </c>
    </row>
    <row r="50" spans="1:60" s="28" customFormat="1">
      <c r="A50" s="6">
        <f>tblCategories!A43</f>
        <v>41</v>
      </c>
      <c r="B50" s="6" t="str">
        <f>tblCategories!D43</f>
        <v>3.3) Ingreso de los recicladores de base</v>
      </c>
      <c r="C50" s="6">
        <f>tblCategories!F43</f>
        <v>0</v>
      </c>
      <c r="D50" s="6">
        <v>1</v>
      </c>
      <c r="E50" s="6">
        <f t="shared" ca="1" si="0"/>
        <v>3.8781670473737684</v>
      </c>
      <c r="F50" s="6" t="str">
        <f t="shared" si="1"/>
        <v/>
      </c>
      <c r="G50" s="6">
        <f t="shared" ca="1" si="2"/>
        <v>10.664335664335663</v>
      </c>
      <c r="H50" s="6" t="str">
        <f t="shared" si="3"/>
        <v/>
      </c>
      <c r="I50" s="6" t="e">
        <f t="shared" si="4"/>
        <v>#VALUE!</v>
      </c>
      <c r="J50" s="6" t="str">
        <f t="shared" si="5"/>
        <v/>
      </c>
      <c r="K50" s="6" t="e">
        <f t="shared" si="6"/>
        <v>#VALUE!</v>
      </c>
      <c r="L50" s="6" t="str">
        <f t="shared" si="7"/>
        <v/>
      </c>
      <c r="M50" s="6">
        <f ca="1">rScores!Z43</f>
        <v>31.150000000000002</v>
      </c>
      <c r="N50" s="6">
        <f>tblIndicators!F43</f>
        <v>2</v>
      </c>
      <c r="O50" s="6"/>
      <c r="P50" s="6"/>
      <c r="Q50" s="6"/>
      <c r="R50" s="6" t="str">
        <f t="shared" si="35"/>
        <v/>
      </c>
      <c r="S50" s="6" t="str">
        <f>IF($C50=0,"",RANK(R50,R$10:R$59,1)+COUNTIF(R$10:R50,R50)-1)</f>
        <v/>
      </c>
      <c r="T50" s="6" t="str">
        <f t="shared" si="36"/>
        <v/>
      </c>
      <c r="U50" s="70" t="str">
        <f t="shared" si="37"/>
        <v/>
      </c>
      <c r="V50" s="70" t="str">
        <f t="shared" si="38"/>
        <v/>
      </c>
      <c r="W50" s="70">
        <f t="shared" si="39"/>
        <v>0</v>
      </c>
      <c r="X50" s="69" t="str">
        <f t="shared" si="23"/>
        <v/>
      </c>
      <c r="Y50" s="6" t="str">
        <f t="shared" si="40"/>
        <v/>
      </c>
      <c r="Z50" s="6" t="str">
        <f t="shared" ref="Z50:AA59" si="47">IF($T50="","",INDEX($E$10:$P$59,$T50,Z$8))</f>
        <v/>
      </c>
      <c r="AA50" s="6" t="str">
        <f t="shared" si="47"/>
        <v/>
      </c>
      <c r="AB50" s="6" t="str">
        <f t="shared" si="41"/>
        <v/>
      </c>
      <c r="AC50" s="6" t="str">
        <f t="shared" si="42"/>
        <v/>
      </c>
      <c r="AD50" s="6" t="str">
        <f t="shared" si="43"/>
        <v/>
      </c>
      <c r="AE50" s="6" t="str">
        <f t="shared" si="44"/>
        <v/>
      </c>
      <c r="AF50" s="6" t="str">
        <f t="shared" si="45"/>
        <v/>
      </c>
      <c r="AG50" s="6" t="str">
        <f t="shared" si="46"/>
        <v/>
      </c>
      <c r="AH50" s="6" t="str">
        <f t="shared" si="46"/>
        <v/>
      </c>
      <c r="AI50" s="6" t="str">
        <f t="shared" si="46"/>
        <v/>
      </c>
      <c r="AJ50" s="6" t="str">
        <f>IF($T50="","",IF(ISERROR(INDEX(aRank,$T50+1,uxb_works!$B$24)),"",INDEX(aRank,$T50+1,uxb_works!$B$24)))</f>
        <v/>
      </c>
      <c r="AK50" s="6" t="str">
        <f>IF($T50="","",IF(ISERROR(INDEX(aRank,$T50+1,uxb_works!$B$25)),"",INDEX(aRank,$T50+1,uxb_works!$B$25)))</f>
        <v/>
      </c>
      <c r="AL50" s="6" t="str">
        <f>IF($T50="","",IF(ISERROR(INDEX(aRank,$T50+1,uxb_works!$B$26-1)),"",INDEX(aRank,$T50+1,uxb_works!$B$26-1)))</f>
        <v/>
      </c>
      <c r="AM50" s="6" t="str">
        <f>IF($T50="","",IF(ISERROR(INDEX(aRank,$T50+1,uxb_works!$B$27-1)),"",INDEX(aRank,$T50+1,uxb_works!$B$27-1)))</f>
        <v/>
      </c>
      <c r="AN50" s="6"/>
      <c r="AO50" s="14" t="str">
        <f>IF(T50="","",INDEX(tblIndicators!$H$3:$H$66,iCCompare!T50))</f>
        <v/>
      </c>
      <c r="AP50" s="6" t="str">
        <f t="shared" si="24"/>
        <v/>
      </c>
      <c r="AQ50" s="6" t="str">
        <f t="shared" si="25"/>
        <v/>
      </c>
      <c r="AR50" s="6" t="str">
        <f t="shared" si="26"/>
        <v/>
      </c>
      <c r="AS50" s="6" t="str">
        <f t="shared" si="27"/>
        <v/>
      </c>
      <c r="AT50" s="6">
        <v>3</v>
      </c>
      <c r="AU50" s="6"/>
      <c r="AV50" s="28" t="str">
        <f>IF(T50="","",INDEX(tblIndicators!$V$3:$V$52,iCCompare!T50))</f>
        <v/>
      </c>
      <c r="AW50" s="28">
        <f t="shared" si="28"/>
        <v>0</v>
      </c>
      <c r="AX50" s="28">
        <f t="shared" si="29"/>
        <v>0</v>
      </c>
      <c r="AZ50" s="6" t="str">
        <f>IF($T50="","",IF(ISERROR(INDEX(aRankNumbers,$T50+1,uxb_works!$B$24)),"",INDEX(aRankNumbers,$T50+1,uxb_works!$B$24)))</f>
        <v/>
      </c>
      <c r="BA50" s="6" t="str">
        <f>IF($T50="","",IF(ISERROR(INDEX(aRankNumbers,$T50+1,uxb_works!$B$25)),"",INDEX(aRankNumbers,$T50+1,uxb_works!$B$25)))</f>
        <v/>
      </c>
      <c r="BB50" s="6" t="str">
        <f>IF($T50="","",IF(ISERROR(INDEX(aRankNumbers,$T50+1,uxb_works!$B$26-1)),"",INDEX(aRankNumbers,$T50+1,uxb_works!$B$26-1)))</f>
        <v/>
      </c>
      <c r="BC50" s="6" t="str">
        <f>IF($T50="","",IF(ISERROR(INDEX(aRankNumbers,$T50+1,uxb_works!$B$27-1)),"",INDEX(aRankNumbers,$T50+1,uxb_works!$B$27-1)))</f>
        <v/>
      </c>
      <c r="BE50" s="28">
        <f t="shared" si="30"/>
        <v>0</v>
      </c>
      <c r="BF50" s="28">
        <f t="shared" si="31"/>
        <v>0</v>
      </c>
      <c r="BG50" s="28">
        <f t="shared" si="32"/>
        <v>0</v>
      </c>
      <c r="BH50" s="28">
        <f t="shared" si="33"/>
        <v>0</v>
      </c>
    </row>
    <row r="51" spans="1:60" s="28" customFormat="1">
      <c r="A51" s="6">
        <f>tblCategories!A44</f>
        <v>42</v>
      </c>
      <c r="B51" s="6" t="str">
        <f>tblCategories!D44</f>
        <v>3.3.1) 30.¿Se permite la contratación con agrupaciones de recicladores de base en el sistema de gestión de residuos del municipio?</v>
      </c>
      <c r="C51" s="6">
        <f>tblCategories!F44</f>
        <v>0</v>
      </c>
      <c r="D51" s="6">
        <v>1</v>
      </c>
      <c r="E51" s="6">
        <f t="shared" ca="1" si="0"/>
        <v>0</v>
      </c>
      <c r="F51" s="6">
        <f t="shared" si="1"/>
        <v>0</v>
      </c>
      <c r="G51" s="6">
        <f t="shared" ca="1" si="2"/>
        <v>0</v>
      </c>
      <c r="H51" s="6">
        <f t="shared" si="3"/>
        <v>0</v>
      </c>
      <c r="I51" s="6" t="e">
        <f t="shared" si="4"/>
        <v>#VALUE!</v>
      </c>
      <c r="J51" s="6">
        <f t="shared" si="5"/>
        <v>0</v>
      </c>
      <c r="K51" s="6" t="e">
        <f t="shared" si="6"/>
        <v>#VALUE!</v>
      </c>
      <c r="L51" s="6">
        <f t="shared" si="7"/>
        <v>2</v>
      </c>
      <c r="M51" s="6">
        <f ca="1">rScores!Z44</f>
        <v>37.5</v>
      </c>
      <c r="N51" s="6">
        <f>tblIndicators!F44</f>
        <v>3</v>
      </c>
      <c r="O51" s="6"/>
      <c r="P51" s="6"/>
      <c r="Q51" s="6"/>
      <c r="R51" s="6" t="str">
        <f t="shared" si="35"/>
        <v/>
      </c>
      <c r="S51" s="6" t="str">
        <f>IF($C51=0,"",RANK(R51,R$10:R$59,1)+COUNTIF(R$10:R51,R51)-1)</f>
        <v/>
      </c>
      <c r="T51" s="6" t="str">
        <f t="shared" si="36"/>
        <v/>
      </c>
      <c r="U51" s="70" t="str">
        <f t="shared" si="37"/>
        <v/>
      </c>
      <c r="V51" s="70" t="str">
        <f t="shared" si="38"/>
        <v/>
      </c>
      <c r="W51" s="70">
        <f t="shared" si="39"/>
        <v>0</v>
      </c>
      <c r="X51" s="69" t="str">
        <f t="shared" si="23"/>
        <v/>
      </c>
      <c r="Y51" s="6" t="str">
        <f t="shared" si="40"/>
        <v/>
      </c>
      <c r="Z51" s="6" t="str">
        <f t="shared" si="47"/>
        <v/>
      </c>
      <c r="AA51" s="6" t="str">
        <f t="shared" si="47"/>
        <v/>
      </c>
      <c r="AB51" s="6" t="str">
        <f t="shared" si="41"/>
        <v/>
      </c>
      <c r="AC51" s="6" t="str">
        <f t="shared" si="42"/>
        <v/>
      </c>
      <c r="AD51" s="6" t="str">
        <f t="shared" si="43"/>
        <v/>
      </c>
      <c r="AE51" s="6" t="str">
        <f t="shared" si="44"/>
        <v/>
      </c>
      <c r="AF51" s="6" t="str">
        <f t="shared" si="45"/>
        <v/>
      </c>
      <c r="AG51" s="6" t="str">
        <f t="shared" si="46"/>
        <v/>
      </c>
      <c r="AH51" s="6" t="str">
        <f t="shared" si="46"/>
        <v/>
      </c>
      <c r="AI51" s="6" t="str">
        <f t="shared" si="46"/>
        <v/>
      </c>
      <c r="AJ51" s="6" t="str">
        <f>IF($T51="","",IF(ISERROR(INDEX(aRank,$T51+1,uxb_works!$B$24)),"",INDEX(aRank,$T51+1,uxb_works!$B$24)))</f>
        <v/>
      </c>
      <c r="AK51" s="6" t="str">
        <f>IF($T51="","",IF(ISERROR(INDEX(aRank,$T51+1,uxb_works!$B$25)),"",INDEX(aRank,$T51+1,uxb_works!$B$25)))</f>
        <v/>
      </c>
      <c r="AL51" s="6" t="str">
        <f>IF($T51="","",IF(ISERROR(INDEX(aRank,$T51+1,uxb_works!$B$26-1)),"",INDEX(aRank,$T51+1,uxb_works!$B$26-1)))</f>
        <v/>
      </c>
      <c r="AM51" s="6" t="str">
        <f>IF($T51="","",IF(ISERROR(INDEX(aRank,$T51+1,uxb_works!$B$27-1)),"",INDEX(aRank,$T51+1,uxb_works!$B$27-1)))</f>
        <v/>
      </c>
      <c r="AN51" s="6"/>
      <c r="AO51" s="14" t="str">
        <f>IF(T51="","",INDEX(tblIndicators!$H$3:$H$66,iCCompare!T51))</f>
        <v/>
      </c>
      <c r="AP51" s="6" t="str">
        <f t="shared" si="24"/>
        <v/>
      </c>
      <c r="AQ51" s="6" t="str">
        <f t="shared" si="25"/>
        <v/>
      </c>
      <c r="AR51" s="6" t="str">
        <f t="shared" si="26"/>
        <v/>
      </c>
      <c r="AS51" s="6" t="str">
        <f t="shared" si="27"/>
        <v/>
      </c>
      <c r="AT51" s="6">
        <v>3</v>
      </c>
      <c r="AU51" s="6"/>
      <c r="AV51" s="28" t="str">
        <f>IF(T51="","",INDEX(tblIndicators!$V$3:$V$52,iCCompare!T51))</f>
        <v/>
      </c>
      <c r="AW51" s="28">
        <f t="shared" si="28"/>
        <v>0</v>
      </c>
      <c r="AX51" s="28">
        <f t="shared" si="29"/>
        <v>0</v>
      </c>
      <c r="AZ51" s="6" t="str">
        <f>IF($T51="","",IF(ISERROR(INDEX(aRankNumbers,$T51+1,uxb_works!$B$24)),"",INDEX(aRankNumbers,$T51+1,uxb_works!$B$24)))</f>
        <v/>
      </c>
      <c r="BA51" s="6" t="str">
        <f>IF($T51="","",IF(ISERROR(INDEX(aRankNumbers,$T51+1,uxb_works!$B$25)),"",INDEX(aRankNumbers,$T51+1,uxb_works!$B$25)))</f>
        <v/>
      </c>
      <c r="BB51" s="6" t="str">
        <f>IF($T51="","",IF(ISERROR(INDEX(aRankNumbers,$T51+1,uxb_works!$B$26-1)),"",INDEX(aRankNumbers,$T51+1,uxb_works!$B$26-1)))</f>
        <v/>
      </c>
      <c r="BC51" s="6" t="str">
        <f>IF($T51="","",IF(ISERROR(INDEX(aRankNumbers,$T51+1,uxb_works!$B$27-1)),"",INDEX(aRankNumbers,$T51+1,uxb_works!$B$27-1)))</f>
        <v/>
      </c>
      <c r="BE51" s="28">
        <f t="shared" si="30"/>
        <v>0</v>
      </c>
      <c r="BF51" s="28">
        <f t="shared" si="31"/>
        <v>0</v>
      </c>
      <c r="BG51" s="28">
        <f t="shared" si="32"/>
        <v>0</v>
      </c>
      <c r="BH51" s="28">
        <f t="shared" si="33"/>
        <v>0</v>
      </c>
    </row>
    <row r="52" spans="1:60" s="28" customFormat="1">
      <c r="A52" s="6">
        <f>tblCategories!A45</f>
        <v>43</v>
      </c>
      <c r="B52" s="6" t="str">
        <f>tblCategories!D45</f>
        <v>3.3.2) 31.¿Existen mecanismos de pago periódico fijo para los recicladores de base por servicios prestados?</v>
      </c>
      <c r="C52" s="6">
        <f>tblCategories!F45</f>
        <v>0</v>
      </c>
      <c r="D52" s="6">
        <v>1</v>
      </c>
      <c r="E52" s="6">
        <f t="shared" ca="1" si="0"/>
        <v>0</v>
      </c>
      <c r="F52" s="6">
        <f t="shared" si="1"/>
        <v>0</v>
      </c>
      <c r="G52" s="6">
        <f t="shared" ca="1" si="2"/>
        <v>0</v>
      </c>
      <c r="H52" s="6">
        <f t="shared" si="3"/>
        <v>0</v>
      </c>
      <c r="I52" s="6" t="e">
        <f t="shared" si="4"/>
        <v>#VALUE!</v>
      </c>
      <c r="J52" s="6">
        <f t="shared" si="5"/>
        <v>0</v>
      </c>
      <c r="K52" s="6" t="e">
        <f t="shared" si="6"/>
        <v>#VALUE!</v>
      </c>
      <c r="L52" s="6">
        <f t="shared" si="7"/>
        <v>1</v>
      </c>
      <c r="M52" s="6">
        <f ca="1">rScores!Z45</f>
        <v>25</v>
      </c>
      <c r="N52" s="6">
        <f>tblIndicators!F45</f>
        <v>3</v>
      </c>
      <c r="O52" s="6"/>
      <c r="P52" s="6"/>
      <c r="Q52" s="6"/>
      <c r="R52" s="6" t="str">
        <f t="shared" si="35"/>
        <v/>
      </c>
      <c r="S52" s="6" t="str">
        <f>IF($C52=0,"",RANK(R52,R$10:R$59,1)+COUNTIF(R$10:R52,R52)-1)</f>
        <v/>
      </c>
      <c r="T52" s="6" t="str">
        <f t="shared" si="36"/>
        <v/>
      </c>
      <c r="U52" s="70" t="str">
        <f t="shared" si="37"/>
        <v/>
      </c>
      <c r="V52" s="70" t="str">
        <f t="shared" si="38"/>
        <v/>
      </c>
      <c r="W52" s="70">
        <f t="shared" si="39"/>
        <v>0</v>
      </c>
      <c r="X52" s="69" t="str">
        <f t="shared" si="23"/>
        <v/>
      </c>
      <c r="Y52" s="6" t="str">
        <f t="shared" si="40"/>
        <v/>
      </c>
      <c r="Z52" s="6" t="str">
        <f t="shared" si="47"/>
        <v/>
      </c>
      <c r="AA52" s="6" t="str">
        <f t="shared" si="47"/>
        <v/>
      </c>
      <c r="AB52" s="6" t="str">
        <f t="shared" si="41"/>
        <v/>
      </c>
      <c r="AC52" s="6" t="str">
        <f t="shared" si="42"/>
        <v/>
      </c>
      <c r="AD52" s="6" t="str">
        <f t="shared" si="43"/>
        <v/>
      </c>
      <c r="AE52" s="6" t="str">
        <f t="shared" si="44"/>
        <v/>
      </c>
      <c r="AF52" s="6" t="str">
        <f t="shared" si="45"/>
        <v/>
      </c>
      <c r="AG52" s="6" t="str">
        <f t="shared" si="46"/>
        <v/>
      </c>
      <c r="AH52" s="6" t="str">
        <f t="shared" si="46"/>
        <v/>
      </c>
      <c r="AI52" s="6" t="str">
        <f t="shared" si="46"/>
        <v/>
      </c>
      <c r="AJ52" s="6" t="str">
        <f>IF($T52="","",IF(ISERROR(INDEX(aRank,$T52+1,uxb_works!$B$24)),"",INDEX(aRank,$T52+1,uxb_works!$B$24)))</f>
        <v/>
      </c>
      <c r="AK52" s="6" t="str">
        <f>IF($T52="","",IF(ISERROR(INDEX(aRank,$T52+1,uxb_works!$B$25)),"",INDEX(aRank,$T52+1,uxb_works!$B$25)))</f>
        <v/>
      </c>
      <c r="AL52" s="6" t="str">
        <f>IF($T52="","",IF(ISERROR(INDEX(aRank,$T52+1,uxb_works!$B$26-1)),"",INDEX(aRank,$T52+1,uxb_works!$B$26-1)))</f>
        <v/>
      </c>
      <c r="AM52" s="6" t="str">
        <f>IF($T52="","",IF(ISERROR(INDEX(aRank,$T52+1,uxb_works!$B$27-1)),"",INDEX(aRank,$T52+1,uxb_works!$B$27-1)))</f>
        <v/>
      </c>
      <c r="AN52" s="6"/>
      <c r="AO52" s="14" t="str">
        <f>IF(T52="","",INDEX(tblIndicators!$H$3:$H$66,iCCompare!T52))</f>
        <v/>
      </c>
      <c r="AP52" s="6" t="str">
        <f t="shared" si="24"/>
        <v/>
      </c>
      <c r="AQ52" s="6" t="str">
        <f t="shared" si="25"/>
        <v/>
      </c>
      <c r="AR52" s="6" t="str">
        <f t="shared" si="26"/>
        <v/>
      </c>
      <c r="AS52" s="6" t="str">
        <f t="shared" si="27"/>
        <v/>
      </c>
      <c r="AT52" s="6">
        <v>3</v>
      </c>
      <c r="AU52" s="6"/>
      <c r="AV52" s="28" t="str">
        <f>IF(T52="","",INDEX(tblIndicators!$V$3:$V$52,iCCompare!T52))</f>
        <v/>
      </c>
      <c r="AW52" s="28">
        <f t="shared" si="28"/>
        <v>0</v>
      </c>
      <c r="AX52" s="28">
        <f t="shared" si="29"/>
        <v>0</v>
      </c>
      <c r="AZ52" s="6" t="str">
        <f>IF($T52="","",IF(ISERROR(INDEX(aRankNumbers,$T52+1,uxb_works!$B$24)),"",INDEX(aRankNumbers,$T52+1,uxb_works!$B$24)))</f>
        <v/>
      </c>
      <c r="BA52" s="6" t="str">
        <f>IF($T52="","",IF(ISERROR(INDEX(aRankNumbers,$T52+1,uxb_works!$B$25)),"",INDEX(aRankNumbers,$T52+1,uxb_works!$B$25)))</f>
        <v/>
      </c>
      <c r="BB52" s="6" t="str">
        <f>IF($T52="","",IF(ISERROR(INDEX(aRankNumbers,$T52+1,uxb_works!$B$26-1)),"",INDEX(aRankNumbers,$T52+1,uxb_works!$B$26-1)))</f>
        <v/>
      </c>
      <c r="BC52" s="6" t="str">
        <f>IF($T52="","",IF(ISERROR(INDEX(aRankNumbers,$T52+1,uxb_works!$B$27-1)),"",INDEX(aRankNumbers,$T52+1,uxb_works!$B$27-1)))</f>
        <v/>
      </c>
      <c r="BE52" s="28">
        <f t="shared" si="30"/>
        <v>0</v>
      </c>
      <c r="BF52" s="28">
        <f t="shared" si="31"/>
        <v>0</v>
      </c>
      <c r="BG52" s="28">
        <f t="shared" si="32"/>
        <v>0</v>
      </c>
      <c r="BH52" s="28">
        <f t="shared" si="33"/>
        <v>0</v>
      </c>
    </row>
    <row r="53" spans="1:60" s="28" customFormat="1">
      <c r="A53" s="6">
        <f>tblCategories!A46</f>
        <v>44</v>
      </c>
      <c r="B53" s="6" t="str">
        <f>tblCategories!D46</f>
        <v>3.3.3) 32.¿Existen programas de diversificación de los servicios prestados por recicladores?</v>
      </c>
      <c r="C53" s="6">
        <f>tblCategories!F46</f>
        <v>0</v>
      </c>
      <c r="D53" s="6">
        <v>1</v>
      </c>
      <c r="E53" s="6">
        <f t="shared" ca="1" si="0"/>
        <v>0</v>
      </c>
      <c r="F53" s="6">
        <f t="shared" si="1"/>
        <v>0</v>
      </c>
      <c r="G53" s="6">
        <f t="shared" ca="1" si="2"/>
        <v>0</v>
      </c>
      <c r="H53" s="6">
        <f t="shared" si="3"/>
        <v>0</v>
      </c>
      <c r="I53" s="6" t="e">
        <f t="shared" si="4"/>
        <v>#VALUE!</v>
      </c>
      <c r="J53" s="6">
        <f t="shared" si="5"/>
        <v>0</v>
      </c>
      <c r="K53" s="6" t="e">
        <f t="shared" si="6"/>
        <v>#VALUE!</v>
      </c>
      <c r="L53" s="6">
        <f t="shared" si="7"/>
        <v>1</v>
      </c>
      <c r="M53" s="6">
        <f ca="1">rScores!Z46</f>
        <v>16.666666666666668</v>
      </c>
      <c r="N53" s="6">
        <f>tblIndicators!F46</f>
        <v>3</v>
      </c>
      <c r="O53" s="6"/>
      <c r="P53" s="6"/>
      <c r="Q53" s="6"/>
      <c r="R53" s="6" t="str">
        <f t="shared" si="35"/>
        <v/>
      </c>
      <c r="S53" s="6" t="str">
        <f>IF($C53=0,"",RANK(R53,R$10:R$59,1)+COUNTIF(R$10:R53,R53)-1)</f>
        <v/>
      </c>
      <c r="T53" s="6" t="str">
        <f t="shared" si="36"/>
        <v/>
      </c>
      <c r="U53" s="70" t="str">
        <f t="shared" si="37"/>
        <v/>
      </c>
      <c r="V53" s="70" t="str">
        <f t="shared" si="38"/>
        <v/>
      </c>
      <c r="W53" s="70">
        <f t="shared" si="39"/>
        <v>0</v>
      </c>
      <c r="X53" s="69" t="str">
        <f t="shared" si="23"/>
        <v/>
      </c>
      <c r="Y53" s="6" t="str">
        <f t="shared" si="40"/>
        <v/>
      </c>
      <c r="Z53" s="6" t="str">
        <f t="shared" si="47"/>
        <v/>
      </c>
      <c r="AA53" s="6" t="str">
        <f t="shared" si="47"/>
        <v/>
      </c>
      <c r="AB53" s="6" t="str">
        <f t="shared" si="41"/>
        <v/>
      </c>
      <c r="AC53" s="6" t="str">
        <f t="shared" si="42"/>
        <v/>
      </c>
      <c r="AD53" s="6" t="str">
        <f t="shared" si="43"/>
        <v/>
      </c>
      <c r="AE53" s="6" t="str">
        <f t="shared" si="44"/>
        <v/>
      </c>
      <c r="AF53" s="6" t="str">
        <f t="shared" si="45"/>
        <v/>
      </c>
      <c r="AG53" s="6" t="str">
        <f t="shared" si="46"/>
        <v/>
      </c>
      <c r="AH53" s="6" t="str">
        <f t="shared" si="46"/>
        <v/>
      </c>
      <c r="AI53" s="6" t="str">
        <f t="shared" si="46"/>
        <v/>
      </c>
      <c r="AJ53" s="6" t="str">
        <f>IF($T53="","",IF(ISERROR(INDEX(aRank,$T53+1,uxb_works!$B$24)),"",INDEX(aRank,$T53+1,uxb_works!$B$24)))</f>
        <v/>
      </c>
      <c r="AK53" s="6" t="str">
        <f>IF($T53="","",IF(ISERROR(INDEX(aRank,$T53+1,uxb_works!$B$25)),"",INDEX(aRank,$T53+1,uxb_works!$B$25)))</f>
        <v/>
      </c>
      <c r="AL53" s="6" t="str">
        <f>IF($T53="","",IF(ISERROR(INDEX(aRank,$T53+1,uxb_works!$B$26-1)),"",INDEX(aRank,$T53+1,uxb_works!$B$26-1)))</f>
        <v/>
      </c>
      <c r="AM53" s="6" t="str">
        <f>IF($T53="","",IF(ISERROR(INDEX(aRank,$T53+1,uxb_works!$B$27-1)),"",INDEX(aRank,$T53+1,uxb_works!$B$27-1)))</f>
        <v/>
      </c>
      <c r="AN53" s="6"/>
      <c r="AO53" s="14" t="str">
        <f>IF(T53="","",INDEX(tblIndicators!$H$3:$H$66,iCCompare!T53))</f>
        <v/>
      </c>
      <c r="AP53" s="6" t="str">
        <f t="shared" si="24"/>
        <v/>
      </c>
      <c r="AQ53" s="6" t="str">
        <f t="shared" si="25"/>
        <v/>
      </c>
      <c r="AR53" s="6" t="str">
        <f t="shared" si="26"/>
        <v/>
      </c>
      <c r="AS53" s="6" t="str">
        <f t="shared" si="27"/>
        <v/>
      </c>
      <c r="AT53" s="6">
        <v>3</v>
      </c>
      <c r="AU53" s="6"/>
      <c r="AV53" s="28" t="str">
        <f>IF(T53="","",INDEX(tblIndicators!$V$3:$V$52,iCCompare!T53))</f>
        <v/>
      </c>
      <c r="AW53" s="28">
        <f t="shared" si="28"/>
        <v>0</v>
      </c>
      <c r="AX53" s="28">
        <f t="shared" si="29"/>
        <v>0</v>
      </c>
      <c r="AZ53" s="6" t="str">
        <f>IF($T53="","",IF(ISERROR(INDEX(aRankNumbers,$T53+1,uxb_works!$B$24)),"",INDEX(aRankNumbers,$T53+1,uxb_works!$B$24)))</f>
        <v/>
      </c>
      <c r="BA53" s="6" t="str">
        <f>IF($T53="","",IF(ISERROR(INDEX(aRankNumbers,$T53+1,uxb_works!$B$25)),"",INDEX(aRankNumbers,$T53+1,uxb_works!$B$25)))</f>
        <v/>
      </c>
      <c r="BB53" s="6" t="str">
        <f>IF($T53="","",IF(ISERROR(INDEX(aRankNumbers,$T53+1,uxb_works!$B$26-1)),"",INDEX(aRankNumbers,$T53+1,uxb_works!$B$26-1)))</f>
        <v/>
      </c>
      <c r="BC53" s="6" t="str">
        <f>IF($T53="","",IF(ISERROR(INDEX(aRankNumbers,$T53+1,uxb_works!$B$27-1)),"",INDEX(aRankNumbers,$T53+1,uxb_works!$B$27-1)))</f>
        <v/>
      </c>
      <c r="BE53" s="28">
        <f t="shared" si="30"/>
        <v>0</v>
      </c>
      <c r="BF53" s="28">
        <f t="shared" si="31"/>
        <v>0</v>
      </c>
      <c r="BG53" s="28">
        <f t="shared" si="32"/>
        <v>0</v>
      </c>
      <c r="BH53" s="28">
        <f t="shared" si="33"/>
        <v>0</v>
      </c>
    </row>
    <row r="54" spans="1:60" s="28" customFormat="1">
      <c r="A54" s="6">
        <f>tblCategories!A47</f>
        <v>45</v>
      </c>
      <c r="B54" s="6" t="str">
        <f>tblCategories!D47</f>
        <v>3.3.4) 33. Ingreso promedio de los recicladores con respecto al salario mínimo nacional</v>
      </c>
      <c r="C54" s="6">
        <f>tblCategories!F47</f>
        <v>0</v>
      </c>
      <c r="D54" s="6">
        <v>1</v>
      </c>
      <c r="E54" s="6">
        <f t="shared" ca="1" si="0"/>
        <v>15.512668189495074</v>
      </c>
      <c r="F54" s="6">
        <f t="shared" si="1"/>
        <v>36.183115510977956</v>
      </c>
      <c r="G54" s="6">
        <f t="shared" ca="1" si="2"/>
        <v>42.657342657342653</v>
      </c>
      <c r="H54" s="6">
        <f t="shared" si="3"/>
        <v>75</v>
      </c>
      <c r="I54" s="6" t="e">
        <f t="shared" si="4"/>
        <v>#VALUE!</v>
      </c>
      <c r="J54" s="6">
        <f t="shared" si="5"/>
        <v>36.183115510977956</v>
      </c>
      <c r="K54" s="6" t="e">
        <f t="shared" si="6"/>
        <v>#VALUE!</v>
      </c>
      <c r="L54" s="6">
        <f t="shared" si="7"/>
        <v>157</v>
      </c>
      <c r="M54" s="6">
        <f ca="1">rScores!Z47</f>
        <v>45.416666666666664</v>
      </c>
      <c r="N54" s="6">
        <f>tblIndicators!F47</f>
        <v>3</v>
      </c>
      <c r="O54" s="6"/>
      <c r="P54" s="6"/>
      <c r="Q54" s="6"/>
      <c r="R54" s="6" t="str">
        <f t="shared" si="35"/>
        <v/>
      </c>
      <c r="S54" s="6" t="str">
        <f>IF($C54=0,"",RANK(R54,R$10:R$59,1)+COUNTIF(R$10:R54,R54)-1)</f>
        <v/>
      </c>
      <c r="T54" s="6" t="str">
        <f t="shared" si="36"/>
        <v/>
      </c>
      <c r="U54" s="70" t="str">
        <f t="shared" si="37"/>
        <v/>
      </c>
      <c r="V54" s="70" t="str">
        <f t="shared" si="38"/>
        <v/>
      </c>
      <c r="W54" s="70">
        <f t="shared" si="39"/>
        <v>0</v>
      </c>
      <c r="X54" s="69" t="str">
        <f t="shared" si="23"/>
        <v/>
      </c>
      <c r="Y54" s="6" t="str">
        <f t="shared" si="40"/>
        <v/>
      </c>
      <c r="Z54" s="6" t="str">
        <f t="shared" si="47"/>
        <v/>
      </c>
      <c r="AA54" s="6" t="str">
        <f t="shared" si="47"/>
        <v/>
      </c>
      <c r="AB54" s="6" t="str">
        <f t="shared" si="41"/>
        <v/>
      </c>
      <c r="AC54" s="6" t="str">
        <f t="shared" si="42"/>
        <v/>
      </c>
      <c r="AD54" s="6" t="str">
        <f t="shared" si="43"/>
        <v/>
      </c>
      <c r="AE54" s="6" t="str">
        <f t="shared" si="44"/>
        <v/>
      </c>
      <c r="AF54" s="6" t="str">
        <f t="shared" si="45"/>
        <v/>
      </c>
      <c r="AG54" s="6" t="str">
        <f t="shared" si="46"/>
        <v/>
      </c>
      <c r="AH54" s="6" t="str">
        <f t="shared" si="46"/>
        <v/>
      </c>
      <c r="AI54" s="6" t="str">
        <f t="shared" si="46"/>
        <v/>
      </c>
      <c r="AJ54" s="6" t="str">
        <f>IF($T54="","",IF(ISERROR(INDEX(aRank,$T54+1,uxb_works!$B$24)),"",INDEX(aRank,$T54+1,uxb_works!$B$24)))</f>
        <v/>
      </c>
      <c r="AK54" s="6" t="str">
        <f>IF($T54="","",IF(ISERROR(INDEX(aRank,$T54+1,uxb_works!$B$25)),"",INDEX(aRank,$T54+1,uxb_works!$B$25)))</f>
        <v/>
      </c>
      <c r="AL54" s="6" t="str">
        <f>IF($T54="","",IF(ISERROR(INDEX(aRank,$T54+1,uxb_works!$B$26-1)),"",INDEX(aRank,$T54+1,uxb_works!$B$26-1)))</f>
        <v/>
      </c>
      <c r="AM54" s="6" t="str">
        <f>IF($T54="","",IF(ISERROR(INDEX(aRank,$T54+1,uxb_works!$B$27-1)),"",INDEX(aRank,$T54+1,uxb_works!$B$27-1)))</f>
        <v/>
      </c>
      <c r="AN54" s="6"/>
      <c r="AO54" s="14" t="str">
        <f>IF(T54="","",INDEX(tblIndicators!$H$3:$H$66,iCCompare!T54))</f>
        <v/>
      </c>
      <c r="AP54" s="6" t="str">
        <f t="shared" si="24"/>
        <v/>
      </c>
      <c r="AQ54" s="6" t="str">
        <f t="shared" si="25"/>
        <v/>
      </c>
      <c r="AR54" s="6" t="str">
        <f t="shared" si="26"/>
        <v/>
      </c>
      <c r="AS54" s="6" t="str">
        <f t="shared" si="27"/>
        <v/>
      </c>
      <c r="AT54" s="6">
        <v>3</v>
      </c>
      <c r="AU54" s="6"/>
      <c r="AV54" s="28" t="str">
        <f>IF(T54="","",INDEX(tblIndicators!$V$3:$V$52,iCCompare!T54))</f>
        <v/>
      </c>
      <c r="AW54" s="28">
        <f t="shared" si="28"/>
        <v>0</v>
      </c>
      <c r="AX54" s="28">
        <f t="shared" si="29"/>
        <v>0</v>
      </c>
      <c r="AZ54" s="6" t="str">
        <f>IF($T54="","",IF(ISERROR(INDEX(aRankNumbers,$T54+1,uxb_works!$B$24)),"",INDEX(aRankNumbers,$T54+1,uxb_works!$B$24)))</f>
        <v/>
      </c>
      <c r="BA54" s="6" t="str">
        <f>IF($T54="","",IF(ISERROR(INDEX(aRankNumbers,$T54+1,uxb_works!$B$25)),"",INDEX(aRankNumbers,$T54+1,uxb_works!$B$25)))</f>
        <v/>
      </c>
      <c r="BB54" s="6" t="str">
        <f>IF($T54="","",IF(ISERROR(INDEX(aRankNumbers,$T54+1,uxb_works!$B$26-1)),"",INDEX(aRankNumbers,$T54+1,uxb_works!$B$26-1)))</f>
        <v/>
      </c>
      <c r="BC54" s="6" t="str">
        <f>IF($T54="","",IF(ISERROR(INDEX(aRankNumbers,$T54+1,uxb_works!$B$27-1)),"",INDEX(aRankNumbers,$T54+1,uxb_works!$B$27-1)))</f>
        <v/>
      </c>
      <c r="BE54" s="28">
        <f t="shared" si="30"/>
        <v>0</v>
      </c>
      <c r="BF54" s="28">
        <f t="shared" si="31"/>
        <v>0</v>
      </c>
      <c r="BG54" s="28">
        <f t="shared" si="32"/>
        <v>0</v>
      </c>
      <c r="BH54" s="28">
        <f t="shared" si="33"/>
        <v>0</v>
      </c>
    </row>
    <row r="55" spans="1:60" s="28" customFormat="1">
      <c r="A55" s="6">
        <f>tblCategories!A48</f>
        <v>46</v>
      </c>
      <c r="B55" s="6" t="str">
        <f>tblCategories!D48</f>
        <v>3.4) Condiciones de trabajo de los recicladores de base</v>
      </c>
      <c r="C55" s="6">
        <f>tblCategories!F48</f>
        <v>0</v>
      </c>
      <c r="D55" s="6">
        <v>1</v>
      </c>
      <c r="E55" s="6">
        <f t="shared" ca="1" si="0"/>
        <v>0</v>
      </c>
      <c r="F55" s="6" t="str">
        <f t="shared" si="1"/>
        <v/>
      </c>
      <c r="G55" s="6">
        <f t="shared" ca="1" si="2"/>
        <v>62.5</v>
      </c>
      <c r="H55" s="6" t="str">
        <f t="shared" si="3"/>
        <v/>
      </c>
      <c r="I55" s="6" t="e">
        <f t="shared" si="4"/>
        <v>#VALUE!</v>
      </c>
      <c r="J55" s="6" t="str">
        <f t="shared" si="5"/>
        <v/>
      </c>
      <c r="K55" s="6" t="e">
        <f t="shared" si="6"/>
        <v>#VALUE!</v>
      </c>
      <c r="L55" s="6" t="str">
        <f t="shared" si="7"/>
        <v/>
      </c>
      <c r="M55" s="6">
        <f ca="1">rScores!Z48</f>
        <v>40.625</v>
      </c>
      <c r="N55" s="6">
        <f>tblIndicators!F48</f>
        <v>2</v>
      </c>
      <c r="O55" s="6"/>
      <c r="P55" s="6"/>
      <c r="Q55" s="6"/>
      <c r="R55" s="6" t="str">
        <f t="shared" si="35"/>
        <v/>
      </c>
      <c r="S55" s="6" t="str">
        <f>IF($C55=0,"",RANK(R55,R$10:R$59,1)+COUNTIF(R$10:R55,R55)-1)</f>
        <v/>
      </c>
      <c r="T55" s="6" t="str">
        <f t="shared" si="36"/>
        <v/>
      </c>
      <c r="U55" s="70" t="str">
        <f t="shared" si="37"/>
        <v/>
      </c>
      <c r="V55" s="70" t="str">
        <f t="shared" si="38"/>
        <v/>
      </c>
      <c r="W55" s="70">
        <f t="shared" si="39"/>
        <v>0</v>
      </c>
      <c r="X55" s="69" t="str">
        <f t="shared" si="23"/>
        <v/>
      </c>
      <c r="Y55" s="6" t="str">
        <f t="shared" si="40"/>
        <v/>
      </c>
      <c r="Z55" s="6" t="str">
        <f t="shared" si="47"/>
        <v/>
      </c>
      <c r="AA55" s="6" t="str">
        <f t="shared" si="47"/>
        <v/>
      </c>
      <c r="AB55" s="6" t="str">
        <f t="shared" si="41"/>
        <v/>
      </c>
      <c r="AC55" s="6" t="str">
        <f t="shared" si="42"/>
        <v/>
      </c>
      <c r="AD55" s="6" t="str">
        <f t="shared" si="43"/>
        <v/>
      </c>
      <c r="AE55" s="6" t="str">
        <f t="shared" si="44"/>
        <v/>
      </c>
      <c r="AF55" s="6" t="str">
        <f t="shared" si="45"/>
        <v/>
      </c>
      <c r="AG55" s="6" t="str">
        <f t="shared" si="46"/>
        <v/>
      </c>
      <c r="AH55" s="6" t="str">
        <f t="shared" si="46"/>
        <v/>
      </c>
      <c r="AI55" s="6" t="str">
        <f t="shared" si="46"/>
        <v/>
      </c>
      <c r="AJ55" s="6" t="str">
        <f>IF($T55="","",IF(ISERROR(INDEX(aRank,$T55+1,uxb_works!$B$24)),"",INDEX(aRank,$T55+1,uxb_works!$B$24)))</f>
        <v/>
      </c>
      <c r="AK55" s="6" t="str">
        <f>IF($T55="","",IF(ISERROR(INDEX(aRank,$T55+1,uxb_works!$B$25)),"",INDEX(aRank,$T55+1,uxb_works!$B$25)))</f>
        <v/>
      </c>
      <c r="AL55" s="6" t="str">
        <f>IF($T55="","",IF(ISERROR(INDEX(aRank,$T55+1,uxb_works!$B$26-1)),"",INDEX(aRank,$T55+1,uxb_works!$B$26-1)))</f>
        <v/>
      </c>
      <c r="AM55" s="6" t="str">
        <f>IF($T55="","",IF(ISERROR(INDEX(aRank,$T55+1,uxb_works!$B$27-1)),"",INDEX(aRank,$T55+1,uxb_works!$B$27-1)))</f>
        <v/>
      </c>
      <c r="AN55" s="6"/>
      <c r="AO55" s="14" t="str">
        <f>IF(T55="","",INDEX(tblIndicators!$H$3:$H$66,iCCompare!T55))</f>
        <v/>
      </c>
      <c r="AP55" s="6" t="str">
        <f t="shared" si="24"/>
        <v/>
      </c>
      <c r="AQ55" s="6" t="str">
        <f t="shared" si="25"/>
        <v/>
      </c>
      <c r="AR55" s="6" t="str">
        <f t="shared" si="26"/>
        <v/>
      </c>
      <c r="AS55" s="6" t="str">
        <f t="shared" si="27"/>
        <v/>
      </c>
      <c r="AT55" s="6">
        <v>3</v>
      </c>
      <c r="AU55" s="6"/>
      <c r="AV55" s="28" t="str">
        <f>IF(T55="","",INDEX(tblIndicators!$V$3:$V$52,iCCompare!T55))</f>
        <v/>
      </c>
      <c r="AW55" s="28">
        <f t="shared" si="28"/>
        <v>0</v>
      </c>
      <c r="AX55" s="28">
        <f t="shared" si="29"/>
        <v>0</v>
      </c>
      <c r="AZ55" s="6" t="str">
        <f>IF($T55="","",IF(ISERROR(INDEX(aRankNumbers,$T55+1,uxb_works!$B$24)),"",INDEX(aRankNumbers,$T55+1,uxb_works!$B$24)))</f>
        <v/>
      </c>
      <c r="BA55" s="6" t="str">
        <f>IF($T55="","",IF(ISERROR(INDEX(aRankNumbers,$T55+1,uxb_works!$B$25)),"",INDEX(aRankNumbers,$T55+1,uxb_works!$B$25)))</f>
        <v/>
      </c>
      <c r="BB55" s="6" t="str">
        <f>IF($T55="","",IF(ISERROR(INDEX(aRankNumbers,$T55+1,uxb_works!$B$26-1)),"",INDEX(aRankNumbers,$T55+1,uxb_works!$B$26-1)))</f>
        <v/>
      </c>
      <c r="BC55" s="6" t="str">
        <f>IF($T55="","",IF(ISERROR(INDEX(aRankNumbers,$T55+1,uxb_works!$B$27-1)),"",INDEX(aRankNumbers,$T55+1,uxb_works!$B$27-1)))</f>
        <v/>
      </c>
      <c r="BE55" s="28">
        <f t="shared" si="30"/>
        <v>0</v>
      </c>
      <c r="BF55" s="28">
        <f t="shared" si="31"/>
        <v>0</v>
      </c>
      <c r="BG55" s="28">
        <f t="shared" si="32"/>
        <v>0</v>
      </c>
      <c r="BH55" s="28">
        <f t="shared" si="33"/>
        <v>0</v>
      </c>
    </row>
    <row r="56" spans="1:60" s="28" customFormat="1">
      <c r="A56" s="6">
        <f>tblCategories!A49</f>
        <v>47</v>
      </c>
      <c r="B56" s="6" t="str">
        <f>tblCategories!D49</f>
        <v>3.4.1) 34.¿Existe trabajo infantil en la cadena de manejo de residuos?</v>
      </c>
      <c r="C56" s="6">
        <f>tblCategories!F49</f>
        <v>0</v>
      </c>
      <c r="D56" s="6">
        <v>1</v>
      </c>
      <c r="E56" s="6">
        <f t="shared" ca="1" si="0"/>
        <v>0</v>
      </c>
      <c r="F56" s="6">
        <f t="shared" si="1"/>
        <v>0</v>
      </c>
      <c r="G56" s="6">
        <f t="shared" ca="1" si="2"/>
        <v>100</v>
      </c>
      <c r="H56" s="6">
        <f t="shared" si="3"/>
        <v>2</v>
      </c>
      <c r="I56" s="6" t="e">
        <f t="shared" si="4"/>
        <v>#VALUE!</v>
      </c>
      <c r="J56" s="6">
        <f t="shared" si="5"/>
        <v>0</v>
      </c>
      <c r="K56" s="6" t="e">
        <f t="shared" si="6"/>
        <v>#VALUE!</v>
      </c>
      <c r="L56" s="6">
        <f t="shared" si="7"/>
        <v>1</v>
      </c>
      <c r="M56" s="6">
        <f ca="1">rScores!Z49</f>
        <v>37.5</v>
      </c>
      <c r="N56" s="6">
        <f>tblIndicators!F49</f>
        <v>3</v>
      </c>
      <c r="O56" s="6"/>
      <c r="P56" s="6"/>
      <c r="Q56" s="6"/>
      <c r="R56" s="6" t="str">
        <f t="shared" si="35"/>
        <v/>
      </c>
      <c r="S56" s="6" t="str">
        <f>IF($C56=0,"",RANK(R56,R$10:R$59,1)+COUNTIF(R$10:R56,R56)-1)</f>
        <v/>
      </c>
      <c r="T56" s="6" t="str">
        <f t="shared" si="36"/>
        <v/>
      </c>
      <c r="U56" s="70" t="str">
        <f t="shared" si="37"/>
        <v/>
      </c>
      <c r="V56" s="70" t="str">
        <f t="shared" si="38"/>
        <v/>
      </c>
      <c r="W56" s="70">
        <f t="shared" si="39"/>
        <v>0</v>
      </c>
      <c r="X56" s="69" t="str">
        <f t="shared" si="23"/>
        <v/>
      </c>
      <c r="Y56" s="6" t="str">
        <f t="shared" si="40"/>
        <v/>
      </c>
      <c r="Z56" s="6" t="str">
        <f t="shared" si="47"/>
        <v/>
      </c>
      <c r="AA56" s="6" t="str">
        <f t="shared" si="47"/>
        <v/>
      </c>
      <c r="AB56" s="6" t="str">
        <f t="shared" si="41"/>
        <v/>
      </c>
      <c r="AC56" s="6" t="str">
        <f t="shared" si="42"/>
        <v/>
      </c>
      <c r="AD56" s="6" t="str">
        <f t="shared" si="43"/>
        <v/>
      </c>
      <c r="AE56" s="6" t="str">
        <f t="shared" si="44"/>
        <v/>
      </c>
      <c r="AF56" s="6" t="str">
        <f t="shared" si="45"/>
        <v/>
      </c>
      <c r="AG56" s="6" t="str">
        <f t="shared" si="46"/>
        <v/>
      </c>
      <c r="AH56" s="6" t="str">
        <f t="shared" si="46"/>
        <v/>
      </c>
      <c r="AI56" s="6" t="str">
        <f t="shared" si="46"/>
        <v/>
      </c>
      <c r="AJ56" s="6" t="str">
        <f>IF($T56="","",IF(ISERROR(INDEX(aRank,$T56+1,uxb_works!$B$24)),"",INDEX(aRank,$T56+1,uxb_works!$B$24)))</f>
        <v/>
      </c>
      <c r="AK56" s="6" t="str">
        <f>IF($T56="","",IF(ISERROR(INDEX(aRank,$T56+1,uxb_works!$B$25)),"",INDEX(aRank,$T56+1,uxb_works!$B$25)))</f>
        <v/>
      </c>
      <c r="AL56" s="6" t="str">
        <f>IF($T56="","",IF(ISERROR(INDEX(aRank,$T56+1,uxb_works!$B$26-1)),"",INDEX(aRank,$T56+1,uxb_works!$B$26-1)))</f>
        <v/>
      </c>
      <c r="AM56" s="6" t="str">
        <f>IF($T56="","",IF(ISERROR(INDEX(aRank,$T56+1,uxb_works!$B$27-1)),"",INDEX(aRank,$T56+1,uxb_works!$B$27-1)))</f>
        <v/>
      </c>
      <c r="AN56" s="6"/>
      <c r="AO56" s="14" t="str">
        <f>IF(T56="","",INDEX(tblIndicators!$H$3:$H$66,iCCompare!T56))</f>
        <v/>
      </c>
      <c r="AP56" s="6" t="str">
        <f t="shared" si="24"/>
        <v/>
      </c>
      <c r="AQ56" s="6" t="str">
        <f t="shared" si="25"/>
        <v/>
      </c>
      <c r="AR56" s="6" t="str">
        <f t="shared" si="26"/>
        <v/>
      </c>
      <c r="AS56" s="6" t="str">
        <f t="shared" si="27"/>
        <v/>
      </c>
      <c r="AT56" s="6">
        <v>3</v>
      </c>
      <c r="AU56" s="6"/>
      <c r="AV56" s="28" t="str">
        <f>IF(T56="","",INDEX(tblIndicators!$V$3:$V$52,iCCompare!T56))</f>
        <v/>
      </c>
      <c r="AW56" s="28">
        <f t="shared" si="28"/>
        <v>0</v>
      </c>
      <c r="AX56" s="28">
        <f t="shared" si="29"/>
        <v>0</v>
      </c>
      <c r="AZ56" s="6" t="str">
        <f>IF($T56="","",IF(ISERROR(INDEX(aRankNumbers,$T56+1,uxb_works!$B$24)),"",INDEX(aRankNumbers,$T56+1,uxb_works!$B$24)))</f>
        <v/>
      </c>
      <c r="BA56" s="6" t="str">
        <f>IF($T56="","",IF(ISERROR(INDEX(aRankNumbers,$T56+1,uxb_works!$B$25)),"",INDEX(aRankNumbers,$T56+1,uxb_works!$B$25)))</f>
        <v/>
      </c>
      <c r="BB56" s="6" t="str">
        <f>IF($T56="","",IF(ISERROR(INDEX(aRankNumbers,$T56+1,uxb_works!$B$26-1)),"",INDEX(aRankNumbers,$T56+1,uxb_works!$B$26-1)))</f>
        <v/>
      </c>
      <c r="BC56" s="6" t="str">
        <f>IF($T56="","",IF(ISERROR(INDEX(aRankNumbers,$T56+1,uxb_works!$B$27-1)),"",INDEX(aRankNumbers,$T56+1,uxb_works!$B$27-1)))</f>
        <v/>
      </c>
      <c r="BE56" s="28">
        <f t="shared" si="30"/>
        <v>0</v>
      </c>
      <c r="BF56" s="28">
        <f t="shared" si="31"/>
        <v>0</v>
      </c>
      <c r="BG56" s="28">
        <f t="shared" si="32"/>
        <v>0</v>
      </c>
      <c r="BH56" s="28">
        <f t="shared" si="33"/>
        <v>0</v>
      </c>
    </row>
    <row r="57" spans="1:60" s="28" customFormat="1">
      <c r="A57" s="6">
        <f>tblCategories!A50</f>
        <v>48</v>
      </c>
      <c r="B57" s="6" t="str">
        <f>tblCategories!D50</f>
        <v>3.4.2) 35.¿Cuál es el nivel de enfoque de género en las condiciones de trabajo?</v>
      </c>
      <c r="C57" s="6">
        <f>tblCategories!F50</f>
        <v>0</v>
      </c>
      <c r="D57" s="6">
        <v>1</v>
      </c>
      <c r="E57" s="6">
        <f t="shared" ca="1" si="0"/>
        <v>0</v>
      </c>
      <c r="F57" s="6">
        <f t="shared" si="1"/>
        <v>0</v>
      </c>
      <c r="G57" s="6">
        <f t="shared" ca="1" si="2"/>
        <v>0</v>
      </c>
      <c r="H57" s="6">
        <f t="shared" si="3"/>
        <v>0</v>
      </c>
      <c r="I57" s="6" t="e">
        <f t="shared" si="4"/>
        <v>#VALUE!</v>
      </c>
      <c r="J57" s="6">
        <f t="shared" si="5"/>
        <v>0</v>
      </c>
      <c r="K57" s="6" t="e">
        <f t="shared" si="6"/>
        <v>#VALUE!</v>
      </c>
      <c r="L57" s="6">
        <f t="shared" si="7"/>
        <v>1</v>
      </c>
      <c r="M57" s="6">
        <f ca="1">rScores!Z50</f>
        <v>8.3333333333333339</v>
      </c>
      <c r="N57" s="6">
        <f>tblIndicators!F50</f>
        <v>3</v>
      </c>
      <c r="O57" s="6"/>
      <c r="P57" s="6"/>
      <c r="Q57" s="6"/>
      <c r="R57" s="6" t="str">
        <f t="shared" si="35"/>
        <v/>
      </c>
      <c r="S57" s="6" t="str">
        <f>IF($C57=0,"",RANK(R57,R$10:R$59,1)+COUNTIF(R$10:R57,R57)-1)</f>
        <v/>
      </c>
      <c r="T57" s="6" t="str">
        <f t="shared" si="36"/>
        <v/>
      </c>
      <c r="U57" s="70" t="str">
        <f t="shared" si="37"/>
        <v/>
      </c>
      <c r="V57" s="70" t="str">
        <f t="shared" si="38"/>
        <v/>
      </c>
      <c r="W57" s="70">
        <f t="shared" si="39"/>
        <v>0</v>
      </c>
      <c r="X57" s="69" t="str">
        <f t="shared" si="23"/>
        <v/>
      </c>
      <c r="Y57" s="6" t="str">
        <f t="shared" si="40"/>
        <v/>
      </c>
      <c r="Z57" s="6" t="str">
        <f t="shared" si="47"/>
        <v/>
      </c>
      <c r="AA57" s="6" t="str">
        <f t="shared" si="47"/>
        <v/>
      </c>
      <c r="AB57" s="6" t="str">
        <f t="shared" si="41"/>
        <v/>
      </c>
      <c r="AC57" s="6" t="str">
        <f t="shared" si="42"/>
        <v/>
      </c>
      <c r="AD57" s="6" t="str">
        <f t="shared" si="43"/>
        <v/>
      </c>
      <c r="AE57" s="6" t="str">
        <f t="shared" si="44"/>
        <v/>
      </c>
      <c r="AF57" s="6" t="str">
        <f t="shared" si="45"/>
        <v/>
      </c>
      <c r="AG57" s="6" t="str">
        <f t="shared" si="46"/>
        <v/>
      </c>
      <c r="AH57" s="6" t="str">
        <f t="shared" si="46"/>
        <v/>
      </c>
      <c r="AI57" s="6" t="str">
        <f t="shared" si="46"/>
        <v/>
      </c>
      <c r="AJ57" s="6" t="str">
        <f>IF($T57="","",IF(ISERROR(INDEX(aRank,$T57+1,uxb_works!$B$24)),"",INDEX(aRank,$T57+1,uxb_works!$B$24)))</f>
        <v/>
      </c>
      <c r="AK57" s="6" t="str">
        <f>IF($T57="","",IF(ISERROR(INDEX(aRank,$T57+1,uxb_works!$B$25)),"",INDEX(aRank,$T57+1,uxb_works!$B$25)))</f>
        <v/>
      </c>
      <c r="AL57" s="6" t="str">
        <f>IF($T57="","",IF(ISERROR(INDEX(aRank,$T57+1,uxb_works!$B$26-1)),"",INDEX(aRank,$T57+1,uxb_works!$B$26-1)))</f>
        <v/>
      </c>
      <c r="AM57" s="6" t="str">
        <f>IF($T57="","",IF(ISERROR(INDEX(aRank,$T57+1,uxb_works!$B$27-1)),"",INDEX(aRank,$T57+1,uxb_works!$B$27-1)))</f>
        <v/>
      </c>
      <c r="AN57" s="6"/>
      <c r="AO57" s="14" t="str">
        <f>IF(T57="","",INDEX(tblIndicators!$H$3:$H$66,iCCompare!T57))</f>
        <v/>
      </c>
      <c r="AP57" s="6" t="str">
        <f t="shared" si="24"/>
        <v/>
      </c>
      <c r="AQ57" s="6" t="str">
        <f t="shared" si="25"/>
        <v/>
      </c>
      <c r="AR57" s="6" t="str">
        <f t="shared" si="26"/>
        <v/>
      </c>
      <c r="AS57" s="6" t="str">
        <f t="shared" si="27"/>
        <v/>
      </c>
      <c r="AT57" s="6">
        <v>3</v>
      </c>
      <c r="AU57" s="6"/>
      <c r="AV57" s="28" t="str">
        <f>IF(T57="","",INDEX(tblIndicators!$V$3:$V$52,iCCompare!T57))</f>
        <v/>
      </c>
      <c r="AW57" s="28">
        <f t="shared" si="28"/>
        <v>0</v>
      </c>
      <c r="AX57" s="28">
        <f t="shared" si="29"/>
        <v>0</v>
      </c>
      <c r="AZ57" s="6" t="str">
        <f>IF($T57="","",IF(ISERROR(INDEX(aRankNumbers,$T57+1,uxb_works!$B$24)),"",INDEX(aRankNumbers,$T57+1,uxb_works!$B$24)))</f>
        <v/>
      </c>
      <c r="BA57" s="6" t="str">
        <f>IF($T57="","",IF(ISERROR(INDEX(aRankNumbers,$T57+1,uxb_works!$B$25)),"",INDEX(aRankNumbers,$T57+1,uxb_works!$B$25)))</f>
        <v/>
      </c>
      <c r="BB57" s="6" t="str">
        <f>IF($T57="","",IF(ISERROR(INDEX(aRankNumbers,$T57+1,uxb_works!$B$26-1)),"",INDEX(aRankNumbers,$T57+1,uxb_works!$B$26-1)))</f>
        <v/>
      </c>
      <c r="BC57" s="6" t="str">
        <f>IF($T57="","",IF(ISERROR(INDEX(aRankNumbers,$T57+1,uxb_works!$B$27-1)),"",INDEX(aRankNumbers,$T57+1,uxb_works!$B$27-1)))</f>
        <v/>
      </c>
      <c r="BE57" s="28">
        <f t="shared" si="30"/>
        <v>0</v>
      </c>
      <c r="BF57" s="28">
        <f t="shared" si="31"/>
        <v>0</v>
      </c>
      <c r="BG57" s="28">
        <f t="shared" si="32"/>
        <v>0</v>
      </c>
      <c r="BH57" s="28">
        <f t="shared" si="33"/>
        <v>0</v>
      </c>
    </row>
    <row r="58" spans="1:60" s="28" customFormat="1">
      <c r="A58" s="6">
        <f>tblCategories!A51</f>
        <v>49</v>
      </c>
      <c r="B58" s="6" t="str">
        <f>tblCategories!D51</f>
        <v>3.4.3) 36.¿Hay planes inclusivos de cierre de vertederos a cielo abierto?</v>
      </c>
      <c r="C58" s="6">
        <f>tblCategories!F51</f>
        <v>0</v>
      </c>
      <c r="D58" s="6">
        <v>1</v>
      </c>
      <c r="E58" s="6">
        <f t="shared" ca="1" si="0"/>
        <v>0</v>
      </c>
      <c r="F58" s="6">
        <f t="shared" si="1"/>
        <v>0</v>
      </c>
      <c r="G58" s="6">
        <f t="shared" ca="1" si="2"/>
        <v>100</v>
      </c>
      <c r="H58" s="6">
        <f t="shared" si="3"/>
        <v>1</v>
      </c>
      <c r="I58" s="6" t="e">
        <f t="shared" si="4"/>
        <v>#VALUE!</v>
      </c>
      <c r="J58" s="6">
        <f t="shared" si="5"/>
        <v>0</v>
      </c>
      <c r="K58" s="6" t="e">
        <f t="shared" si="6"/>
        <v>#VALUE!</v>
      </c>
      <c r="L58" s="6">
        <f t="shared" si="7"/>
        <v>1</v>
      </c>
      <c r="M58" s="6">
        <f ca="1">rScores!Z51</f>
        <v>83.333333333333329</v>
      </c>
      <c r="N58" s="6">
        <f>tblIndicators!F51</f>
        <v>3</v>
      </c>
      <c r="O58" s="6"/>
      <c r="P58" s="6"/>
      <c r="Q58" s="6"/>
      <c r="R58" s="6" t="str">
        <f t="shared" si="35"/>
        <v/>
      </c>
      <c r="S58" s="6" t="str">
        <f>IF($C58=0,"",RANK(R58,R$10:R$59,1)+COUNTIF(R$10:R58,R58)-1)</f>
        <v/>
      </c>
      <c r="T58" s="6" t="str">
        <f t="shared" si="36"/>
        <v/>
      </c>
      <c r="U58" s="70" t="str">
        <f t="shared" si="37"/>
        <v/>
      </c>
      <c r="V58" s="70" t="str">
        <f t="shared" si="38"/>
        <v/>
      </c>
      <c r="W58" s="70">
        <f t="shared" si="39"/>
        <v>0</v>
      </c>
      <c r="X58" s="69" t="str">
        <f t="shared" si="23"/>
        <v/>
      </c>
      <c r="Y58" s="6" t="str">
        <f t="shared" si="40"/>
        <v/>
      </c>
      <c r="Z58" s="6" t="str">
        <f t="shared" si="47"/>
        <v/>
      </c>
      <c r="AA58" s="6" t="str">
        <f t="shared" si="47"/>
        <v/>
      </c>
      <c r="AB58" s="6" t="str">
        <f t="shared" si="41"/>
        <v/>
      </c>
      <c r="AC58" s="6" t="str">
        <f t="shared" si="42"/>
        <v/>
      </c>
      <c r="AD58" s="6" t="str">
        <f t="shared" si="43"/>
        <v/>
      </c>
      <c r="AE58" s="6" t="str">
        <f t="shared" si="44"/>
        <v/>
      </c>
      <c r="AF58" s="6" t="str">
        <f t="shared" si="45"/>
        <v/>
      </c>
      <c r="AG58" s="6" t="str">
        <f t="shared" si="46"/>
        <v/>
      </c>
      <c r="AH58" s="6" t="str">
        <f t="shared" si="46"/>
        <v/>
      </c>
      <c r="AI58" s="6" t="str">
        <f t="shared" si="46"/>
        <v/>
      </c>
      <c r="AJ58" s="6" t="str">
        <f>IF($T58="","",IF(ISERROR(INDEX(aRank,$T58+1,uxb_works!$B$24)),"",INDEX(aRank,$T58+1,uxb_works!$B$24)))</f>
        <v/>
      </c>
      <c r="AK58" s="6" t="str">
        <f>IF($T58="","",IF(ISERROR(INDEX(aRank,$T58+1,uxb_works!$B$25)),"",INDEX(aRank,$T58+1,uxb_works!$B$25)))</f>
        <v/>
      </c>
      <c r="AL58" s="6" t="str">
        <f>IF($T58="","",IF(ISERROR(INDEX(aRank,$T58+1,uxb_works!$B$26-1)),"",INDEX(aRank,$T58+1,uxb_works!$B$26-1)))</f>
        <v/>
      </c>
      <c r="AM58" s="6" t="str">
        <f>IF($T58="","",IF(ISERROR(INDEX(aRank,$T58+1,uxb_works!$B$27-1)),"",INDEX(aRank,$T58+1,uxb_works!$B$27-1)))</f>
        <v/>
      </c>
      <c r="AN58" s="6"/>
      <c r="AO58" s="14" t="str">
        <f>IF(T58="","",INDEX(tblIndicators!$H$3:$H$66,iCCompare!T58))</f>
        <v/>
      </c>
      <c r="AP58" s="6" t="str">
        <f t="shared" si="24"/>
        <v/>
      </c>
      <c r="AQ58" s="6" t="str">
        <f t="shared" si="25"/>
        <v/>
      </c>
      <c r="AR58" s="6" t="str">
        <f t="shared" si="26"/>
        <v/>
      </c>
      <c r="AS58" s="6" t="str">
        <f t="shared" si="27"/>
        <v/>
      </c>
      <c r="AT58" s="6">
        <v>3</v>
      </c>
      <c r="AU58" s="6"/>
      <c r="AV58" s="28" t="str">
        <f>IF(T58="","",INDEX(tblIndicators!$V$3:$V$52,iCCompare!T58))</f>
        <v/>
      </c>
      <c r="AW58" s="28">
        <f t="shared" si="28"/>
        <v>0</v>
      </c>
      <c r="AX58" s="28">
        <f t="shared" si="29"/>
        <v>0</v>
      </c>
      <c r="AZ58" s="6" t="str">
        <f>IF($T58="","",IF(ISERROR(INDEX(aRankNumbers,$T58+1,uxb_works!$B$24)),"",INDEX(aRankNumbers,$T58+1,uxb_works!$B$24)))</f>
        <v/>
      </c>
      <c r="BA58" s="6" t="str">
        <f>IF($T58="","",IF(ISERROR(INDEX(aRankNumbers,$T58+1,uxb_works!$B$25)),"",INDEX(aRankNumbers,$T58+1,uxb_works!$B$25)))</f>
        <v/>
      </c>
      <c r="BB58" s="6" t="str">
        <f>IF($T58="","",IF(ISERROR(INDEX(aRankNumbers,$T58+1,uxb_works!$B$26-1)),"",INDEX(aRankNumbers,$T58+1,uxb_works!$B$26-1)))</f>
        <v/>
      </c>
      <c r="BC58" s="6" t="str">
        <f>IF($T58="","",IF(ISERROR(INDEX(aRankNumbers,$T58+1,uxb_works!$B$27-1)),"",INDEX(aRankNumbers,$T58+1,uxb_works!$B$27-1)))</f>
        <v/>
      </c>
      <c r="BE58" s="28">
        <f t="shared" si="30"/>
        <v>0</v>
      </c>
      <c r="BF58" s="28">
        <f t="shared" si="31"/>
        <v>0</v>
      </c>
      <c r="BG58" s="28">
        <f t="shared" si="32"/>
        <v>0</v>
      </c>
      <c r="BH58" s="28">
        <f t="shared" si="33"/>
        <v>0</v>
      </c>
    </row>
    <row r="59" spans="1:60" s="28" customFormat="1">
      <c r="A59" s="6">
        <f>tblCategories!A52</f>
        <v>50</v>
      </c>
      <c r="B59" s="6" t="str">
        <f>tblCategories!D52</f>
        <v>3.4.4) 37.¿Los recicladores tienen acceso a herramientas de trabajo adecuadas?</v>
      </c>
      <c r="C59" s="6">
        <f>tblCategories!F52</f>
        <v>0</v>
      </c>
      <c r="D59" s="6">
        <v>1</v>
      </c>
      <c r="E59" s="6">
        <f t="shared" ca="1" si="0"/>
        <v>0</v>
      </c>
      <c r="F59" s="6">
        <f t="shared" si="1"/>
        <v>0</v>
      </c>
      <c r="G59" s="6">
        <f t="shared" ca="1" si="2"/>
        <v>50</v>
      </c>
      <c r="H59" s="6">
        <f t="shared" si="3"/>
        <v>1</v>
      </c>
      <c r="I59" s="6" t="e">
        <f t="shared" si="4"/>
        <v>#VALUE!</v>
      </c>
      <c r="J59" s="6">
        <f t="shared" si="5"/>
        <v>0</v>
      </c>
      <c r="K59" s="6" t="e">
        <f t="shared" si="6"/>
        <v>#VALUE!</v>
      </c>
      <c r="L59" s="6">
        <f t="shared" si="7"/>
        <v>2</v>
      </c>
      <c r="M59" s="6">
        <f ca="1">rScores!Z52</f>
        <v>33.333333333333336</v>
      </c>
      <c r="N59" s="6">
        <f>tblIndicators!F52</f>
        <v>3</v>
      </c>
      <c r="O59" s="6"/>
      <c r="P59" s="6"/>
      <c r="Q59" s="6"/>
      <c r="R59" s="6" t="str">
        <f t="shared" si="35"/>
        <v/>
      </c>
      <c r="S59" s="6" t="str">
        <f>IF($C59=0,"",RANK(R59,R$10:R$59,1)+COUNTIF(R$10:R59,R59)-1)</f>
        <v/>
      </c>
      <c r="T59" s="6" t="str">
        <f t="shared" si="36"/>
        <v/>
      </c>
      <c r="U59" s="70" t="str">
        <f t="shared" si="37"/>
        <v/>
      </c>
      <c r="V59" s="70" t="str">
        <f t="shared" si="38"/>
        <v/>
      </c>
      <c r="W59" s="70">
        <f t="shared" si="39"/>
        <v>0</v>
      </c>
      <c r="X59" s="69" t="str">
        <f t="shared" si="23"/>
        <v/>
      </c>
      <c r="Y59" s="6" t="str">
        <f t="shared" si="40"/>
        <v/>
      </c>
      <c r="Z59" s="6" t="str">
        <f t="shared" si="47"/>
        <v/>
      </c>
      <c r="AA59" s="6" t="str">
        <f t="shared" si="47"/>
        <v/>
      </c>
      <c r="AB59" s="6" t="str">
        <f t="shared" si="41"/>
        <v/>
      </c>
      <c r="AC59" s="6" t="str">
        <f t="shared" si="42"/>
        <v/>
      </c>
      <c r="AD59" s="6" t="str">
        <f t="shared" si="43"/>
        <v/>
      </c>
      <c r="AE59" s="6" t="str">
        <f t="shared" si="44"/>
        <v/>
      </c>
      <c r="AF59" s="6" t="str">
        <f t="shared" si="45"/>
        <v/>
      </c>
      <c r="AG59" s="6" t="str">
        <f t="shared" si="46"/>
        <v/>
      </c>
      <c r="AH59" s="6" t="str">
        <f t="shared" si="46"/>
        <v/>
      </c>
      <c r="AI59" s="6" t="str">
        <f t="shared" si="46"/>
        <v/>
      </c>
      <c r="AJ59" s="6" t="str">
        <f>IF($T59="","",IF(ISERROR(INDEX(aRank,$T59+1,uxb_works!$B$24)),"",INDEX(aRank,$T59+1,uxb_works!$B$24)))</f>
        <v/>
      </c>
      <c r="AK59" s="6" t="str">
        <f>IF($T59="","",IF(ISERROR(INDEX(aRank,$T59+1,uxb_works!$B$25)),"",INDEX(aRank,$T59+1,uxb_works!$B$25)))</f>
        <v/>
      </c>
      <c r="AL59" s="6" t="str">
        <f>IF($T59="","",IF(ISERROR(INDEX(aRank,$T59+1,uxb_works!$B$26-1)),"",INDEX(aRank,$T59+1,uxb_works!$B$26-1)))</f>
        <v/>
      </c>
      <c r="AM59" s="6" t="str">
        <f>IF($T59="","",IF(ISERROR(INDEX(aRank,$T59+1,uxb_works!$B$27-1)),"",INDEX(aRank,$T59+1,uxb_works!$B$27-1)))</f>
        <v/>
      </c>
      <c r="AN59" s="6"/>
      <c r="AO59" s="14" t="str">
        <f>IF(T59="","",INDEX(tblIndicators!$H$3:$H$66,iCCompare!T59))</f>
        <v/>
      </c>
      <c r="AP59" s="6" t="str">
        <f t="shared" si="24"/>
        <v/>
      </c>
      <c r="AQ59" s="6" t="str">
        <f t="shared" si="25"/>
        <v/>
      </c>
      <c r="AR59" s="6" t="str">
        <f t="shared" si="26"/>
        <v/>
      </c>
      <c r="AS59" s="6" t="str">
        <f t="shared" si="27"/>
        <v/>
      </c>
      <c r="AT59" s="6">
        <v>3</v>
      </c>
      <c r="AU59" s="6"/>
      <c r="AV59" s="28" t="str">
        <f>IF(T59="","",INDEX(tblIndicators!$V$3:$V$52,iCCompare!T59))</f>
        <v/>
      </c>
      <c r="AW59" s="28">
        <f t="shared" si="28"/>
        <v>0</v>
      </c>
      <c r="AX59" s="28">
        <f t="shared" si="29"/>
        <v>0</v>
      </c>
      <c r="AZ59" s="6" t="str">
        <f>IF($T59="","",IF(ISERROR(INDEX(aRankNumbers,$T59+1,uxb_works!$B$24)),"",INDEX(aRankNumbers,$T59+1,uxb_works!$B$24)))</f>
        <v/>
      </c>
      <c r="BA59" s="6" t="str">
        <f>IF($T59="","",IF(ISERROR(INDEX(aRankNumbers,$T59+1,uxb_works!$B$25)),"",INDEX(aRankNumbers,$T59+1,uxb_works!$B$25)))</f>
        <v/>
      </c>
      <c r="BB59" s="6" t="str">
        <f>IF($T59="","",IF(ISERROR(INDEX(aRankNumbers,$T59+1,uxb_works!$B$26-1)),"",INDEX(aRankNumbers,$T59+1,uxb_works!$B$26-1)))</f>
        <v/>
      </c>
      <c r="BC59" s="6" t="str">
        <f>IF($T59="","",IF(ISERROR(INDEX(aRankNumbers,$T59+1,uxb_works!$B$27-1)),"",INDEX(aRankNumbers,$T59+1,uxb_works!$B$27-1)))</f>
        <v/>
      </c>
      <c r="BE59" s="28">
        <f t="shared" si="30"/>
        <v>0</v>
      </c>
      <c r="BF59" s="28">
        <f t="shared" si="31"/>
        <v>0</v>
      </c>
      <c r="BG59" s="28">
        <f t="shared" si="32"/>
        <v>0</v>
      </c>
      <c r="BH59" s="28">
        <f t="shared" si="33"/>
        <v>0</v>
      </c>
    </row>
  </sheetData>
  <pageMargins left="0.55118110236220474" right="0.55118110236220474" top="0.59055118110236227" bottom="0.78740157480314965" header="0.51181102362204722" footer="0.51181102362204722"/>
  <pageSetup paperSize="9" scale="22" orientation="landscape" r:id="rId1"/>
  <headerFooter alignWithMargins="0">
    <oddHeader>&amp;RResultados del Modelo de Reciclaje Inclusivo</oddHeader>
  </headerFooter>
</worksheet>
</file>

<file path=xl/worksheets/sheet34.xml><?xml version="1.0" encoding="utf-8"?>
<worksheet xmlns="http://schemas.openxmlformats.org/spreadsheetml/2006/main" xmlns:r="http://schemas.openxmlformats.org/officeDocument/2006/relationships">
  <sheetPr codeName="Sheet4">
    <pageSetUpPr fitToPage="1"/>
  </sheetPr>
  <dimension ref="A1:BV156"/>
  <sheetViews>
    <sheetView showGridLines="0" showRowColHeaders="0" zoomScale="80" zoomScaleNormal="80" workbookViewId="0">
      <pane xSplit="9" ySplit="4" topLeftCell="J15" activePane="bottomRight" state="frozen"/>
      <selection activeCell="Z8" sqref="Z8"/>
      <selection pane="topRight" activeCell="Z8" sqref="Z8"/>
      <selection pane="bottomLeft" activeCell="Z8" sqref="Z8"/>
      <selection pane="bottomRight" activeCell="J15" sqref="J15"/>
    </sheetView>
  </sheetViews>
  <sheetFormatPr defaultRowHeight="15"/>
  <cols>
    <col min="1" max="1" width="2.7109375" style="364" customWidth="1"/>
    <col min="2" max="4" width="9.7109375" style="365" hidden="1" customWidth="1"/>
    <col min="5" max="7" width="9.7109375" style="366" hidden="1" customWidth="1"/>
    <col min="8" max="8" width="80.28515625" style="389" customWidth="1"/>
    <col min="9" max="9" width="19.85546875" style="389" customWidth="1"/>
    <col min="10" max="10" width="19.85546875" style="370" customWidth="1"/>
    <col min="11" max="21" width="15.5703125" style="370" customWidth="1"/>
    <col min="22" max="31" width="10.42578125" style="369" customWidth="1"/>
    <col min="32" max="74" width="9.140625" style="369"/>
    <col min="75" max="16384" width="9.140625" style="370"/>
  </cols>
  <sheetData>
    <row r="1" spans="1:74" s="355" customFormat="1" ht="24" customHeight="1">
      <c r="A1" s="351"/>
      <c r="B1" s="352"/>
      <c r="C1" s="352"/>
      <c r="D1" s="353"/>
      <c r="E1" s="352"/>
      <c r="F1" s="352"/>
      <c r="G1" s="352"/>
      <c r="H1" s="354"/>
      <c r="I1" s="354"/>
      <c r="P1" s="356"/>
      <c r="Q1" s="356"/>
      <c r="R1" s="356"/>
      <c r="S1" s="356"/>
      <c r="T1" s="356"/>
      <c r="U1" s="356"/>
      <c r="AX1" s="357">
        <v>4</v>
      </c>
      <c r="AY1" s="357">
        <v>0</v>
      </c>
      <c r="AZ1" s="357"/>
    </row>
    <row r="2" spans="1:74" s="363" customFormat="1" ht="67.5" customHeight="1">
      <c r="A2" s="358"/>
      <c r="B2" s="359"/>
      <c r="C2" s="359"/>
      <c r="D2" s="359"/>
      <c r="E2" s="360"/>
      <c r="F2" s="360"/>
      <c r="G2" s="360"/>
      <c r="H2" s="361"/>
      <c r="I2" s="362"/>
      <c r="J2" s="356"/>
      <c r="K2" s="356"/>
      <c r="L2" s="356"/>
      <c r="M2" s="356"/>
      <c r="N2" s="356"/>
      <c r="O2" s="356"/>
      <c r="P2" s="356"/>
      <c r="Q2" s="356"/>
      <c r="R2" s="356"/>
      <c r="S2" s="356"/>
      <c r="T2" s="356"/>
      <c r="U2" s="392" t="s">
        <v>2352</v>
      </c>
      <c r="V2" s="392" t="s">
        <v>2345</v>
      </c>
      <c r="W2" s="392" t="s">
        <v>2346</v>
      </c>
      <c r="X2" s="392" t="s">
        <v>2</v>
      </c>
      <c r="Y2" s="392" t="s">
        <v>1</v>
      </c>
      <c r="Z2" s="392" t="s">
        <v>2164</v>
      </c>
      <c r="AA2" s="392" t="s">
        <v>2347</v>
      </c>
      <c r="AB2" s="392" t="s">
        <v>2348</v>
      </c>
      <c r="AC2" s="392" t="s">
        <v>2349</v>
      </c>
      <c r="AD2" s="392" t="s">
        <v>2350</v>
      </c>
      <c r="AE2" s="392" t="s">
        <v>2351</v>
      </c>
      <c r="AF2" s="342"/>
      <c r="AG2" s="342"/>
      <c r="AH2" s="342"/>
      <c r="AI2" s="342"/>
      <c r="AJ2" s="342"/>
      <c r="AK2" s="342"/>
      <c r="AL2" s="342"/>
      <c r="AM2" s="342"/>
      <c r="AN2" s="342"/>
      <c r="AO2" s="342"/>
      <c r="AP2" s="342"/>
      <c r="AQ2" s="342"/>
      <c r="AR2" s="342"/>
      <c r="AS2" s="342"/>
      <c r="AT2" s="342"/>
      <c r="AU2" s="342"/>
      <c r="AV2" s="342"/>
      <c r="AW2" s="342"/>
      <c r="AX2" s="342"/>
      <c r="AY2" s="342"/>
      <c r="AZ2" s="342"/>
      <c r="BA2" s="342"/>
      <c r="BB2" s="342"/>
      <c r="BC2" s="342"/>
      <c r="BD2" s="342"/>
      <c r="BE2" s="342"/>
      <c r="BF2" s="342"/>
      <c r="BG2" s="342"/>
      <c r="BH2" s="342"/>
      <c r="BI2" s="342"/>
      <c r="BJ2" s="342"/>
      <c r="BK2" s="342"/>
      <c r="BL2" s="342"/>
      <c r="BM2" s="342"/>
      <c r="BN2" s="342"/>
      <c r="BO2" s="342"/>
      <c r="BP2" s="342"/>
      <c r="BQ2" s="355"/>
      <c r="BR2" s="355"/>
      <c r="BS2" s="355"/>
      <c r="BT2" s="355"/>
      <c r="BU2" s="355"/>
      <c r="BV2" s="355"/>
    </row>
    <row r="3" spans="1:74" ht="15.75">
      <c r="H3" s="367"/>
      <c r="I3" s="368"/>
      <c r="J3" s="419">
        <f>I3+1</f>
        <v>1</v>
      </c>
      <c r="K3" s="419">
        <f t="shared" ref="K3:U3" si="0">J3+1</f>
        <v>2</v>
      </c>
      <c r="L3" s="419">
        <f t="shared" si="0"/>
        <v>3</v>
      </c>
      <c r="M3" s="419">
        <f t="shared" si="0"/>
        <v>4</v>
      </c>
      <c r="N3" s="419">
        <f t="shared" si="0"/>
        <v>5</v>
      </c>
      <c r="O3" s="419">
        <f t="shared" si="0"/>
        <v>6</v>
      </c>
      <c r="P3" s="419">
        <f t="shared" si="0"/>
        <v>7</v>
      </c>
      <c r="Q3" s="419">
        <f t="shared" si="0"/>
        <v>8</v>
      </c>
      <c r="R3" s="419">
        <f t="shared" si="0"/>
        <v>9</v>
      </c>
      <c r="S3" s="419">
        <f t="shared" si="0"/>
        <v>10</v>
      </c>
      <c r="T3" s="419">
        <f t="shared" si="0"/>
        <v>11</v>
      </c>
      <c r="U3" s="419">
        <f t="shared" si="0"/>
        <v>12</v>
      </c>
      <c r="V3" s="419">
        <f t="shared" ref="V3" si="1">U3+1</f>
        <v>13</v>
      </c>
      <c r="W3" s="419">
        <f t="shared" ref="W3" si="2">V3+1</f>
        <v>14</v>
      </c>
      <c r="X3" s="419">
        <f t="shared" ref="X3" si="3">W3+1</f>
        <v>15</v>
      </c>
      <c r="Y3" s="419">
        <f t="shared" ref="Y3" si="4">X3+1</f>
        <v>16</v>
      </c>
      <c r="Z3" s="419">
        <f t="shared" ref="Z3" si="5">Y3+1</f>
        <v>17</v>
      </c>
      <c r="AA3" s="419">
        <f t="shared" ref="AA3" si="6">Z3+1</f>
        <v>18</v>
      </c>
      <c r="AB3" s="419">
        <f t="shared" ref="AB3" si="7">AA3+1</f>
        <v>19</v>
      </c>
      <c r="AC3" s="419">
        <f t="shared" ref="AC3" si="8">AB3+1</f>
        <v>20</v>
      </c>
      <c r="AD3" s="419">
        <f t="shared" ref="AD3" si="9">AC3+1</f>
        <v>21</v>
      </c>
      <c r="AE3" s="419">
        <f t="shared" ref="AE3" si="10">AD3+1</f>
        <v>22</v>
      </c>
      <c r="AF3" s="342"/>
      <c r="AG3" s="342"/>
      <c r="AH3" s="342"/>
      <c r="AI3" s="342"/>
      <c r="AJ3" s="342"/>
      <c r="AK3" s="342"/>
      <c r="AL3" s="342"/>
      <c r="AM3" s="342"/>
      <c r="AN3" s="342"/>
      <c r="AO3" s="342"/>
      <c r="AP3" s="342"/>
      <c r="AQ3" s="342"/>
      <c r="AR3" s="342"/>
      <c r="AS3" s="342"/>
      <c r="AT3" s="342"/>
      <c r="AU3" s="342"/>
      <c r="AV3" s="342"/>
      <c r="AW3" s="342"/>
      <c r="AX3" s="342"/>
      <c r="AY3" s="342"/>
      <c r="AZ3" s="342"/>
      <c r="BA3" s="342"/>
      <c r="BB3" s="342"/>
      <c r="BC3" s="342"/>
      <c r="BD3" s="342"/>
      <c r="BE3" s="342"/>
      <c r="BF3" s="342"/>
      <c r="BG3" s="342"/>
      <c r="BH3" s="342"/>
      <c r="BI3" s="342"/>
      <c r="BJ3" s="342"/>
      <c r="BK3" s="342"/>
      <c r="BL3" s="342"/>
      <c r="BM3" s="342"/>
      <c r="BN3" s="342"/>
      <c r="BO3" s="342"/>
      <c r="BP3" s="342"/>
    </row>
    <row r="4" spans="1:74" s="379" customFormat="1" ht="50.1" customHeight="1">
      <c r="A4" s="371"/>
      <c r="B4" s="372" t="str">
        <f>tblIndicators!A1</f>
        <v>ID</v>
      </c>
      <c r="C4" s="372" t="str">
        <f>tblIndicators!B1</f>
        <v>IS_BG</v>
      </c>
      <c r="D4" s="372" t="s">
        <v>312</v>
      </c>
      <c r="E4" s="373" t="str">
        <f>tblIndicators!C1</f>
        <v>Question_Number</v>
      </c>
      <c r="F4" s="373" t="s">
        <v>21</v>
      </c>
      <c r="G4" s="373" t="str">
        <f>tblIndicators!Z1</f>
        <v>NORM_ID (1=sumproduct, 3=min max set by data values, 3=min max set by user here)</v>
      </c>
      <c r="H4" s="374" t="str">
        <f>lang!C80</f>
        <v>Indicadores</v>
      </c>
      <c r="I4" s="375" t="str">
        <f>lang!C82</f>
        <v>Unidades</v>
      </c>
      <c r="J4" s="376" t="str">
        <f>INDEX(tblTerritories!$C$3:$C$14,J3)</f>
        <v>Asunción</v>
      </c>
      <c r="K4" s="376" t="str">
        <f>INDEX(tblTerritories!$C$3:$C$14,K3)</f>
        <v>Bogotá</v>
      </c>
      <c r="L4" s="376" t="str">
        <f>INDEX(tblTerritories!$C$3:$C$14,L3)</f>
        <v>Buenos Aires</v>
      </c>
      <c r="M4" s="376" t="str">
        <f>INDEX(tblTerritories!$C$3:$C$14,M3)</f>
        <v>Ciudad de Belice</v>
      </c>
      <c r="N4" s="376" t="str">
        <f>INDEX(tblTerritories!$C$3:$C$14,N3)</f>
        <v>Ciudad de México</v>
      </c>
      <c r="O4" s="376" t="str">
        <f>INDEX(tblTerritories!$C$3:$C$14,O3)</f>
        <v>Lima</v>
      </c>
      <c r="P4" s="376" t="str">
        <f>INDEX(tblTerritories!$C$3:$C$14,P3)</f>
        <v>Montevideo</v>
      </c>
      <c r="Q4" s="376" t="str">
        <f>INDEX(tblTerritories!$C$3:$C$14,Q3)</f>
        <v>Quito</v>
      </c>
      <c r="R4" s="376" t="str">
        <f>INDEX(tblTerritories!$C$3:$C$14,R3)</f>
        <v>San José</v>
      </c>
      <c r="S4" s="376" t="str">
        <f>INDEX(tblTerritories!$C$3:$C$14,S3)</f>
        <v>San Pablo</v>
      </c>
      <c r="T4" s="376" t="str">
        <f>INDEX(tblTerritories!$C$3:$C$14,T3)</f>
        <v>Santa Cruz</v>
      </c>
      <c r="U4" s="376" t="str">
        <f>INDEX(tblTerritories!$C$3:$C$14,U3)</f>
        <v>Santiago de Chile</v>
      </c>
      <c r="V4" s="377" t="str">
        <f>IF(ISBLANK(UserDataIn!J5),"",UserDataIn!J5)</f>
        <v>Escriba el nombre de la ciudad</v>
      </c>
      <c r="W4" s="377" t="str">
        <f>IF(ISBLANK(UserDataIn!K5),"",UserDataIn!K5)</f>
        <v>Ciudad_02</v>
      </c>
      <c r="X4" s="377" t="str">
        <f>IF(ISBLANK(UserDataIn!L5),"",UserDataIn!L5)</f>
        <v>Ciudad_03</v>
      </c>
      <c r="Y4" s="377" t="str">
        <f>IF(ISBLANK(UserDataIn!M5),"",UserDataIn!M5)</f>
        <v>Ciudad_04</v>
      </c>
      <c r="Z4" s="377" t="str">
        <f>IF(ISBLANK(UserDataIn!N5),"",UserDataIn!N5)</f>
        <v>Ciudad_05</v>
      </c>
      <c r="AA4" s="377" t="str">
        <f>IF(ISBLANK(UserDataIn!O5),"",UserDataIn!O5)</f>
        <v>Ciudad_06</v>
      </c>
      <c r="AB4" s="377" t="str">
        <f>IF(ISBLANK(UserDataIn!P5),"",UserDataIn!P5)</f>
        <v>Ciudad_07</v>
      </c>
      <c r="AC4" s="377" t="str">
        <f>IF(ISBLANK(UserDataIn!Q5),"",UserDataIn!Q5)</f>
        <v>Ciudad_08</v>
      </c>
      <c r="AD4" s="377" t="str">
        <f>IF(ISBLANK(UserDataIn!R5),"",UserDataIn!R5)</f>
        <v>Ciudad_09</v>
      </c>
      <c r="AE4" s="377" t="str">
        <f>IF(ISBLANK(UserDataIn!S5),"",UserDataIn!S5)</f>
        <v>Ciudad_10</v>
      </c>
      <c r="AF4" s="377"/>
      <c r="AG4" s="377"/>
      <c r="AH4" s="377"/>
      <c r="AI4" s="377"/>
      <c r="AJ4" s="377"/>
      <c r="AK4" s="377"/>
      <c r="AL4" s="377"/>
      <c r="AM4" s="377"/>
      <c r="AN4" s="377"/>
      <c r="AO4" s="377"/>
      <c r="AP4" s="377"/>
      <c r="AQ4" s="377"/>
      <c r="AR4" s="377"/>
      <c r="AS4" s="377"/>
      <c r="AT4" s="377"/>
      <c r="AU4" s="377"/>
      <c r="AV4" s="377"/>
      <c r="AW4" s="377"/>
      <c r="AX4" s="377"/>
      <c r="AY4" s="377"/>
      <c r="AZ4" s="377"/>
      <c r="BA4" s="377"/>
      <c r="BB4" s="377"/>
      <c r="BC4" s="377"/>
      <c r="BD4" s="377"/>
      <c r="BE4" s="377"/>
      <c r="BF4" s="377"/>
      <c r="BG4" s="377"/>
      <c r="BH4" s="377"/>
      <c r="BI4" s="377"/>
      <c r="BJ4" s="377"/>
      <c r="BK4" s="377"/>
      <c r="BL4" s="377"/>
      <c r="BM4" s="377"/>
      <c r="BN4" s="377"/>
      <c r="BO4" s="377"/>
      <c r="BP4" s="377"/>
      <c r="BQ4" s="378"/>
      <c r="BR4" s="378"/>
      <c r="BS4" s="378"/>
      <c r="BT4" s="378"/>
      <c r="BU4" s="378"/>
      <c r="BV4" s="378"/>
    </row>
    <row r="5" spans="1:74" s="383" customFormat="1" ht="22.5" customHeight="1">
      <c r="A5" s="380"/>
      <c r="B5" s="381">
        <f>tblIndicators!A2</f>
        <v>1</v>
      </c>
      <c r="C5" s="381">
        <f>tblIndicators!B2</f>
        <v>0</v>
      </c>
      <c r="D5" s="381">
        <f>tblIndicators!F2</f>
        <v>0</v>
      </c>
      <c r="E5" s="381">
        <f>tblIndicators!C2</f>
        <v>0</v>
      </c>
      <c r="F5" s="381" t="str">
        <f>tblIndicators!H2</f>
        <v>CATEGORÍA</v>
      </c>
      <c r="G5" s="381">
        <f>tblIndicators!Z2</f>
        <v>1</v>
      </c>
      <c r="H5" s="420" t="str">
        <f>REPT(" ",D5)&amp;tblIndicators!AE2</f>
        <v>CATEGORÍA</v>
      </c>
      <c r="I5" s="412"/>
      <c r="J5" s="381"/>
      <c r="K5" s="382"/>
      <c r="L5" s="381"/>
      <c r="M5" s="382"/>
      <c r="N5" s="381"/>
      <c r="O5" s="382"/>
      <c r="P5" s="381"/>
      <c r="Q5" s="382"/>
      <c r="R5" s="381"/>
      <c r="S5" s="382"/>
      <c r="T5" s="381"/>
      <c r="U5" s="382"/>
      <c r="V5" s="377" t="str">
        <f>IF(ISBLANK(UserDataIn!J6),"",UserDataIn!J6)</f>
        <v/>
      </c>
      <c r="W5" s="377" t="str">
        <f>IF(ISBLANK(UserDataIn!K6),"",UserDataIn!K6)</f>
        <v/>
      </c>
      <c r="X5" s="377" t="str">
        <f>IF(ISBLANK(UserDataIn!L6),"",UserDataIn!L6)</f>
        <v/>
      </c>
      <c r="Y5" s="377" t="str">
        <f>IF(ISBLANK(UserDataIn!M6),"",UserDataIn!M6)</f>
        <v/>
      </c>
      <c r="Z5" s="377" t="str">
        <f>IF(ISBLANK(UserDataIn!N6),"",UserDataIn!N6)</f>
        <v/>
      </c>
      <c r="AA5" s="377" t="str">
        <f>IF(ISBLANK(UserDataIn!O6),"",UserDataIn!O6)</f>
        <v/>
      </c>
      <c r="AB5" s="377" t="str">
        <f>IF(ISBLANK(UserDataIn!P6),"",UserDataIn!P6)</f>
        <v/>
      </c>
      <c r="AC5" s="377" t="str">
        <f>IF(ISBLANK(UserDataIn!Q6),"",UserDataIn!Q6)</f>
        <v/>
      </c>
      <c r="AD5" s="377" t="str">
        <f>IF(ISBLANK(UserDataIn!R6),"",UserDataIn!R6)</f>
        <v/>
      </c>
      <c r="AE5" s="377" t="str">
        <f>IF(ISBLANK(UserDataIn!S6),"",UserDataIn!S6)</f>
        <v/>
      </c>
    </row>
    <row r="6" spans="1:74" s="383" customFormat="1" ht="22.5" customHeight="1">
      <c r="A6" s="384"/>
      <c r="B6" s="385">
        <f>tblIndicators!A3</f>
        <v>2</v>
      </c>
      <c r="C6" s="385">
        <f>tblIndicators!B3</f>
        <v>0</v>
      </c>
      <c r="D6" s="385">
        <f>tblIndicators!F3</f>
        <v>1</v>
      </c>
      <c r="E6" s="385">
        <f>tblIndicators!C3</f>
        <v>0</v>
      </c>
      <c r="F6" s="385" t="str">
        <f>tblIndicators!H3</f>
        <v>Normativa</v>
      </c>
      <c r="G6" s="385">
        <f>tblIndicators!Z3</f>
        <v>1</v>
      </c>
      <c r="H6" s="421" t="str">
        <f>REPT(" ",D6)&amp;tblIndicators!AE3</f>
        <v xml:space="preserve"> 1) NORMATIVA</v>
      </c>
      <c r="I6" s="417" t="str">
        <f>IF(G6=1,"",tblIndicators!Q3)</f>
        <v/>
      </c>
      <c r="J6" s="385"/>
      <c r="K6" s="386"/>
      <c r="L6" s="385"/>
      <c r="M6" s="386"/>
      <c r="N6" s="385"/>
      <c r="O6" s="386"/>
      <c r="P6" s="385"/>
      <c r="Q6" s="386"/>
      <c r="R6" s="385"/>
      <c r="S6" s="386"/>
      <c r="T6" s="385"/>
      <c r="U6" s="386"/>
      <c r="V6" s="377" t="str">
        <f>IF(ISBLANK(UserDataIn!J7),"",UserDataIn!J7)</f>
        <v/>
      </c>
      <c r="W6" s="377" t="str">
        <f>IF(ISBLANK(UserDataIn!K7),"",UserDataIn!K7)</f>
        <v/>
      </c>
      <c r="X6" s="377" t="str">
        <f>IF(ISBLANK(UserDataIn!L7),"",UserDataIn!L7)</f>
        <v/>
      </c>
      <c r="Y6" s="377" t="str">
        <f>IF(ISBLANK(UserDataIn!M7),"",UserDataIn!M7)</f>
        <v/>
      </c>
      <c r="Z6" s="377" t="str">
        <f>IF(ISBLANK(UserDataIn!N7),"",UserDataIn!N7)</f>
        <v/>
      </c>
      <c r="AA6" s="377" t="str">
        <f>IF(ISBLANK(UserDataIn!O7),"",UserDataIn!O7)</f>
        <v/>
      </c>
      <c r="AB6" s="377" t="str">
        <f>IF(ISBLANK(UserDataIn!P7),"",UserDataIn!P7)</f>
        <v/>
      </c>
      <c r="AC6" s="377" t="str">
        <f>IF(ISBLANK(UserDataIn!Q7),"",UserDataIn!Q7)</f>
        <v/>
      </c>
      <c r="AD6" s="377" t="str">
        <f>IF(ISBLANK(UserDataIn!R7),"",UserDataIn!R7)</f>
        <v/>
      </c>
      <c r="AE6" s="377" t="str">
        <f>IF(ISBLANK(UserDataIn!S7),"",UserDataIn!S7)</f>
        <v/>
      </c>
    </row>
    <row r="7" spans="1:74" s="383" customFormat="1" ht="18.75">
      <c r="A7" s="384"/>
      <c r="B7" s="385">
        <f>tblIndicators!A4</f>
        <v>3</v>
      </c>
      <c r="C7" s="385">
        <f>tblIndicators!B4</f>
        <v>0</v>
      </c>
      <c r="D7" s="385">
        <f>tblIndicators!F4</f>
        <v>2</v>
      </c>
      <c r="E7" s="385">
        <f>tblIndicators!C4</f>
        <v>0</v>
      </c>
      <c r="F7" s="385" t="str">
        <f>tblIndicators!H4</f>
        <v>Normativa sobre gestión de residuos</v>
      </c>
      <c r="G7" s="385">
        <f>tblIndicators!Z4</f>
        <v>1</v>
      </c>
      <c r="H7" s="421" t="str">
        <f>REPT(" ",D7)&amp;tblIndicators!AE4</f>
        <v xml:space="preserve">  1.1) Normativa sobre gestión de residuos</v>
      </c>
      <c r="I7" s="417" t="str">
        <f>IF(G7=1,"",tblIndicators!Q4)</f>
        <v/>
      </c>
      <c r="J7" s="385"/>
      <c r="K7" s="386"/>
      <c r="L7" s="385"/>
      <c r="M7" s="386"/>
      <c r="N7" s="385"/>
      <c r="O7" s="386"/>
      <c r="P7" s="385"/>
      <c r="Q7" s="386"/>
      <c r="R7" s="385"/>
      <c r="S7" s="386"/>
      <c r="T7" s="385"/>
      <c r="U7" s="386"/>
      <c r="V7" s="377" t="str">
        <f>IF(ISBLANK(UserDataIn!J8),"",UserDataIn!J8)</f>
        <v/>
      </c>
      <c r="W7" s="377" t="str">
        <f>IF(ISBLANK(UserDataIn!K8),"",UserDataIn!K8)</f>
        <v/>
      </c>
      <c r="X7" s="377" t="str">
        <f>IF(ISBLANK(UserDataIn!L8),"",UserDataIn!L8)</f>
        <v/>
      </c>
      <c r="Y7" s="377" t="str">
        <f>IF(ISBLANK(UserDataIn!M8),"",UserDataIn!M8)</f>
        <v/>
      </c>
      <c r="Z7" s="377" t="str">
        <f>IF(ISBLANK(UserDataIn!N8),"",UserDataIn!N8)</f>
        <v/>
      </c>
      <c r="AA7" s="377" t="str">
        <f>IF(ISBLANK(UserDataIn!O8),"",UserDataIn!O8)</f>
        <v/>
      </c>
      <c r="AB7" s="377" t="str">
        <f>IF(ISBLANK(UserDataIn!P8),"",UserDataIn!P8)</f>
        <v/>
      </c>
      <c r="AC7" s="377" t="str">
        <f>IF(ISBLANK(UserDataIn!Q8),"",UserDataIn!Q8)</f>
        <v/>
      </c>
      <c r="AD7" s="377" t="str">
        <f>IF(ISBLANK(UserDataIn!R8),"",UserDataIn!R8)</f>
        <v/>
      </c>
      <c r="AE7" s="377" t="str">
        <f>IF(ISBLANK(UserDataIn!S8),"",UserDataIn!S8)</f>
        <v/>
      </c>
    </row>
    <row r="8" spans="1:74" s="383" customFormat="1" ht="30">
      <c r="A8" s="384"/>
      <c r="B8" s="385">
        <f>tblIndicators!A5</f>
        <v>4</v>
      </c>
      <c r="C8" s="385">
        <f>tblIndicators!B5</f>
        <v>0</v>
      </c>
      <c r="D8" s="385">
        <f>tblIndicators!F5</f>
        <v>3</v>
      </c>
      <c r="E8" s="385">
        <f>tblIndicators!C5</f>
        <v>1</v>
      </c>
      <c r="F8" s="385" t="str">
        <f>tblIndicators!H5</f>
        <v>1.¿ Existe un marco legal nacional para la gestión de residuos orientado al reciclaje con la inclusión de actores informales?</v>
      </c>
      <c r="G8" s="385">
        <f>tblIndicators!Z5</f>
        <v>3</v>
      </c>
      <c r="H8" s="421" t="str">
        <f>REPT(" ",D8)&amp;tblIndicators!AE5</f>
        <v xml:space="preserve">   1.1.1) 1.¿ Existe un marco legal nacional para la gestión de residuos orientado al reciclaje con la inclusión de actores informales?</v>
      </c>
      <c r="I8" s="417" t="str">
        <f>IF(G8=1,"",tblIndicators!Q5)</f>
        <v>0 - 2</v>
      </c>
      <c r="J8" s="385">
        <f>IF($E8=0,"",INDEX(Results!$C$3:$N$39,$E8,J$3))</f>
        <v>0</v>
      </c>
      <c r="K8" s="386">
        <f>IF($E8=0,"",INDEX(Results!$C$3:$N$39,$E8,K$3))</f>
        <v>1</v>
      </c>
      <c r="L8" s="385">
        <f>IF($E8=0,"",INDEX(Results!$C$3:$N$39,$E8,L$3))</f>
        <v>0</v>
      </c>
      <c r="M8" s="386">
        <f>IF($E8=0,"",INDEX(Results!$C$3:$N$39,$E8,M$3))</f>
        <v>0</v>
      </c>
      <c r="N8" s="385">
        <f>IF($E8=0,"",INDEX(Results!$C$3:$N$39,$E8,N$3))</f>
        <v>0</v>
      </c>
      <c r="O8" s="386">
        <f>IF($E8=0,"",INDEX(Results!$C$3:$N$39,$E8,O$3))</f>
        <v>2</v>
      </c>
      <c r="P8" s="385">
        <f>IF($E8=0,"",INDEX(Results!$C$3:$N$39,$E8,P$3))</f>
        <v>1</v>
      </c>
      <c r="Q8" s="386">
        <f>IF($E8=0,"",INDEX(Results!$C$3:$N$39,$E8,Q$3))</f>
        <v>0</v>
      </c>
      <c r="R8" s="385">
        <f>IF($E8=0,"",INDEX(Results!$C$3:$N$39,$E8,R$3))</f>
        <v>1</v>
      </c>
      <c r="S8" s="386">
        <f>IF($E8=0,"",INDEX(Results!$C$3:$N$39,$E8,S$3))</f>
        <v>2</v>
      </c>
      <c r="T8" s="385">
        <f>IF($E8=0,"",INDEX(Results!$C$3:$N$39,$E8,T$3))</f>
        <v>1</v>
      </c>
      <c r="U8" s="386">
        <f>IF($E8=0,"",INDEX(Results!$C$3:$N$39,$E8,U$3))</f>
        <v>1</v>
      </c>
      <c r="V8" s="377">
        <f>IF(ISBLANK(UserDataIn!J9),"",UserDataIn!J9)</f>
        <v>1</v>
      </c>
      <c r="W8" s="377" t="str">
        <f>IF(ISBLANK(UserDataIn!K9),"",UserDataIn!K9)</f>
        <v/>
      </c>
      <c r="X8" s="377" t="str">
        <f>IF(ISBLANK(UserDataIn!L9),"",UserDataIn!L9)</f>
        <v/>
      </c>
      <c r="Y8" s="377" t="str">
        <f>IF(ISBLANK(UserDataIn!M9),"",UserDataIn!M9)</f>
        <v/>
      </c>
      <c r="Z8" s="377" t="str">
        <f>IF(ISBLANK(UserDataIn!N9),"",UserDataIn!N9)</f>
        <v/>
      </c>
      <c r="AA8" s="377" t="str">
        <f>IF(ISBLANK(UserDataIn!O9),"",UserDataIn!O9)</f>
        <v/>
      </c>
      <c r="AB8" s="377" t="str">
        <f>IF(ISBLANK(UserDataIn!P9),"",UserDataIn!P9)</f>
        <v/>
      </c>
      <c r="AC8" s="377" t="str">
        <f>IF(ISBLANK(UserDataIn!Q9),"",UserDataIn!Q9)</f>
        <v/>
      </c>
      <c r="AD8" s="377" t="str">
        <f>IF(ISBLANK(UserDataIn!R9),"",UserDataIn!R9)</f>
        <v/>
      </c>
      <c r="AE8" s="377" t="str">
        <f>IF(ISBLANK(UserDataIn!S9),"",UserDataIn!S9)</f>
        <v/>
      </c>
    </row>
    <row r="9" spans="1:74" s="383" customFormat="1" ht="30">
      <c r="A9" s="384"/>
      <c r="B9" s="385">
        <f>tblIndicators!A6</f>
        <v>5</v>
      </c>
      <c r="C9" s="385">
        <f>tblIndicators!B6</f>
        <v>0</v>
      </c>
      <c r="D9" s="385">
        <f>tblIndicators!F6</f>
        <v>3</v>
      </c>
      <c r="E9" s="385">
        <f>tblIndicators!C6</f>
        <v>2</v>
      </c>
      <c r="F9" s="385" t="str">
        <f>tblIndicators!H6</f>
        <v>2.¿Existe un marco legal municipal para la gestión de residuos orientado al reciclaje y la inclusión de actores informales?</v>
      </c>
      <c r="G9" s="385">
        <f>tblIndicators!Z6</f>
        <v>3</v>
      </c>
      <c r="H9" s="421" t="str">
        <f>REPT(" ",D9)&amp;tblIndicators!AE6</f>
        <v xml:space="preserve">   1.1.2) 2.¿Existe un marco legal municipal para la gestión de residuos orientado al reciclaje y la inclusión de actores informales?</v>
      </c>
      <c r="I9" s="417" t="str">
        <f>IF(G9=1,"",tblIndicators!Q6)</f>
        <v>0 - 2</v>
      </c>
      <c r="J9" s="385">
        <f>IF($E9=0,"",INDEX(Results!$C$3:$N$39,$E9,J$3))</f>
        <v>1</v>
      </c>
      <c r="K9" s="386">
        <f>IF($E9=0,"",INDEX(Results!$C$3:$N$39,$E9,K$3))</f>
        <v>2</v>
      </c>
      <c r="L9" s="385">
        <f>IF($E9=0,"",INDEX(Results!$C$3:$N$39,$E9,L$3))</f>
        <v>2</v>
      </c>
      <c r="M9" s="386">
        <f>IF($E9=0,"",INDEX(Results!$C$3:$N$39,$E9,M$3))</f>
        <v>0</v>
      </c>
      <c r="N9" s="385">
        <f>IF($E9=0,"",INDEX(Results!$C$3:$N$39,$E9,N$3))</f>
        <v>0</v>
      </c>
      <c r="O9" s="386">
        <f>IF($E9=0,"",INDEX(Results!$C$3:$N$39,$E9,O$3))</f>
        <v>2</v>
      </c>
      <c r="P9" s="385">
        <f>IF($E9=0,"",INDEX(Results!$C$3:$N$39,$E9,P$3))</f>
        <v>0</v>
      </c>
      <c r="Q9" s="386">
        <f>IF($E9=0,"",INDEX(Results!$C$3:$N$39,$E9,Q$3))</f>
        <v>2</v>
      </c>
      <c r="R9" s="385">
        <f>IF($E9=0,"",INDEX(Results!$C$3:$N$39,$E9,R$3))</f>
        <v>1</v>
      </c>
      <c r="S9" s="386">
        <f>IF($E9=0,"",INDEX(Results!$C$3:$N$39,$E9,S$3))</f>
        <v>2</v>
      </c>
      <c r="T9" s="385">
        <f>IF($E9=0,"",INDEX(Results!$C$3:$N$39,$E9,T$3))</f>
        <v>0</v>
      </c>
      <c r="U9" s="386">
        <f>IF($E9=0,"",INDEX(Results!$C$3:$N$39,$E9,U$3))</f>
        <v>1</v>
      </c>
      <c r="V9" s="377">
        <f>IF(ISBLANK(UserDataIn!J10),"",UserDataIn!J10)</f>
        <v>0</v>
      </c>
      <c r="W9" s="377" t="str">
        <f>IF(ISBLANK(UserDataIn!K10),"",UserDataIn!K10)</f>
        <v/>
      </c>
      <c r="X9" s="377" t="str">
        <f>IF(ISBLANK(UserDataIn!L10),"",UserDataIn!L10)</f>
        <v/>
      </c>
      <c r="Y9" s="377" t="str">
        <f>IF(ISBLANK(UserDataIn!M10),"",UserDataIn!M10)</f>
        <v/>
      </c>
      <c r="Z9" s="377" t="str">
        <f>IF(ISBLANK(UserDataIn!N10),"",UserDataIn!N10)</f>
        <v/>
      </c>
      <c r="AA9" s="377" t="str">
        <f>IF(ISBLANK(UserDataIn!O10),"",UserDataIn!O10)</f>
        <v/>
      </c>
      <c r="AB9" s="377" t="str">
        <f>IF(ISBLANK(UserDataIn!P10),"",UserDataIn!P10)</f>
        <v/>
      </c>
      <c r="AC9" s="377" t="str">
        <f>IF(ISBLANK(UserDataIn!Q10),"",UserDataIn!Q10)</f>
        <v/>
      </c>
      <c r="AD9" s="377" t="str">
        <f>IF(ISBLANK(UserDataIn!R10),"",UserDataIn!R10)</f>
        <v/>
      </c>
      <c r="AE9" s="377" t="str">
        <f>IF(ISBLANK(UserDataIn!S10),"",UserDataIn!S10)</f>
        <v/>
      </c>
    </row>
    <row r="10" spans="1:74" s="383" customFormat="1" ht="30">
      <c r="A10" s="384"/>
      <c r="B10" s="385">
        <f>tblIndicators!A7</f>
        <v>6</v>
      </c>
      <c r="C10" s="385">
        <f>tblIndicators!B7</f>
        <v>0</v>
      </c>
      <c r="D10" s="385">
        <f>tblIndicators!F7</f>
        <v>3</v>
      </c>
      <c r="E10" s="385">
        <f>tblIndicators!C7</f>
        <v>3</v>
      </c>
      <c r="F10" s="385" t="str">
        <f>tblIndicators!H7</f>
        <v>3.¿Son las políticas municipales suficientemente estables para garantizar la continuidad en materia de políticas de reciclaje inclusivo?</v>
      </c>
      <c r="G10" s="385">
        <f>tblIndicators!Z7</f>
        <v>3</v>
      </c>
      <c r="H10" s="421" t="str">
        <f>REPT(" ",D10)&amp;tblIndicators!AE7</f>
        <v xml:space="preserve">   1.1.3) 3.¿Son las políticas municipales suficientemente estables para garantizar la continuidad en materia de políticas de reciclaje inclusivo?</v>
      </c>
      <c r="I10" s="417" t="str">
        <f>IF(G10=1,"",tblIndicators!Q7)</f>
        <v>0 - 2</v>
      </c>
      <c r="J10" s="385">
        <f>IF($E10=0,"",INDEX(Results!$C$3:$N$39,$E10,J$3))</f>
        <v>1</v>
      </c>
      <c r="K10" s="386">
        <f>IF($E10=0,"",INDEX(Results!$C$3:$N$39,$E10,K$3))</f>
        <v>1</v>
      </c>
      <c r="L10" s="385">
        <f>IF($E10=0,"",INDEX(Results!$C$3:$N$39,$E10,L$3))</f>
        <v>2</v>
      </c>
      <c r="M10" s="386">
        <f>IF($E10=0,"",INDEX(Results!$C$3:$N$39,$E10,M$3))</f>
        <v>0</v>
      </c>
      <c r="N10" s="385">
        <f>IF($E10=0,"",INDEX(Results!$C$3:$N$39,$E10,N$3))</f>
        <v>0</v>
      </c>
      <c r="O10" s="386">
        <f>IF($E10=0,"",INDEX(Results!$C$3:$N$39,$E10,O$3))</f>
        <v>0</v>
      </c>
      <c r="P10" s="385">
        <f>IF($E10=0,"",INDEX(Results!$C$3:$N$39,$E10,P$3))</f>
        <v>0</v>
      </c>
      <c r="Q10" s="386">
        <f>IF($E10=0,"",INDEX(Results!$C$3:$N$39,$E10,Q$3))</f>
        <v>1</v>
      </c>
      <c r="R10" s="385">
        <f>IF($E10=0,"",INDEX(Results!$C$3:$N$39,$E10,R$3))</f>
        <v>0</v>
      </c>
      <c r="S10" s="386">
        <f>IF($E10=0,"",INDEX(Results!$C$3:$N$39,$E10,S$3))</f>
        <v>2</v>
      </c>
      <c r="T10" s="385">
        <f>IF($E10=0,"",INDEX(Results!$C$3:$N$39,$E10,T$3))</f>
        <v>1</v>
      </c>
      <c r="U10" s="386">
        <f>IF($E10=0,"",INDEX(Results!$C$3:$N$39,$E10,U$3))</f>
        <v>0</v>
      </c>
      <c r="V10" s="377">
        <f>IF(ISBLANK(UserDataIn!J11),"",UserDataIn!J11)</f>
        <v>0</v>
      </c>
      <c r="W10" s="377" t="str">
        <f>IF(ISBLANK(UserDataIn!K11),"",UserDataIn!K11)</f>
        <v/>
      </c>
      <c r="X10" s="377" t="str">
        <f>IF(ISBLANK(UserDataIn!L11),"",UserDataIn!L11)</f>
        <v/>
      </c>
      <c r="Y10" s="377" t="str">
        <f>IF(ISBLANK(UserDataIn!M11),"",UserDataIn!M11)</f>
        <v/>
      </c>
      <c r="Z10" s="377" t="str">
        <f>IF(ISBLANK(UserDataIn!N11),"",UserDataIn!N11)</f>
        <v/>
      </c>
      <c r="AA10" s="377" t="str">
        <f>IF(ISBLANK(UserDataIn!O11),"",UserDataIn!O11)</f>
        <v/>
      </c>
      <c r="AB10" s="377" t="str">
        <f>IF(ISBLANK(UserDataIn!P11),"",UserDataIn!P11)</f>
        <v/>
      </c>
      <c r="AC10" s="377" t="str">
        <f>IF(ISBLANK(UserDataIn!Q11),"",UserDataIn!Q11)</f>
        <v/>
      </c>
      <c r="AD10" s="377" t="str">
        <f>IF(ISBLANK(UserDataIn!R11),"",UserDataIn!R11)</f>
        <v/>
      </c>
      <c r="AE10" s="377" t="str">
        <f>IF(ISBLANK(UserDataIn!S11),"",UserDataIn!S11)</f>
        <v/>
      </c>
    </row>
    <row r="11" spans="1:74" s="383" customFormat="1" ht="30">
      <c r="A11" s="384"/>
      <c r="B11" s="385">
        <f>tblIndicators!A8</f>
        <v>7</v>
      </c>
      <c r="C11" s="385">
        <f>tblIndicators!B8</f>
        <v>0</v>
      </c>
      <c r="D11" s="385">
        <f>tblIndicators!F8</f>
        <v>3</v>
      </c>
      <c r="E11" s="385">
        <f>tblIndicators!C8</f>
        <v>4</v>
      </c>
      <c r="F11" s="385" t="str">
        <f>tblIndicators!H8</f>
        <v>4.¿Existe un presupuesto (o mecanismo de financiación) municipal asignado para el reciclaje inclusivo?</v>
      </c>
      <c r="G11" s="385">
        <f>tblIndicators!Z8</f>
        <v>3</v>
      </c>
      <c r="H11" s="421" t="str">
        <f>REPT(" ",D11)&amp;tblIndicators!AE8</f>
        <v xml:space="preserve">   1.1.4) 4.¿Existe un presupuesto (o mecanismo de financiación) municipal asignado para el reciclaje inclusivo?</v>
      </c>
      <c r="I11" s="417" t="str">
        <f>IF(G11=1,"",tblIndicators!Q8)</f>
        <v>0 - 2</v>
      </c>
      <c r="J11" s="385">
        <f>IF($E11=0,"",INDEX(Results!$C$3:$N$39,$E11,J$3))</f>
        <v>0</v>
      </c>
      <c r="K11" s="386">
        <f>IF($E11=0,"",INDEX(Results!$C$3:$N$39,$E11,K$3))</f>
        <v>2</v>
      </c>
      <c r="L11" s="385">
        <f>IF($E11=0,"",INDEX(Results!$C$3:$N$39,$E11,L$3))</f>
        <v>2</v>
      </c>
      <c r="M11" s="386">
        <f>IF($E11=0,"",INDEX(Results!$C$3:$N$39,$E11,M$3))</f>
        <v>0</v>
      </c>
      <c r="N11" s="385">
        <f>IF($E11=0,"",INDEX(Results!$C$3:$N$39,$E11,N$3))</f>
        <v>0</v>
      </c>
      <c r="O11" s="386">
        <f>IF($E11=0,"",INDEX(Results!$C$3:$N$39,$E11,O$3))</f>
        <v>2</v>
      </c>
      <c r="P11" s="385">
        <f>IF($E11=0,"",INDEX(Results!$C$3:$N$39,$E11,P$3))</f>
        <v>0</v>
      </c>
      <c r="Q11" s="386">
        <f>IF($E11=0,"",INDEX(Results!$C$3:$N$39,$E11,Q$3))</f>
        <v>2</v>
      </c>
      <c r="R11" s="385">
        <f>IF($E11=0,"",INDEX(Results!$C$3:$N$39,$E11,R$3))</f>
        <v>0</v>
      </c>
      <c r="S11" s="386">
        <f>IF($E11=0,"",INDEX(Results!$C$3:$N$39,$E11,S$3))</f>
        <v>2</v>
      </c>
      <c r="T11" s="385">
        <f>IF($E11=0,"",INDEX(Results!$C$3:$N$39,$E11,T$3))</f>
        <v>0</v>
      </c>
      <c r="U11" s="386">
        <f>IF($E11=0,"",INDEX(Results!$C$3:$N$39,$E11,U$3))</f>
        <v>2</v>
      </c>
      <c r="V11" s="377" t="str">
        <f>IF(ISBLANK(UserDataIn!J12),"",UserDataIn!J12)</f>
        <v/>
      </c>
      <c r="W11" s="377" t="str">
        <f>IF(ISBLANK(UserDataIn!K12),"",UserDataIn!K12)</f>
        <v/>
      </c>
      <c r="X11" s="377" t="str">
        <f>IF(ISBLANK(UserDataIn!L12),"",UserDataIn!L12)</f>
        <v/>
      </c>
      <c r="Y11" s="377" t="str">
        <f>IF(ISBLANK(UserDataIn!M12),"",UserDataIn!M12)</f>
        <v/>
      </c>
      <c r="Z11" s="377" t="str">
        <f>IF(ISBLANK(UserDataIn!N12),"",UserDataIn!N12)</f>
        <v/>
      </c>
      <c r="AA11" s="377" t="str">
        <f>IF(ISBLANK(UserDataIn!O12),"",UserDataIn!O12)</f>
        <v/>
      </c>
      <c r="AB11" s="377" t="str">
        <f>IF(ISBLANK(UserDataIn!P12),"",UserDataIn!P12)</f>
        <v/>
      </c>
      <c r="AC11" s="377" t="str">
        <f>IF(ISBLANK(UserDataIn!Q12),"",UserDataIn!Q12)</f>
        <v/>
      </c>
      <c r="AD11" s="377" t="str">
        <f>IF(ISBLANK(UserDataIn!R12),"",UserDataIn!R12)</f>
        <v/>
      </c>
      <c r="AE11" s="377" t="str">
        <f>IF(ISBLANK(UserDataIn!S12),"",UserDataIn!S12)</f>
        <v/>
      </c>
    </row>
    <row r="12" spans="1:74" s="383" customFormat="1" ht="18.75">
      <c r="A12" s="384"/>
      <c r="B12" s="385">
        <f>tblIndicators!A9</f>
        <v>8</v>
      </c>
      <c r="C12" s="385">
        <f>tblIndicators!B9</f>
        <v>0</v>
      </c>
      <c r="D12" s="385">
        <f>tblIndicators!F9</f>
        <v>2</v>
      </c>
      <c r="E12" s="385">
        <f>tblIndicators!C9</f>
        <v>0</v>
      </c>
      <c r="F12" s="385" t="str">
        <f>tblIndicators!H9</f>
        <v>Integración del reciclador de base</v>
      </c>
      <c r="G12" s="385">
        <f>tblIndicators!Z9</f>
        <v>1</v>
      </c>
      <c r="H12" s="421" t="str">
        <f>REPT(" ",D12)&amp;tblIndicators!AE9</f>
        <v xml:space="preserve">  1.2) Integración del reciclador de base</v>
      </c>
      <c r="I12" s="417" t="str">
        <f>IF(G12=1,"",tblIndicators!Q9)</f>
        <v/>
      </c>
      <c r="J12" s="385" t="str">
        <f>IF($E12=0,"",INDEX(Results!$C$3:$N$39,$E12,J$3))</f>
        <v/>
      </c>
      <c r="K12" s="386" t="str">
        <f>IF($E12=0,"",INDEX(Results!$C$3:$N$39,$E12,K$3))</f>
        <v/>
      </c>
      <c r="L12" s="385" t="str">
        <f>IF($E12=0,"",INDEX(Results!$C$3:$N$39,$E12,L$3))</f>
        <v/>
      </c>
      <c r="M12" s="386" t="str">
        <f>IF($E12=0,"",INDEX(Results!$C$3:$N$39,$E12,M$3))</f>
        <v/>
      </c>
      <c r="N12" s="385" t="str">
        <f>IF($E12=0,"",INDEX(Results!$C$3:$N$39,$E12,N$3))</f>
        <v/>
      </c>
      <c r="O12" s="386" t="str">
        <f>IF($E12=0,"",INDEX(Results!$C$3:$N$39,$E12,O$3))</f>
        <v/>
      </c>
      <c r="P12" s="385" t="str">
        <f>IF($E12=0,"",INDEX(Results!$C$3:$N$39,$E12,P$3))</f>
        <v/>
      </c>
      <c r="Q12" s="386" t="str">
        <f>IF($E12=0,"",INDEX(Results!$C$3:$N$39,$E12,Q$3))</f>
        <v/>
      </c>
      <c r="R12" s="385" t="str">
        <f>IF($E12=0,"",INDEX(Results!$C$3:$N$39,$E12,R$3))</f>
        <v/>
      </c>
      <c r="S12" s="386" t="str">
        <f>IF($E12=0,"",INDEX(Results!$C$3:$N$39,$E12,S$3))</f>
        <v/>
      </c>
      <c r="T12" s="385" t="str">
        <f>IF($E12=0,"",INDEX(Results!$C$3:$N$39,$E12,T$3))</f>
        <v/>
      </c>
      <c r="U12" s="386" t="str">
        <f>IF($E12=0,"",INDEX(Results!$C$3:$N$39,$E12,U$3))</f>
        <v/>
      </c>
      <c r="V12" s="377" t="str">
        <f>IF(ISBLANK(UserDataIn!J13),"",UserDataIn!J13)</f>
        <v/>
      </c>
      <c r="W12" s="377" t="str">
        <f>IF(ISBLANK(UserDataIn!K13),"",UserDataIn!K13)</f>
        <v/>
      </c>
      <c r="X12" s="377" t="str">
        <f>IF(ISBLANK(UserDataIn!L13),"",UserDataIn!L13)</f>
        <v/>
      </c>
      <c r="Y12" s="377" t="str">
        <f>IF(ISBLANK(UserDataIn!M13),"",UserDataIn!M13)</f>
        <v/>
      </c>
      <c r="Z12" s="377" t="str">
        <f>IF(ISBLANK(UserDataIn!N13),"",UserDataIn!N13)</f>
        <v/>
      </c>
      <c r="AA12" s="377" t="str">
        <f>IF(ISBLANK(UserDataIn!O13),"",UserDataIn!O13)</f>
        <v/>
      </c>
      <c r="AB12" s="377" t="str">
        <f>IF(ISBLANK(UserDataIn!P13),"",UserDataIn!P13)</f>
        <v/>
      </c>
      <c r="AC12" s="377" t="str">
        <f>IF(ISBLANK(UserDataIn!Q13),"",UserDataIn!Q13)</f>
        <v/>
      </c>
      <c r="AD12" s="377" t="str">
        <f>IF(ISBLANK(UserDataIn!R13),"",UserDataIn!R13)</f>
        <v/>
      </c>
      <c r="AE12" s="377" t="str">
        <f>IF(ISBLANK(UserDataIn!S13),"",UserDataIn!S13)</f>
        <v/>
      </c>
    </row>
    <row r="13" spans="1:74" s="383" customFormat="1" ht="18.75">
      <c r="A13" s="384"/>
      <c r="B13" s="385">
        <f>tblIndicators!A10</f>
        <v>9</v>
      </c>
      <c r="C13" s="385">
        <f>tblIndicators!B10</f>
        <v>0</v>
      </c>
      <c r="D13" s="385">
        <f>tblIndicators!F10</f>
        <v>3</v>
      </c>
      <c r="E13" s="385">
        <f>tblIndicators!C10</f>
        <v>5</v>
      </c>
      <c r="F13" s="385" t="str">
        <f>tblIndicators!H10</f>
        <v>5.¿Existe reconocimiento legal de la ocupación de reciclador de base?</v>
      </c>
      <c r="G13" s="385">
        <f>tblIndicators!Z10</f>
        <v>3</v>
      </c>
      <c r="H13" s="421" t="str">
        <f>REPT(" ",D13)&amp;tblIndicators!AE10</f>
        <v xml:space="preserve">   1.2.1) 5.¿Existe reconocimiento legal de la ocupación de reciclador de base?</v>
      </c>
      <c r="I13" s="417" t="str">
        <f>IF(G13=1,"",tblIndicators!Q10)</f>
        <v>0 - 1</v>
      </c>
      <c r="J13" s="385">
        <f>IF($E13=0,"",INDEX(Results!$C$3:$N$39,$E13,J$3))</f>
        <v>0</v>
      </c>
      <c r="K13" s="386">
        <f>IF($E13=0,"",INDEX(Results!$C$3:$N$39,$E13,K$3))</f>
        <v>1</v>
      </c>
      <c r="L13" s="385">
        <f>IF($E13=0,"",INDEX(Results!$C$3:$N$39,$E13,L$3))</f>
        <v>1</v>
      </c>
      <c r="M13" s="386">
        <f>IF($E13=0,"",INDEX(Results!$C$3:$N$39,$E13,M$3))</f>
        <v>0</v>
      </c>
      <c r="N13" s="385">
        <f>IF($E13=0,"",INDEX(Results!$C$3:$N$39,$E13,N$3))</f>
        <v>0</v>
      </c>
      <c r="O13" s="386">
        <f>IF($E13=0,"",INDEX(Results!$C$3:$N$39,$E13,O$3))</f>
        <v>1</v>
      </c>
      <c r="P13" s="385">
        <f>IF($E13=0,"",INDEX(Results!$C$3:$N$39,$E13,P$3))</f>
        <v>0</v>
      </c>
      <c r="Q13" s="386">
        <f>IF($E13=0,"",INDEX(Results!$C$3:$N$39,$E13,Q$3))</f>
        <v>0</v>
      </c>
      <c r="R13" s="385">
        <f>IF($E13=0,"",INDEX(Results!$C$3:$N$39,$E13,R$3))</f>
        <v>0</v>
      </c>
      <c r="S13" s="386">
        <f>IF($E13=0,"",INDEX(Results!$C$3:$N$39,$E13,S$3))</f>
        <v>1</v>
      </c>
      <c r="T13" s="385">
        <f>IF($E13=0,"",INDEX(Results!$C$3:$N$39,$E13,T$3))</f>
        <v>0</v>
      </c>
      <c r="U13" s="386">
        <f>IF($E13=0,"",INDEX(Results!$C$3:$N$39,$E13,U$3))</f>
        <v>0</v>
      </c>
      <c r="V13" s="377">
        <f>IF(ISBLANK(UserDataIn!J14),"",UserDataIn!J14)</f>
        <v>0</v>
      </c>
      <c r="W13" s="377" t="str">
        <f>IF(ISBLANK(UserDataIn!K14),"",UserDataIn!K14)</f>
        <v/>
      </c>
      <c r="X13" s="377" t="str">
        <f>IF(ISBLANK(UserDataIn!L14),"",UserDataIn!L14)</f>
        <v/>
      </c>
      <c r="Y13" s="377" t="str">
        <f>IF(ISBLANK(UserDataIn!M14),"",UserDataIn!M14)</f>
        <v/>
      </c>
      <c r="Z13" s="377" t="str">
        <f>IF(ISBLANK(UserDataIn!N14),"",UserDataIn!N14)</f>
        <v/>
      </c>
      <c r="AA13" s="377" t="str">
        <f>IF(ISBLANK(UserDataIn!O14),"",UserDataIn!O14)</f>
        <v/>
      </c>
      <c r="AB13" s="377" t="str">
        <f>IF(ISBLANK(UserDataIn!P14),"",UserDataIn!P14)</f>
        <v/>
      </c>
      <c r="AC13" s="377" t="str">
        <f>IF(ISBLANK(UserDataIn!Q14),"",UserDataIn!Q14)</f>
        <v/>
      </c>
      <c r="AD13" s="377" t="str">
        <f>IF(ISBLANK(UserDataIn!R14),"",UserDataIn!R14)</f>
        <v/>
      </c>
      <c r="AE13" s="377" t="str">
        <f>IF(ISBLANK(UserDataIn!S14),"",UserDataIn!S14)</f>
        <v/>
      </c>
    </row>
    <row r="14" spans="1:74" s="383" customFormat="1" ht="30">
      <c r="A14" s="384"/>
      <c r="B14" s="385">
        <f>tblIndicators!A11</f>
        <v>10</v>
      </c>
      <c r="C14" s="385">
        <f>tblIndicators!B11</f>
        <v>0</v>
      </c>
      <c r="D14" s="385">
        <f>tblIndicators!F11</f>
        <v>3</v>
      </c>
      <c r="E14" s="385">
        <f>tblIndicators!C11</f>
        <v>6</v>
      </c>
      <c r="F14" s="385" t="str">
        <f>tblIndicators!H11</f>
        <v>6.¿Se reconoce a los recicladores de base como prestadores de servicio en la gestión de residuos?</v>
      </c>
      <c r="G14" s="385">
        <f>tblIndicators!Z11</f>
        <v>3</v>
      </c>
      <c r="H14" s="421" t="str">
        <f>REPT(" ",D14)&amp;tblIndicators!AE11</f>
        <v xml:space="preserve">   1.2.2) 6.¿Se reconoce a los recicladores de base como prestadores de servicio en la gestión de residuos?</v>
      </c>
      <c r="I14" s="417" t="str">
        <f>IF(G14=1,"",tblIndicators!Q11)</f>
        <v>0 - 2</v>
      </c>
      <c r="J14" s="385">
        <f>IF($E14=0,"",INDEX(Results!$C$3:$N$39,$E14,J$3))</f>
        <v>1</v>
      </c>
      <c r="K14" s="386">
        <f>IF($E14=0,"",INDEX(Results!$C$3:$N$39,$E14,K$3))</f>
        <v>2</v>
      </c>
      <c r="L14" s="385">
        <f>IF($E14=0,"",INDEX(Results!$C$3:$N$39,$E14,L$3))</f>
        <v>2</v>
      </c>
      <c r="M14" s="386">
        <f>IF($E14=0,"",INDEX(Results!$C$3:$N$39,$E14,M$3))</f>
        <v>0</v>
      </c>
      <c r="N14" s="385">
        <f>IF($E14=0,"",INDEX(Results!$C$3:$N$39,$E14,N$3))</f>
        <v>0</v>
      </c>
      <c r="O14" s="386">
        <f>IF($E14=0,"",INDEX(Results!$C$3:$N$39,$E14,O$3))</f>
        <v>1</v>
      </c>
      <c r="P14" s="385">
        <f>IF($E14=0,"",INDEX(Results!$C$3:$N$39,$E14,P$3))</f>
        <v>1</v>
      </c>
      <c r="Q14" s="386">
        <f>IF($E14=0,"",INDEX(Results!$C$3:$N$39,$E14,Q$3))</f>
        <v>1</v>
      </c>
      <c r="R14" s="385">
        <f>IF($E14=0,"",INDEX(Results!$C$3:$N$39,$E14,R$3))</f>
        <v>0</v>
      </c>
      <c r="S14" s="386">
        <f>IF($E14=0,"",INDEX(Results!$C$3:$N$39,$E14,S$3))</f>
        <v>2</v>
      </c>
      <c r="T14" s="385">
        <f>IF($E14=0,"",INDEX(Results!$C$3:$N$39,$E14,T$3))</f>
        <v>1</v>
      </c>
      <c r="U14" s="386">
        <f>IF($E14=0,"",INDEX(Results!$C$3:$N$39,$E14,U$3))</f>
        <v>0</v>
      </c>
      <c r="V14" s="377">
        <f>IF(ISBLANK(UserDataIn!J15),"",UserDataIn!J15)</f>
        <v>0</v>
      </c>
      <c r="W14" s="377" t="str">
        <f>IF(ISBLANK(UserDataIn!K15),"",UserDataIn!K15)</f>
        <v/>
      </c>
      <c r="X14" s="377" t="str">
        <f>IF(ISBLANK(UserDataIn!L15),"",UserDataIn!L15)</f>
        <v/>
      </c>
      <c r="Y14" s="377" t="str">
        <f>IF(ISBLANK(UserDataIn!M15),"",UserDataIn!M15)</f>
        <v/>
      </c>
      <c r="Z14" s="377" t="str">
        <f>IF(ISBLANK(UserDataIn!N15),"",UserDataIn!N15)</f>
        <v/>
      </c>
      <c r="AA14" s="377" t="str">
        <f>IF(ISBLANK(UserDataIn!O15),"",UserDataIn!O15)</f>
        <v/>
      </c>
      <c r="AB14" s="377" t="str">
        <f>IF(ISBLANK(UserDataIn!P15),"",UserDataIn!P15)</f>
        <v/>
      </c>
      <c r="AC14" s="377" t="str">
        <f>IF(ISBLANK(UserDataIn!Q15),"",UserDataIn!Q15)</f>
        <v/>
      </c>
      <c r="AD14" s="377" t="str">
        <f>IF(ISBLANK(UserDataIn!R15),"",UserDataIn!R15)</f>
        <v/>
      </c>
      <c r="AE14" s="377" t="str">
        <f>IF(ISBLANK(UserDataIn!S15),"",UserDataIn!S15)</f>
        <v/>
      </c>
    </row>
    <row r="15" spans="1:74" s="383" customFormat="1" ht="18.75">
      <c r="A15" s="384"/>
      <c r="B15" s="385">
        <f>tblIndicators!A12</f>
        <v>11</v>
      </c>
      <c r="C15" s="385">
        <f>tblIndicators!B12</f>
        <v>0</v>
      </c>
      <c r="D15" s="385">
        <f>tblIndicators!F12</f>
        <v>3</v>
      </c>
      <c r="E15" s="385">
        <f>tblIndicators!C12</f>
        <v>7</v>
      </c>
      <c r="F15" s="385" t="str">
        <f>tblIndicators!H12</f>
        <v>7.¿Se ha identificado la población de recicladores de base a través de un censo?</v>
      </c>
      <c r="G15" s="385">
        <f>tblIndicators!Z12</f>
        <v>3</v>
      </c>
      <c r="H15" s="421" t="str">
        <f>REPT(" ",D15)&amp;tblIndicators!AE12</f>
        <v xml:space="preserve">   1.2.3) 7.¿Se ha identificado la población de recicladores de base a través de un censo?</v>
      </c>
      <c r="I15" s="417" t="str">
        <f>IF(G15=1,"",tblIndicators!Q12)</f>
        <v>0 - 1</v>
      </c>
      <c r="J15" s="385">
        <f>IF($E15=0,"",INDEX(Results!$C$3:$N$39,$E15,J$3))</f>
        <v>0</v>
      </c>
      <c r="K15" s="386">
        <f>IF($E15=0,"",INDEX(Results!$C$3:$N$39,$E15,K$3))</f>
        <v>1</v>
      </c>
      <c r="L15" s="385">
        <f>IF($E15=0,"",INDEX(Results!$C$3:$N$39,$E15,L$3))</f>
        <v>0</v>
      </c>
      <c r="M15" s="386">
        <f>IF($E15=0,"",INDEX(Results!$C$3:$N$39,$E15,M$3))</f>
        <v>0</v>
      </c>
      <c r="N15" s="385">
        <f>IF($E15=0,"",INDEX(Results!$C$3:$N$39,$E15,N$3))</f>
        <v>0</v>
      </c>
      <c r="O15" s="386">
        <f>IF($E15=0,"",INDEX(Results!$C$3:$N$39,$E15,O$3))</f>
        <v>1</v>
      </c>
      <c r="P15" s="385">
        <f>IF($E15=0,"",INDEX(Results!$C$3:$N$39,$E15,P$3))</f>
        <v>1</v>
      </c>
      <c r="Q15" s="386">
        <f>IF($E15=0,"",INDEX(Results!$C$3:$N$39,$E15,Q$3))</f>
        <v>1</v>
      </c>
      <c r="R15" s="385">
        <f>IF($E15=0,"",INDEX(Results!$C$3:$N$39,$E15,R$3))</f>
        <v>0</v>
      </c>
      <c r="S15" s="386">
        <f>IF($E15=0,"",INDEX(Results!$C$3:$N$39,$E15,S$3))</f>
        <v>1</v>
      </c>
      <c r="T15" s="385">
        <f>IF($E15=0,"",INDEX(Results!$C$3:$N$39,$E15,T$3))</f>
        <v>0</v>
      </c>
      <c r="U15" s="386">
        <f>IF($E15=0,"",INDEX(Results!$C$3:$N$39,$E15,U$3))</f>
        <v>0</v>
      </c>
      <c r="V15" s="377">
        <f>IF(ISBLANK(UserDataIn!J16),"",UserDataIn!J16)</f>
        <v>0</v>
      </c>
      <c r="W15" s="377" t="str">
        <f>IF(ISBLANK(UserDataIn!K16),"",UserDataIn!K16)</f>
        <v/>
      </c>
      <c r="X15" s="377" t="str">
        <f>IF(ISBLANK(UserDataIn!L16),"",UserDataIn!L16)</f>
        <v/>
      </c>
      <c r="Y15" s="377" t="str">
        <f>IF(ISBLANK(UserDataIn!M16),"",UserDataIn!M16)</f>
        <v/>
      </c>
      <c r="Z15" s="377" t="str">
        <f>IF(ISBLANK(UserDataIn!N16),"",UserDataIn!N16)</f>
        <v/>
      </c>
      <c r="AA15" s="377" t="str">
        <f>IF(ISBLANK(UserDataIn!O16),"",UserDataIn!O16)</f>
        <v/>
      </c>
      <c r="AB15" s="377" t="str">
        <f>IF(ISBLANK(UserDataIn!P16),"",UserDataIn!P16)</f>
        <v/>
      </c>
      <c r="AC15" s="377" t="str">
        <f>IF(ISBLANK(UserDataIn!Q16),"",UserDataIn!Q16)</f>
        <v/>
      </c>
      <c r="AD15" s="377" t="str">
        <f>IF(ISBLANK(UserDataIn!R16),"",UserDataIn!R16)</f>
        <v/>
      </c>
      <c r="AE15" s="377" t="str">
        <f>IF(ISBLANK(UserDataIn!S16),"",UserDataIn!S16)</f>
        <v/>
      </c>
    </row>
    <row r="16" spans="1:74" s="383" customFormat="1" ht="30">
      <c r="A16" s="384"/>
      <c r="B16" s="385">
        <f>tblIndicators!A13</f>
        <v>12</v>
      </c>
      <c r="C16" s="385">
        <f>tblIndicators!B13</f>
        <v>0</v>
      </c>
      <c r="D16" s="385">
        <f>tblIndicators!F13</f>
        <v>3</v>
      </c>
      <c r="E16" s="385">
        <f>tblIndicators!C13</f>
        <v>8</v>
      </c>
      <c r="F16" s="385" t="str">
        <f>tblIndicators!H13</f>
        <v>8.¿Cuál es el grado de transparencia e inclusión en los procesos de licitación para el reciclaje?</v>
      </c>
      <c r="G16" s="385">
        <f>tblIndicators!Z13</f>
        <v>3</v>
      </c>
      <c r="H16" s="421" t="str">
        <f>REPT(" ",D16)&amp;tblIndicators!AE13</f>
        <v xml:space="preserve">   1.2.4) 8.¿Cuál es el grado de transparencia e inclusión en los procesos de licitación para el reciclaje?</v>
      </c>
      <c r="I16" s="417" t="str">
        <f>IF(G16=1,"",tblIndicators!Q13)</f>
        <v>0  - 2</v>
      </c>
      <c r="J16" s="385">
        <f>IF($E16=0,"",INDEX(Results!$C$3:$N$39,$E16,J$3))</f>
        <v>1</v>
      </c>
      <c r="K16" s="386">
        <f>IF($E16=0,"",INDEX(Results!$C$3:$N$39,$E16,K$3))</f>
        <v>1</v>
      </c>
      <c r="L16" s="385">
        <f>IF($E16=0,"",INDEX(Results!$C$3:$N$39,$E16,L$3))</f>
        <v>1</v>
      </c>
      <c r="M16" s="386">
        <f>IF($E16=0,"",INDEX(Results!$C$3:$N$39,$E16,M$3))</f>
        <v>0</v>
      </c>
      <c r="N16" s="385">
        <f>IF($E16=0,"",INDEX(Results!$C$3:$N$39,$E16,N$3))</f>
        <v>0</v>
      </c>
      <c r="O16" s="386">
        <f>IF($E16=0,"",INDEX(Results!$C$3:$N$39,$E16,O$3))</f>
        <v>1</v>
      </c>
      <c r="P16" s="385">
        <f>IF($E16=0,"",INDEX(Results!$C$3:$N$39,$E16,P$3))</f>
        <v>0</v>
      </c>
      <c r="Q16" s="386">
        <f>IF($E16=0,"",INDEX(Results!$C$3:$N$39,$E16,Q$3))</f>
        <v>0</v>
      </c>
      <c r="R16" s="385">
        <f>IF($E16=0,"",INDEX(Results!$C$3:$N$39,$E16,R$3))</f>
        <v>0</v>
      </c>
      <c r="S16" s="386">
        <f>IF($E16=0,"",INDEX(Results!$C$3:$N$39,$E16,S$3))</f>
        <v>1</v>
      </c>
      <c r="T16" s="385">
        <f>IF($E16=0,"",INDEX(Results!$C$3:$N$39,$E16,T$3))</f>
        <v>1</v>
      </c>
      <c r="U16" s="386">
        <f>IF($E16=0,"",INDEX(Results!$C$3:$N$39,$E16,U$3))</f>
        <v>0</v>
      </c>
      <c r="V16" s="377">
        <f>IF(ISBLANK(UserDataIn!J17),"",UserDataIn!J17)</f>
        <v>1</v>
      </c>
      <c r="W16" s="377" t="str">
        <f>IF(ISBLANK(UserDataIn!K17),"",UserDataIn!K17)</f>
        <v/>
      </c>
      <c r="X16" s="377" t="str">
        <f>IF(ISBLANK(UserDataIn!L17),"",UserDataIn!L17)</f>
        <v/>
      </c>
      <c r="Y16" s="377" t="str">
        <f>IF(ISBLANK(UserDataIn!M17),"",UserDataIn!M17)</f>
        <v/>
      </c>
      <c r="Z16" s="377" t="str">
        <f>IF(ISBLANK(UserDataIn!N17),"",UserDataIn!N17)</f>
        <v/>
      </c>
      <c r="AA16" s="377" t="str">
        <f>IF(ISBLANK(UserDataIn!O17),"",UserDataIn!O17)</f>
        <v/>
      </c>
      <c r="AB16" s="377" t="str">
        <f>IF(ISBLANK(UserDataIn!P17),"",UserDataIn!P17)</f>
        <v/>
      </c>
      <c r="AC16" s="377" t="str">
        <f>IF(ISBLANK(UserDataIn!Q17),"",UserDataIn!Q17)</f>
        <v/>
      </c>
      <c r="AD16" s="377" t="str">
        <f>IF(ISBLANK(UserDataIn!R17),"",UserDataIn!R17)</f>
        <v/>
      </c>
      <c r="AE16" s="377" t="str">
        <f>IF(ISBLANK(UserDataIn!S17),"",UserDataIn!S17)</f>
        <v/>
      </c>
    </row>
    <row r="17" spans="1:31" s="383" customFormat="1" ht="30">
      <c r="A17" s="384"/>
      <c r="B17" s="385">
        <f>tblIndicators!A14</f>
        <v>13</v>
      </c>
      <c r="C17" s="385">
        <f>tblIndicators!B14</f>
        <v>0</v>
      </c>
      <c r="D17" s="385">
        <f>tblIndicators!F14</f>
        <v>3</v>
      </c>
      <c r="E17" s="385">
        <f>tblIndicators!C14</f>
        <v>9</v>
      </c>
      <c r="F17" s="385" t="str">
        <f>tblIndicators!H14</f>
        <v>9.¿La normativa/ estrategia municipal de residuos sólidos: fue desarrollada de manera participativa?</v>
      </c>
      <c r="G17" s="385">
        <f>tblIndicators!Z14</f>
        <v>3</v>
      </c>
      <c r="H17" s="421" t="str">
        <f>REPT(" ",D17)&amp;tblIndicators!AE14</f>
        <v xml:space="preserve">   1.2.5) 9.¿La normativa/ estrategia municipal de residuos sólidos: fue desarrollada de manera participativa?</v>
      </c>
      <c r="I17" s="417" t="str">
        <f>IF(G17=1,"",tblIndicators!Q14)</f>
        <v>0  - 2</v>
      </c>
      <c r="J17" s="385">
        <f>IF($E17=0,"",INDEX(Results!$C$3:$N$39,$E17,J$3))</f>
        <v>2</v>
      </c>
      <c r="K17" s="386">
        <f>IF($E17=0,"",INDEX(Results!$C$3:$N$39,$E17,K$3))</f>
        <v>1</v>
      </c>
      <c r="L17" s="385">
        <f>IF($E17=0,"",INDEX(Results!$C$3:$N$39,$E17,L$3))</f>
        <v>2</v>
      </c>
      <c r="M17" s="386">
        <f>IF($E17=0,"",INDEX(Results!$C$3:$N$39,$E17,M$3))</f>
        <v>0</v>
      </c>
      <c r="N17" s="385">
        <f>IF($E17=0,"",INDEX(Results!$C$3:$N$39,$E17,N$3))</f>
        <v>0</v>
      </c>
      <c r="O17" s="386">
        <f>IF($E17=0,"",INDEX(Results!$C$3:$N$39,$E17,O$3))</f>
        <v>1</v>
      </c>
      <c r="P17" s="385">
        <f>IF($E17=0,"",INDEX(Results!$C$3:$N$39,$E17,P$3))</f>
        <v>1</v>
      </c>
      <c r="Q17" s="386">
        <f>IF($E17=0,"",INDEX(Results!$C$3:$N$39,$E17,Q$3))</f>
        <v>1</v>
      </c>
      <c r="R17" s="385">
        <f>IF($E17=0,"",INDEX(Results!$C$3:$N$39,$E17,R$3))</f>
        <v>0</v>
      </c>
      <c r="S17" s="386">
        <f>IF($E17=0,"",INDEX(Results!$C$3:$N$39,$E17,S$3))</f>
        <v>2</v>
      </c>
      <c r="T17" s="385">
        <f>IF($E17=0,"",INDEX(Results!$C$3:$N$39,$E17,T$3))</f>
        <v>0</v>
      </c>
      <c r="U17" s="386">
        <f>IF($E17=0,"",INDEX(Results!$C$3:$N$39,$E17,U$3))</f>
        <v>1</v>
      </c>
      <c r="V17" s="377">
        <f>IF(ISBLANK(UserDataIn!J18),"",UserDataIn!J18)</f>
        <v>0</v>
      </c>
      <c r="W17" s="377" t="str">
        <f>IF(ISBLANK(UserDataIn!K18),"",UserDataIn!K18)</f>
        <v/>
      </c>
      <c r="X17" s="377" t="str">
        <f>IF(ISBLANK(UserDataIn!L18),"",UserDataIn!L18)</f>
        <v/>
      </c>
      <c r="Y17" s="377" t="str">
        <f>IF(ISBLANK(UserDataIn!M18),"",UserDataIn!M18)</f>
        <v/>
      </c>
      <c r="Z17" s="377" t="str">
        <f>IF(ISBLANK(UserDataIn!N18),"",UserDataIn!N18)</f>
        <v/>
      </c>
      <c r="AA17" s="377" t="str">
        <f>IF(ISBLANK(UserDataIn!O18),"",UserDataIn!O18)</f>
        <v/>
      </c>
      <c r="AB17" s="377" t="str">
        <f>IF(ISBLANK(UserDataIn!P18),"",UserDataIn!P18)</f>
        <v/>
      </c>
      <c r="AC17" s="377" t="str">
        <f>IF(ISBLANK(UserDataIn!Q18),"",UserDataIn!Q18)</f>
        <v/>
      </c>
      <c r="AD17" s="377" t="str">
        <f>IF(ISBLANK(UserDataIn!R18),"",UserDataIn!R18)</f>
        <v/>
      </c>
      <c r="AE17" s="377" t="str">
        <f>IF(ISBLANK(UserDataIn!S18),"",UserDataIn!S18)</f>
        <v/>
      </c>
    </row>
    <row r="18" spans="1:31" s="383" customFormat="1" ht="18.75">
      <c r="A18" s="384"/>
      <c r="B18" s="385">
        <f>tblIndicators!A15</f>
        <v>14</v>
      </c>
      <c r="C18" s="385">
        <f>tblIndicators!B15</f>
        <v>0</v>
      </c>
      <c r="D18" s="385">
        <f>tblIndicators!F15</f>
        <v>3</v>
      </c>
      <c r="E18" s="385">
        <f>tblIndicators!C15</f>
        <v>10</v>
      </c>
      <c r="F18" s="385" t="str">
        <f>tblIndicators!H15</f>
        <v>10.¿Hay programas de formación/capacitación a nivel municipal?</v>
      </c>
      <c r="G18" s="385">
        <f>tblIndicators!Z15</f>
        <v>3</v>
      </c>
      <c r="H18" s="421" t="str">
        <f>REPT(" ",D18)&amp;tblIndicators!AE15</f>
        <v xml:space="preserve">   1.2.6) 10.¿Hay programas de formación/capacitación a nivel municipal?</v>
      </c>
      <c r="I18" s="417" t="str">
        <f>IF(G18=1,"",tblIndicators!Q15)</f>
        <v>0 - 3</v>
      </c>
      <c r="J18" s="385">
        <f>IF($E18=0,"",INDEX(Results!$C$3:$N$39,$E18,J$3))</f>
        <v>0</v>
      </c>
      <c r="K18" s="386">
        <f>IF($E18=0,"",INDEX(Results!$C$3:$N$39,$E18,K$3))</f>
        <v>3</v>
      </c>
      <c r="L18" s="385">
        <f>IF($E18=0,"",INDEX(Results!$C$3:$N$39,$E18,L$3))</f>
        <v>1</v>
      </c>
      <c r="M18" s="386">
        <f>IF($E18=0,"",INDEX(Results!$C$3:$N$39,$E18,M$3))</f>
        <v>0</v>
      </c>
      <c r="N18" s="385">
        <f>IF($E18=0,"",INDEX(Results!$C$3:$N$39,$E18,N$3))</f>
        <v>1</v>
      </c>
      <c r="O18" s="386">
        <f>IF($E18=0,"",INDEX(Results!$C$3:$N$39,$E18,O$3))</f>
        <v>3</v>
      </c>
      <c r="P18" s="385">
        <f>IF($E18=0,"",INDEX(Results!$C$3:$N$39,$E18,P$3))</f>
        <v>1</v>
      </c>
      <c r="Q18" s="386">
        <f>IF($E18=0,"",INDEX(Results!$C$3:$N$39,$E18,Q$3))</f>
        <v>0</v>
      </c>
      <c r="R18" s="385">
        <f>IF($E18=0,"",INDEX(Results!$C$3:$N$39,$E18,R$3))</f>
        <v>1</v>
      </c>
      <c r="S18" s="386">
        <f>IF($E18=0,"",INDEX(Results!$C$3:$N$39,$E18,S$3))</f>
        <v>3</v>
      </c>
      <c r="T18" s="385">
        <f>IF($E18=0,"",INDEX(Results!$C$3:$N$39,$E18,T$3))</f>
        <v>2</v>
      </c>
      <c r="U18" s="386">
        <f>IF($E18=0,"",INDEX(Results!$C$3:$N$39,$E18,U$3))</f>
        <v>3</v>
      </c>
      <c r="V18" s="377">
        <f>IF(ISBLANK(UserDataIn!J19),"",UserDataIn!J19)</f>
        <v>0</v>
      </c>
      <c r="W18" s="377" t="str">
        <f>IF(ISBLANK(UserDataIn!K19),"",UserDataIn!K19)</f>
        <v/>
      </c>
      <c r="X18" s="377" t="str">
        <f>IF(ISBLANK(UserDataIn!L19),"",UserDataIn!L19)</f>
        <v/>
      </c>
      <c r="Y18" s="377" t="str">
        <f>IF(ISBLANK(UserDataIn!M19),"",UserDataIn!M19)</f>
        <v/>
      </c>
      <c r="Z18" s="377" t="str">
        <f>IF(ISBLANK(UserDataIn!N19),"",UserDataIn!N19)</f>
        <v/>
      </c>
      <c r="AA18" s="377" t="str">
        <f>IF(ISBLANK(UserDataIn!O19),"",UserDataIn!O19)</f>
        <v/>
      </c>
      <c r="AB18" s="377" t="str">
        <f>IF(ISBLANK(UserDataIn!P19),"",UserDataIn!P19)</f>
        <v/>
      </c>
      <c r="AC18" s="377" t="str">
        <f>IF(ISBLANK(UserDataIn!Q19),"",UserDataIn!Q19)</f>
        <v/>
      </c>
      <c r="AD18" s="377" t="str">
        <f>IF(ISBLANK(UserDataIn!R19),"",UserDataIn!R19)</f>
        <v/>
      </c>
      <c r="AE18" s="377" t="str">
        <f>IF(ISBLANK(UserDataIn!S19),"",UserDataIn!S19)</f>
        <v/>
      </c>
    </row>
    <row r="19" spans="1:31" s="383" customFormat="1" ht="30">
      <c r="A19" s="384"/>
      <c r="B19" s="385">
        <f>tblIndicators!A16</f>
        <v>15</v>
      </c>
      <c r="C19" s="385">
        <f>tblIndicators!B16</f>
        <v>0</v>
      </c>
      <c r="D19" s="385">
        <f>tblIndicators!F16</f>
        <v>3</v>
      </c>
      <c r="E19" s="385">
        <f>tblIndicators!C16</f>
        <v>11</v>
      </c>
      <c r="F19" s="385" t="str">
        <f>tblIndicators!H16</f>
        <v>11.¿Existen incentivos, programas y/o acciones concretas para el fortalecimiento de la ocupación del reciclador de base?</v>
      </c>
      <c r="G19" s="385">
        <f>tblIndicators!Z16</f>
        <v>3</v>
      </c>
      <c r="H19" s="421" t="str">
        <f>REPT(" ",D19)&amp;tblIndicators!AE16</f>
        <v xml:space="preserve">   1.2.7) 11.¿Existen incentivos, programas y/o acciones concretas para el fortalecimiento de la ocupación del reciclador de base?</v>
      </c>
      <c r="I19" s="417" t="str">
        <f>IF(G19=1,"",tblIndicators!Q16)</f>
        <v>0 - 2</v>
      </c>
      <c r="J19" s="385">
        <f>IF($E19=0,"",INDEX(Results!$C$3:$N$39,$E19,J$3))</f>
        <v>1</v>
      </c>
      <c r="K19" s="386">
        <f>IF($E19=0,"",INDEX(Results!$C$3:$N$39,$E19,K$3))</f>
        <v>1</v>
      </c>
      <c r="L19" s="385">
        <f>IF($E19=0,"",INDEX(Results!$C$3:$N$39,$E19,L$3))</f>
        <v>2</v>
      </c>
      <c r="M19" s="386">
        <f>IF($E19=0,"",INDEX(Results!$C$3:$N$39,$E19,M$3))</f>
        <v>1</v>
      </c>
      <c r="N19" s="385">
        <f>IF($E19=0,"",INDEX(Results!$C$3:$N$39,$E19,N$3))</f>
        <v>0</v>
      </c>
      <c r="O19" s="386">
        <f>IF($E19=0,"",INDEX(Results!$C$3:$N$39,$E19,O$3))</f>
        <v>2</v>
      </c>
      <c r="P19" s="385">
        <f>IF($E19=0,"",INDEX(Results!$C$3:$N$39,$E19,P$3))</f>
        <v>1</v>
      </c>
      <c r="Q19" s="386">
        <f>IF($E19=0,"",INDEX(Results!$C$3:$N$39,$E19,Q$3))</f>
        <v>1</v>
      </c>
      <c r="R19" s="385">
        <f>IF($E19=0,"",INDEX(Results!$C$3:$N$39,$E19,R$3))</f>
        <v>0</v>
      </c>
      <c r="S19" s="386">
        <f>IF($E19=0,"",INDEX(Results!$C$3:$N$39,$E19,S$3))</f>
        <v>2</v>
      </c>
      <c r="T19" s="385">
        <f>IF($E19=0,"",INDEX(Results!$C$3:$N$39,$E19,T$3))</f>
        <v>2</v>
      </c>
      <c r="U19" s="386">
        <f>IF($E19=0,"",INDEX(Results!$C$3:$N$39,$E19,U$3))</f>
        <v>1</v>
      </c>
      <c r="V19" s="377">
        <f>IF(ISBLANK(UserDataIn!J20),"",UserDataIn!J20)</f>
        <v>0</v>
      </c>
      <c r="W19" s="377" t="str">
        <f>IF(ISBLANK(UserDataIn!K20),"",UserDataIn!K20)</f>
        <v/>
      </c>
      <c r="X19" s="377" t="str">
        <f>IF(ISBLANK(UserDataIn!L20),"",UserDataIn!L20)</f>
        <v/>
      </c>
      <c r="Y19" s="377" t="str">
        <f>IF(ISBLANK(UserDataIn!M20),"",UserDataIn!M20)</f>
        <v/>
      </c>
      <c r="Z19" s="377" t="str">
        <f>IF(ISBLANK(UserDataIn!N20),"",UserDataIn!N20)</f>
        <v/>
      </c>
      <c r="AA19" s="377" t="str">
        <f>IF(ISBLANK(UserDataIn!O20),"",UserDataIn!O20)</f>
        <v/>
      </c>
      <c r="AB19" s="377" t="str">
        <f>IF(ISBLANK(UserDataIn!P20),"",UserDataIn!P20)</f>
        <v/>
      </c>
      <c r="AC19" s="377" t="str">
        <f>IF(ISBLANK(UserDataIn!Q20),"",UserDataIn!Q20)</f>
        <v/>
      </c>
      <c r="AD19" s="377" t="str">
        <f>IF(ISBLANK(UserDataIn!R20),"",UserDataIn!R20)</f>
        <v/>
      </c>
      <c r="AE19" s="377" t="str">
        <f>IF(ISBLANK(UserDataIn!S20),"",UserDataIn!S20)</f>
        <v/>
      </c>
    </row>
    <row r="20" spans="1:31" s="383" customFormat="1" ht="18.75">
      <c r="A20" s="384"/>
      <c r="B20" s="385">
        <f>tblIndicators!A17</f>
        <v>16</v>
      </c>
      <c r="C20" s="385">
        <f>tblIndicators!B17</f>
        <v>0</v>
      </c>
      <c r="D20" s="385">
        <f>tblIndicators!F17</f>
        <v>3</v>
      </c>
      <c r="E20" s="385">
        <f>tblIndicators!C17</f>
        <v>12</v>
      </c>
      <c r="F20" s="385" t="str">
        <f>tblIndicators!H17</f>
        <v xml:space="preserve">12.¿Existen incentivos de reciclaje para los usuarios? </v>
      </c>
      <c r="G20" s="385">
        <f>tblIndicators!Z17</f>
        <v>3</v>
      </c>
      <c r="H20" s="421" t="str">
        <f>REPT(" ",D20)&amp;tblIndicators!AE17</f>
        <v xml:space="preserve">   1.2.8) 12.¿Existen incentivos de reciclaje para los usuarios? </v>
      </c>
      <c r="I20" s="417" t="str">
        <f>IF(G20=1,"",tblIndicators!Q17)</f>
        <v>0 - 2</v>
      </c>
      <c r="J20" s="385">
        <f>IF($E20=0,"",INDEX(Results!$C$3:$N$39,$E20,J$3))</f>
        <v>0</v>
      </c>
      <c r="K20" s="386">
        <f>IF($E20=0,"",INDEX(Results!$C$3:$N$39,$E20,K$3))</f>
        <v>1</v>
      </c>
      <c r="L20" s="385">
        <f>IF($E20=0,"",INDEX(Results!$C$3:$N$39,$E20,L$3))</f>
        <v>0</v>
      </c>
      <c r="M20" s="386">
        <f>IF($E20=0,"",INDEX(Results!$C$3:$N$39,$E20,M$3))</f>
        <v>1</v>
      </c>
      <c r="N20" s="385">
        <f>IF($E20=0,"",INDEX(Results!$C$3:$N$39,$E20,N$3))</f>
        <v>1</v>
      </c>
      <c r="O20" s="386">
        <f>IF($E20=0,"",INDEX(Results!$C$3:$N$39,$E20,O$3))</f>
        <v>1</v>
      </c>
      <c r="P20" s="385">
        <f>IF($E20=0,"",INDEX(Results!$C$3:$N$39,$E20,P$3))</f>
        <v>0</v>
      </c>
      <c r="Q20" s="386">
        <f>IF($E20=0,"",INDEX(Results!$C$3:$N$39,$E20,Q$3))</f>
        <v>0</v>
      </c>
      <c r="R20" s="385">
        <f>IF($E20=0,"",INDEX(Results!$C$3:$N$39,$E20,R$3))</f>
        <v>0</v>
      </c>
      <c r="S20" s="386">
        <f>IF($E20=0,"",INDEX(Results!$C$3:$N$39,$E20,S$3))</f>
        <v>0</v>
      </c>
      <c r="T20" s="385">
        <f>IF($E20=0,"",INDEX(Results!$C$3:$N$39,$E20,T$3))</f>
        <v>0</v>
      </c>
      <c r="U20" s="386">
        <f>IF($E20=0,"",INDEX(Results!$C$3:$N$39,$E20,U$3))</f>
        <v>1</v>
      </c>
      <c r="V20" s="377">
        <f>IF(ISBLANK(UserDataIn!J21),"",UserDataIn!J21)</f>
        <v>0</v>
      </c>
      <c r="W20" s="377" t="str">
        <f>IF(ISBLANK(UserDataIn!K21),"",UserDataIn!K21)</f>
        <v/>
      </c>
      <c r="X20" s="377" t="str">
        <f>IF(ISBLANK(UserDataIn!L21),"",UserDataIn!L21)</f>
        <v/>
      </c>
      <c r="Y20" s="377" t="str">
        <f>IF(ISBLANK(UserDataIn!M21),"",UserDataIn!M21)</f>
        <v/>
      </c>
      <c r="Z20" s="377" t="str">
        <f>IF(ISBLANK(UserDataIn!N21),"",UserDataIn!N21)</f>
        <v/>
      </c>
      <c r="AA20" s="377" t="str">
        <f>IF(ISBLANK(UserDataIn!O21),"",UserDataIn!O21)</f>
        <v/>
      </c>
      <c r="AB20" s="377" t="str">
        <f>IF(ISBLANK(UserDataIn!P21),"",UserDataIn!P21)</f>
        <v/>
      </c>
      <c r="AC20" s="377" t="str">
        <f>IF(ISBLANK(UserDataIn!Q21),"",UserDataIn!Q21)</f>
        <v/>
      </c>
      <c r="AD20" s="377" t="str">
        <f>IF(ISBLANK(UserDataIn!R21),"",UserDataIn!R21)</f>
        <v/>
      </c>
      <c r="AE20" s="377" t="str">
        <f>IF(ISBLANK(UserDataIn!S21),"",UserDataIn!S21)</f>
        <v/>
      </c>
    </row>
    <row r="21" spans="1:31" s="383" customFormat="1" ht="18.75">
      <c r="A21" s="384"/>
      <c r="B21" s="385">
        <f>tblIndicators!A18</f>
        <v>17</v>
      </c>
      <c r="C21" s="385">
        <f>tblIndicators!B18</f>
        <v>0</v>
      </c>
      <c r="D21" s="385">
        <f>tblIndicators!F18</f>
        <v>2</v>
      </c>
      <c r="E21" s="385">
        <f>tblIndicators!C18</f>
        <v>0</v>
      </c>
      <c r="F21" s="385" t="str">
        <f>tblIndicators!H18</f>
        <v>Generación de información</v>
      </c>
      <c r="G21" s="385">
        <f>tblIndicators!Z18</f>
        <v>1</v>
      </c>
      <c r="H21" s="421" t="str">
        <f>REPT(" ",D21)&amp;tblIndicators!AE18</f>
        <v xml:space="preserve">  1.3) Generación de información</v>
      </c>
      <c r="I21" s="417" t="str">
        <f>IF(G21=1,"",tblIndicators!Q18)</f>
        <v/>
      </c>
      <c r="J21" s="385" t="str">
        <f>IF($E21=0,"",INDEX(Results!$C$3:$N$39,$E21,J$3))</f>
        <v/>
      </c>
      <c r="K21" s="386" t="str">
        <f>IF($E21=0,"",INDEX(Results!$C$3:$N$39,$E21,K$3))</f>
        <v/>
      </c>
      <c r="L21" s="385" t="str">
        <f>IF($E21=0,"",INDEX(Results!$C$3:$N$39,$E21,L$3))</f>
        <v/>
      </c>
      <c r="M21" s="386" t="str">
        <f>IF($E21=0,"",INDEX(Results!$C$3:$N$39,$E21,M$3))</f>
        <v/>
      </c>
      <c r="N21" s="385" t="str">
        <f>IF($E21=0,"",INDEX(Results!$C$3:$N$39,$E21,N$3))</f>
        <v/>
      </c>
      <c r="O21" s="386" t="str">
        <f>IF($E21=0,"",INDEX(Results!$C$3:$N$39,$E21,O$3))</f>
        <v/>
      </c>
      <c r="P21" s="385" t="str">
        <f>IF($E21=0,"",INDEX(Results!$C$3:$N$39,$E21,P$3))</f>
        <v/>
      </c>
      <c r="Q21" s="386" t="str">
        <f>IF($E21=0,"",INDEX(Results!$C$3:$N$39,$E21,Q$3))</f>
        <v/>
      </c>
      <c r="R21" s="385" t="str">
        <f>IF($E21=0,"",INDEX(Results!$C$3:$N$39,$E21,R$3))</f>
        <v/>
      </c>
      <c r="S21" s="386" t="str">
        <f>IF($E21=0,"",INDEX(Results!$C$3:$N$39,$E21,S$3))</f>
        <v/>
      </c>
      <c r="T21" s="385" t="str">
        <f>IF($E21=0,"",INDEX(Results!$C$3:$N$39,$E21,T$3))</f>
        <v/>
      </c>
      <c r="U21" s="386" t="str">
        <f>IF($E21=0,"",INDEX(Results!$C$3:$N$39,$E21,U$3))</f>
        <v/>
      </c>
      <c r="V21" s="377" t="str">
        <f>IF(ISBLANK(UserDataIn!J22),"",UserDataIn!J22)</f>
        <v/>
      </c>
      <c r="W21" s="377" t="str">
        <f>IF(ISBLANK(UserDataIn!K22),"",UserDataIn!K22)</f>
        <v/>
      </c>
      <c r="X21" s="377" t="str">
        <f>IF(ISBLANK(UserDataIn!L22),"",UserDataIn!L22)</f>
        <v/>
      </c>
      <c r="Y21" s="377" t="str">
        <f>IF(ISBLANK(UserDataIn!M22),"",UserDataIn!M22)</f>
        <v/>
      </c>
      <c r="Z21" s="377" t="str">
        <f>IF(ISBLANK(UserDataIn!N22),"",UserDataIn!N22)</f>
        <v/>
      </c>
      <c r="AA21" s="377" t="str">
        <f>IF(ISBLANK(UserDataIn!O22),"",UserDataIn!O22)</f>
        <v/>
      </c>
      <c r="AB21" s="377" t="str">
        <f>IF(ISBLANK(UserDataIn!P22),"",UserDataIn!P22)</f>
        <v/>
      </c>
      <c r="AC21" s="377" t="str">
        <f>IF(ISBLANK(UserDataIn!Q22),"",UserDataIn!Q22)</f>
        <v/>
      </c>
      <c r="AD21" s="377" t="str">
        <f>IF(ISBLANK(UserDataIn!R22),"",UserDataIn!R22)</f>
        <v/>
      </c>
      <c r="AE21" s="377" t="str">
        <f>IF(ISBLANK(UserDataIn!S22),"",UserDataIn!S22)</f>
        <v/>
      </c>
    </row>
    <row r="22" spans="1:31" s="383" customFormat="1" ht="30">
      <c r="A22" s="384"/>
      <c r="B22" s="385">
        <f>tblIndicators!A19</f>
        <v>18</v>
      </c>
      <c r="C22" s="385">
        <f>tblIndicators!B19</f>
        <v>0</v>
      </c>
      <c r="D22" s="385">
        <f>tblIndicators!F19</f>
        <v>3</v>
      </c>
      <c r="E22" s="385">
        <f>tblIndicators!C19</f>
        <v>13</v>
      </c>
      <c r="F22" s="385" t="str">
        <f>tblIndicators!H19</f>
        <v>13.¿Hay un sistema municipal de recolección de información de reciclaje inclusivo?</v>
      </c>
      <c r="G22" s="385">
        <f>tblIndicators!Z19</f>
        <v>3</v>
      </c>
      <c r="H22" s="421" t="str">
        <f>REPT(" ",D22)&amp;tblIndicators!AE19</f>
        <v xml:space="preserve">   1.3.1) 13.¿Hay un sistema municipal de recolección de información de reciclaje inclusivo?</v>
      </c>
      <c r="I22" s="417" t="str">
        <f>IF(G22=1,"",tblIndicators!Q19)</f>
        <v>0 - 2</v>
      </c>
      <c r="J22" s="385">
        <f>IF($E22=0,"",INDEX(Results!$C$3:$N$39,$E22,J$3))</f>
        <v>0</v>
      </c>
      <c r="K22" s="386">
        <f>IF($E22=0,"",INDEX(Results!$C$3:$N$39,$E22,K$3))</f>
        <v>1</v>
      </c>
      <c r="L22" s="385">
        <f>IF($E22=0,"",INDEX(Results!$C$3:$N$39,$E22,L$3))</f>
        <v>0</v>
      </c>
      <c r="M22" s="386">
        <f>IF($E22=0,"",INDEX(Results!$C$3:$N$39,$E22,M$3))</f>
        <v>0</v>
      </c>
      <c r="N22" s="385">
        <f>IF($E22=0,"",INDEX(Results!$C$3:$N$39,$E22,N$3))</f>
        <v>0</v>
      </c>
      <c r="O22" s="386">
        <f>IF($E22=0,"",INDEX(Results!$C$3:$N$39,$E22,O$3))</f>
        <v>1</v>
      </c>
      <c r="P22" s="385">
        <f>IF($E22=0,"",INDEX(Results!$C$3:$N$39,$E22,P$3))</f>
        <v>0</v>
      </c>
      <c r="Q22" s="386">
        <f>IF($E22=0,"",INDEX(Results!$C$3:$N$39,$E22,Q$3))</f>
        <v>0</v>
      </c>
      <c r="R22" s="385">
        <f>IF($E22=0,"",INDEX(Results!$C$3:$N$39,$E22,R$3))</f>
        <v>0</v>
      </c>
      <c r="S22" s="386">
        <f>IF($E22=0,"",INDEX(Results!$C$3:$N$39,$E22,S$3))</f>
        <v>1</v>
      </c>
      <c r="T22" s="385">
        <f>IF($E22=0,"",INDEX(Results!$C$3:$N$39,$E22,T$3))</f>
        <v>0</v>
      </c>
      <c r="U22" s="386">
        <f>IF($E22=0,"",INDEX(Results!$C$3:$N$39,$E22,U$3))</f>
        <v>0</v>
      </c>
      <c r="V22" s="377">
        <f>IF(ISBLANK(UserDataIn!J23),"",UserDataIn!J23)</f>
        <v>0</v>
      </c>
      <c r="W22" s="377" t="str">
        <f>IF(ISBLANK(UserDataIn!K23),"",UserDataIn!K23)</f>
        <v/>
      </c>
      <c r="X22" s="377" t="str">
        <f>IF(ISBLANK(UserDataIn!L23),"",UserDataIn!L23)</f>
        <v/>
      </c>
      <c r="Y22" s="377" t="str">
        <f>IF(ISBLANK(UserDataIn!M23),"",UserDataIn!M23)</f>
        <v/>
      </c>
      <c r="Z22" s="377" t="str">
        <f>IF(ISBLANK(UserDataIn!N23),"",UserDataIn!N23)</f>
        <v/>
      </c>
      <c r="AA22" s="377" t="str">
        <f>IF(ISBLANK(UserDataIn!O23),"",UserDataIn!O23)</f>
        <v/>
      </c>
      <c r="AB22" s="377" t="str">
        <f>IF(ISBLANK(UserDataIn!P23),"",UserDataIn!P23)</f>
        <v/>
      </c>
      <c r="AC22" s="377" t="str">
        <f>IF(ISBLANK(UserDataIn!Q23),"",UserDataIn!Q23)</f>
        <v/>
      </c>
      <c r="AD22" s="377" t="str">
        <f>IF(ISBLANK(UserDataIn!R23),"",UserDataIn!R23)</f>
        <v/>
      </c>
      <c r="AE22" s="377" t="str">
        <f>IF(ISBLANK(UserDataIn!S23),"",UserDataIn!S23)</f>
        <v/>
      </c>
    </row>
    <row r="23" spans="1:31" s="383" customFormat="1" ht="30">
      <c r="A23" s="384"/>
      <c r="B23" s="385">
        <f>tblIndicators!A20</f>
        <v>19</v>
      </c>
      <c r="C23" s="385">
        <f>tblIndicators!B20</f>
        <v>0</v>
      </c>
      <c r="D23" s="385">
        <f>tblIndicators!F20</f>
        <v>3</v>
      </c>
      <c r="E23" s="385">
        <f>tblIndicators!C20</f>
        <v>14</v>
      </c>
      <c r="F23" s="385" t="str">
        <f>tblIndicators!H20</f>
        <v>14.¿Hay campañas de comunicación para fomentar el reciclaje inclusivo con difusión en el municipio?</v>
      </c>
      <c r="G23" s="385">
        <f>tblIndicators!Z20</f>
        <v>3</v>
      </c>
      <c r="H23" s="421" t="str">
        <f>REPT(" ",D23)&amp;tblIndicators!AE20</f>
        <v xml:space="preserve">   1.3.2) 14.¿Hay campañas de comunicación para fomentar el reciclaje inclusivo con difusión en el municipio?</v>
      </c>
      <c r="I23" s="417" t="str">
        <f>IF(G23=1,"",tblIndicators!Q20)</f>
        <v>0 - 2</v>
      </c>
      <c r="J23" s="385">
        <f>IF($E23=0,"",INDEX(Results!$C$3:$N$39,$E23,J$3))</f>
        <v>1</v>
      </c>
      <c r="K23" s="386">
        <f>IF($E23=0,"",INDEX(Results!$C$3:$N$39,$E23,K$3))</f>
        <v>1</v>
      </c>
      <c r="L23" s="385">
        <f>IF($E23=0,"",INDEX(Results!$C$3:$N$39,$E23,L$3))</f>
        <v>1</v>
      </c>
      <c r="M23" s="386">
        <f>IF($E23=0,"",INDEX(Results!$C$3:$N$39,$E23,M$3))</f>
        <v>0</v>
      </c>
      <c r="N23" s="385">
        <f>IF($E23=0,"",INDEX(Results!$C$3:$N$39,$E23,N$3))</f>
        <v>1</v>
      </c>
      <c r="O23" s="386">
        <f>IF($E23=0,"",INDEX(Results!$C$3:$N$39,$E23,O$3))</f>
        <v>1</v>
      </c>
      <c r="P23" s="385">
        <f>IF($E23=0,"",INDEX(Results!$C$3:$N$39,$E23,P$3))</f>
        <v>1</v>
      </c>
      <c r="Q23" s="386">
        <f>IF($E23=0,"",INDEX(Results!$C$3:$N$39,$E23,Q$3))</f>
        <v>1</v>
      </c>
      <c r="R23" s="385">
        <f>IF($E23=0,"",INDEX(Results!$C$3:$N$39,$E23,R$3))</f>
        <v>1</v>
      </c>
      <c r="S23" s="386">
        <f>IF($E23=0,"",INDEX(Results!$C$3:$N$39,$E23,S$3))</f>
        <v>1</v>
      </c>
      <c r="T23" s="385">
        <f>IF($E23=0,"",INDEX(Results!$C$3:$N$39,$E23,T$3))</f>
        <v>2</v>
      </c>
      <c r="U23" s="386">
        <f>IF($E23=0,"",INDEX(Results!$C$3:$N$39,$E23,U$3))</f>
        <v>1</v>
      </c>
      <c r="V23" s="377">
        <f>IF(ISBLANK(UserDataIn!J24),"",UserDataIn!J24)</f>
        <v>0</v>
      </c>
      <c r="W23" s="377" t="str">
        <f>IF(ISBLANK(UserDataIn!K24),"",UserDataIn!K24)</f>
        <v/>
      </c>
      <c r="X23" s="377" t="str">
        <f>IF(ISBLANK(UserDataIn!L24),"",UserDataIn!L24)</f>
        <v/>
      </c>
      <c r="Y23" s="377" t="str">
        <f>IF(ISBLANK(UserDataIn!M24),"",UserDataIn!M24)</f>
        <v/>
      </c>
      <c r="Z23" s="377" t="str">
        <f>IF(ISBLANK(UserDataIn!N24),"",UserDataIn!N24)</f>
        <v/>
      </c>
      <c r="AA23" s="377" t="str">
        <f>IF(ISBLANK(UserDataIn!O24),"",UserDataIn!O24)</f>
        <v/>
      </c>
      <c r="AB23" s="377" t="str">
        <f>IF(ISBLANK(UserDataIn!P24),"",UserDataIn!P24)</f>
        <v/>
      </c>
      <c r="AC23" s="377" t="str">
        <f>IF(ISBLANK(UserDataIn!Q24),"",UserDataIn!Q24)</f>
        <v/>
      </c>
      <c r="AD23" s="377" t="str">
        <f>IF(ISBLANK(UserDataIn!R24),"",UserDataIn!R24)</f>
        <v/>
      </c>
      <c r="AE23" s="377" t="str">
        <f>IF(ISBLANK(UserDataIn!S24),"",UserDataIn!S24)</f>
        <v/>
      </c>
    </row>
    <row r="24" spans="1:31" s="383" customFormat="1" ht="18.75">
      <c r="A24" s="384"/>
      <c r="B24" s="385">
        <f>tblIndicators!A21</f>
        <v>20</v>
      </c>
      <c r="C24" s="385">
        <f>tblIndicators!B21</f>
        <v>0</v>
      </c>
      <c r="D24" s="385">
        <f>tblIndicators!F21</f>
        <v>2</v>
      </c>
      <c r="E24" s="385">
        <f>tblIndicators!C21</f>
        <v>0</v>
      </c>
      <c r="F24" s="385" t="str">
        <f>tblIndicators!H21</f>
        <v>Salud pública y el medioambiente</v>
      </c>
      <c r="G24" s="385">
        <f>tblIndicators!Z21</f>
        <v>1</v>
      </c>
      <c r="H24" s="421" t="str">
        <f>REPT(" ",D24)&amp;tblIndicators!AE21</f>
        <v xml:space="preserve">  1.4) Salud pública y el medioambiente</v>
      </c>
      <c r="I24" s="417" t="str">
        <f>IF(G24=1,"",tblIndicators!Q21)</f>
        <v/>
      </c>
      <c r="J24" s="385" t="str">
        <f>IF($E24=0,"",INDEX(Results!$C$3:$N$39,$E24,J$3))</f>
        <v/>
      </c>
      <c r="K24" s="386" t="str">
        <f>IF($E24=0,"",INDEX(Results!$C$3:$N$39,$E24,K$3))</f>
        <v/>
      </c>
      <c r="L24" s="385" t="str">
        <f>IF($E24=0,"",INDEX(Results!$C$3:$N$39,$E24,L$3))</f>
        <v/>
      </c>
      <c r="M24" s="386" t="str">
        <f>IF($E24=0,"",INDEX(Results!$C$3:$N$39,$E24,M$3))</f>
        <v/>
      </c>
      <c r="N24" s="385" t="str">
        <f>IF($E24=0,"",INDEX(Results!$C$3:$N$39,$E24,N$3))</f>
        <v/>
      </c>
      <c r="O24" s="386" t="str">
        <f>IF($E24=0,"",INDEX(Results!$C$3:$N$39,$E24,O$3))</f>
        <v/>
      </c>
      <c r="P24" s="385" t="str">
        <f>IF($E24=0,"",INDEX(Results!$C$3:$N$39,$E24,P$3))</f>
        <v/>
      </c>
      <c r="Q24" s="386" t="str">
        <f>IF($E24=0,"",INDEX(Results!$C$3:$N$39,$E24,Q$3))</f>
        <v/>
      </c>
      <c r="R24" s="385" t="str">
        <f>IF($E24=0,"",INDEX(Results!$C$3:$N$39,$E24,R$3))</f>
        <v/>
      </c>
      <c r="S24" s="386" t="str">
        <f>IF($E24=0,"",INDEX(Results!$C$3:$N$39,$E24,S$3))</f>
        <v/>
      </c>
      <c r="T24" s="385" t="str">
        <f>IF($E24=0,"",INDEX(Results!$C$3:$N$39,$E24,T$3))</f>
        <v/>
      </c>
      <c r="U24" s="386" t="str">
        <f>IF($E24=0,"",INDEX(Results!$C$3:$N$39,$E24,U$3))</f>
        <v/>
      </c>
      <c r="V24" s="377" t="str">
        <f>IF(ISBLANK(UserDataIn!J25),"",UserDataIn!J25)</f>
        <v/>
      </c>
      <c r="W24" s="377" t="str">
        <f>IF(ISBLANK(UserDataIn!K25),"",UserDataIn!K25)</f>
        <v/>
      </c>
      <c r="X24" s="377" t="str">
        <f>IF(ISBLANK(UserDataIn!L25),"",UserDataIn!L25)</f>
        <v/>
      </c>
      <c r="Y24" s="377" t="str">
        <f>IF(ISBLANK(UserDataIn!M25),"",UserDataIn!M25)</f>
        <v/>
      </c>
      <c r="Z24" s="377" t="str">
        <f>IF(ISBLANK(UserDataIn!N25),"",UserDataIn!N25)</f>
        <v/>
      </c>
      <c r="AA24" s="377" t="str">
        <f>IF(ISBLANK(UserDataIn!O25),"",UserDataIn!O25)</f>
        <v/>
      </c>
      <c r="AB24" s="377" t="str">
        <f>IF(ISBLANK(UserDataIn!P25),"",UserDataIn!P25)</f>
        <v/>
      </c>
      <c r="AC24" s="377" t="str">
        <f>IF(ISBLANK(UserDataIn!Q25),"",UserDataIn!Q25)</f>
        <v/>
      </c>
      <c r="AD24" s="377" t="str">
        <f>IF(ISBLANK(UserDataIn!R25),"",UserDataIn!R25)</f>
        <v/>
      </c>
      <c r="AE24" s="377" t="str">
        <f>IF(ISBLANK(UserDataIn!S25),"",UserDataIn!S25)</f>
        <v/>
      </c>
    </row>
    <row r="25" spans="1:31" s="383" customFormat="1" ht="30">
      <c r="A25" s="384"/>
      <c r="B25" s="385">
        <f>tblIndicators!A22</f>
        <v>21</v>
      </c>
      <c r="C25" s="385">
        <f>tblIndicators!B22</f>
        <v>0</v>
      </c>
      <c r="D25" s="385">
        <f>tblIndicators!F22</f>
        <v>3</v>
      </c>
      <c r="E25" s="385">
        <f>tblIndicators!C22</f>
        <v>15</v>
      </c>
      <c r="F25" s="385" t="str">
        <f>tblIndicators!H22</f>
        <v>15.¿Existe adecuada regulación y control sobre clasificación y manejo de desechos especiales y/o  peligrosos y sobre clasificación en la calle?</v>
      </c>
      <c r="G25" s="385">
        <f>tblIndicators!Z22</f>
        <v>3</v>
      </c>
      <c r="H25" s="421" t="str">
        <f>REPT(" ",D25)&amp;tblIndicators!AE22</f>
        <v xml:space="preserve">   1.4.1) 15.¿Existe adecuada regulación y control sobre clasificación y manejo de desechos especiales y/o  peligrosos y sobre clasificación en la calle?</v>
      </c>
      <c r="I25" s="417" t="str">
        <f>IF(G25=1,"",tblIndicators!Q22)</f>
        <v>0 - 2</v>
      </c>
      <c r="J25" s="385">
        <f>IF($E25=0,"",INDEX(Results!$C$3:$N$39,$E25,J$3))</f>
        <v>1</v>
      </c>
      <c r="K25" s="386">
        <f>IF($E25=0,"",INDEX(Results!$C$3:$N$39,$E25,K$3))</f>
        <v>1</v>
      </c>
      <c r="L25" s="385">
        <f>IF($E25=0,"",INDEX(Results!$C$3:$N$39,$E25,L$3))</f>
        <v>2</v>
      </c>
      <c r="M25" s="386">
        <f>IF($E25=0,"",INDEX(Results!$C$3:$N$39,$E25,M$3))</f>
        <v>1</v>
      </c>
      <c r="N25" s="385">
        <f>IF($E25=0,"",INDEX(Results!$C$3:$N$39,$E25,N$3))</f>
        <v>2</v>
      </c>
      <c r="O25" s="386">
        <f>IF($E25=0,"",INDEX(Results!$C$3:$N$39,$E25,O$3))</f>
        <v>1</v>
      </c>
      <c r="P25" s="385">
        <f>IF($E25=0,"",INDEX(Results!$C$3:$N$39,$E25,P$3))</f>
        <v>2</v>
      </c>
      <c r="Q25" s="386">
        <f>IF($E25=0,"",INDEX(Results!$C$3:$N$39,$E25,Q$3))</f>
        <v>1</v>
      </c>
      <c r="R25" s="385">
        <f>IF($E25=0,"",INDEX(Results!$C$3:$N$39,$E25,R$3))</f>
        <v>1</v>
      </c>
      <c r="S25" s="386">
        <f>IF($E25=0,"",INDEX(Results!$C$3:$N$39,$E25,S$3))</f>
        <v>1</v>
      </c>
      <c r="T25" s="385">
        <f>IF($E25=0,"",INDEX(Results!$C$3:$N$39,$E25,T$3))</f>
        <v>2</v>
      </c>
      <c r="U25" s="386">
        <f>IF($E25=0,"",INDEX(Results!$C$3:$N$39,$E25,U$3))</f>
        <v>1</v>
      </c>
      <c r="V25" s="377">
        <f>IF(ISBLANK(UserDataIn!J26),"",UserDataIn!J26)</f>
        <v>0</v>
      </c>
      <c r="W25" s="377" t="str">
        <f>IF(ISBLANK(UserDataIn!K26),"",UserDataIn!K26)</f>
        <v/>
      </c>
      <c r="X25" s="377" t="str">
        <f>IF(ISBLANK(UserDataIn!L26),"",UserDataIn!L26)</f>
        <v/>
      </c>
      <c r="Y25" s="377" t="str">
        <f>IF(ISBLANK(UserDataIn!M26),"",UserDataIn!M26)</f>
        <v/>
      </c>
      <c r="Z25" s="377" t="str">
        <f>IF(ISBLANK(UserDataIn!N26),"",UserDataIn!N26)</f>
        <v/>
      </c>
      <c r="AA25" s="377" t="str">
        <f>IF(ISBLANK(UserDataIn!O26),"",UserDataIn!O26)</f>
        <v/>
      </c>
      <c r="AB25" s="377" t="str">
        <f>IF(ISBLANK(UserDataIn!P26),"",UserDataIn!P26)</f>
        <v/>
      </c>
      <c r="AC25" s="377" t="str">
        <f>IF(ISBLANK(UserDataIn!Q26),"",UserDataIn!Q26)</f>
        <v/>
      </c>
      <c r="AD25" s="377" t="str">
        <f>IF(ISBLANK(UserDataIn!R26),"",UserDataIn!R26)</f>
        <v/>
      </c>
      <c r="AE25" s="377" t="str">
        <f>IF(ISBLANK(UserDataIn!S26),"",UserDataIn!S26)</f>
        <v/>
      </c>
    </row>
    <row r="26" spans="1:31" s="383" customFormat="1" ht="18.75">
      <c r="A26" s="384"/>
      <c r="B26" s="385">
        <f>tblIndicators!A23</f>
        <v>22</v>
      </c>
      <c r="C26" s="385">
        <f>tblIndicators!B23</f>
        <v>0</v>
      </c>
      <c r="D26" s="385">
        <f>tblIndicators!F23</f>
        <v>1</v>
      </c>
      <c r="E26" s="385">
        <f>tblIndicators!C23</f>
        <v>0</v>
      </c>
      <c r="F26" s="385" t="str">
        <f>tblIndicators!H23</f>
        <v>Organizativa</v>
      </c>
      <c r="G26" s="385">
        <f>tblIndicators!Z23</f>
        <v>1</v>
      </c>
      <c r="H26" s="421" t="str">
        <f>REPT(" ",D26)&amp;tblIndicators!AE23</f>
        <v xml:space="preserve"> 2) ORGANIZATIVA</v>
      </c>
      <c r="I26" s="417" t="str">
        <f>IF(G26=1,"",tblIndicators!Q23)</f>
        <v/>
      </c>
      <c r="J26" s="385" t="str">
        <f>IF($E26=0,"",INDEX(Results!$C$3:$N$39,$E26,J$3))</f>
        <v/>
      </c>
      <c r="K26" s="386" t="str">
        <f>IF($E26=0,"",INDEX(Results!$C$3:$N$39,$E26,K$3))</f>
        <v/>
      </c>
      <c r="L26" s="385" t="str">
        <f>IF($E26=0,"",INDEX(Results!$C$3:$N$39,$E26,L$3))</f>
        <v/>
      </c>
      <c r="M26" s="386" t="str">
        <f>IF($E26=0,"",INDEX(Results!$C$3:$N$39,$E26,M$3))</f>
        <v/>
      </c>
      <c r="N26" s="385" t="str">
        <f>IF($E26=0,"",INDEX(Results!$C$3:$N$39,$E26,N$3))</f>
        <v/>
      </c>
      <c r="O26" s="386" t="str">
        <f>IF($E26=0,"",INDEX(Results!$C$3:$N$39,$E26,O$3))</f>
        <v/>
      </c>
      <c r="P26" s="385" t="str">
        <f>IF($E26=0,"",INDEX(Results!$C$3:$N$39,$E26,P$3))</f>
        <v/>
      </c>
      <c r="Q26" s="386" t="str">
        <f>IF($E26=0,"",INDEX(Results!$C$3:$N$39,$E26,Q$3))</f>
        <v/>
      </c>
      <c r="R26" s="385" t="str">
        <f>IF($E26=0,"",INDEX(Results!$C$3:$N$39,$E26,R$3))</f>
        <v/>
      </c>
      <c r="S26" s="386" t="str">
        <f>IF($E26=0,"",INDEX(Results!$C$3:$N$39,$E26,S$3))</f>
        <v/>
      </c>
      <c r="T26" s="385" t="str">
        <f>IF($E26=0,"",INDEX(Results!$C$3:$N$39,$E26,T$3))</f>
        <v/>
      </c>
      <c r="U26" s="386" t="str">
        <f>IF($E26=0,"",INDEX(Results!$C$3:$N$39,$E26,U$3))</f>
        <v/>
      </c>
      <c r="V26" s="377" t="str">
        <f>IF(ISBLANK(UserDataIn!J27),"",UserDataIn!J27)</f>
        <v/>
      </c>
      <c r="W26" s="377" t="str">
        <f>IF(ISBLANK(UserDataIn!K27),"",UserDataIn!K27)</f>
        <v/>
      </c>
      <c r="X26" s="377" t="str">
        <f>IF(ISBLANK(UserDataIn!L27),"",UserDataIn!L27)</f>
        <v/>
      </c>
      <c r="Y26" s="377" t="str">
        <f>IF(ISBLANK(UserDataIn!M27),"",UserDataIn!M27)</f>
        <v/>
      </c>
      <c r="Z26" s="377" t="str">
        <f>IF(ISBLANK(UserDataIn!N27),"",UserDataIn!N27)</f>
        <v/>
      </c>
      <c r="AA26" s="377" t="str">
        <f>IF(ISBLANK(UserDataIn!O27),"",UserDataIn!O27)</f>
        <v/>
      </c>
      <c r="AB26" s="377" t="str">
        <f>IF(ISBLANK(UserDataIn!P27),"",UserDataIn!P27)</f>
        <v/>
      </c>
      <c r="AC26" s="377" t="str">
        <f>IF(ISBLANK(UserDataIn!Q27),"",UserDataIn!Q27)</f>
        <v/>
      </c>
      <c r="AD26" s="377" t="str">
        <f>IF(ISBLANK(UserDataIn!R27),"",UserDataIn!R27)</f>
        <v/>
      </c>
      <c r="AE26" s="377" t="str">
        <f>IF(ISBLANK(UserDataIn!S27),"",UserDataIn!S27)</f>
        <v/>
      </c>
    </row>
    <row r="27" spans="1:31" s="383" customFormat="1" ht="18.75">
      <c r="A27" s="384"/>
      <c r="B27" s="385">
        <f>tblIndicators!A24</f>
        <v>23</v>
      </c>
      <c r="C27" s="385">
        <f>tblIndicators!B24</f>
        <v>0</v>
      </c>
      <c r="D27" s="385">
        <f>tblIndicators!F24</f>
        <v>2</v>
      </c>
      <c r="E27" s="385">
        <f>tblIndicators!C24</f>
        <v>0</v>
      </c>
      <c r="F27" s="385" t="str">
        <f>tblIndicators!H24</f>
        <v>Asociatividad</v>
      </c>
      <c r="G27" s="385">
        <f>tblIndicators!Z24</f>
        <v>1</v>
      </c>
      <c r="H27" s="421" t="str">
        <f>REPT(" ",D27)&amp;tblIndicators!AE24</f>
        <v xml:space="preserve">  2.1) Asociatividad</v>
      </c>
      <c r="I27" s="417" t="str">
        <f>IF(G27=1,"",tblIndicators!Q24)</f>
        <v/>
      </c>
      <c r="J27" s="385" t="str">
        <f>IF($E27=0,"",INDEX(Results!$C$3:$N$39,$E27,J$3))</f>
        <v/>
      </c>
      <c r="K27" s="386" t="str">
        <f>IF($E27=0,"",INDEX(Results!$C$3:$N$39,$E27,K$3))</f>
        <v/>
      </c>
      <c r="L27" s="385" t="str">
        <f>IF($E27=0,"",INDEX(Results!$C$3:$N$39,$E27,L$3))</f>
        <v/>
      </c>
      <c r="M27" s="386" t="str">
        <f>IF($E27=0,"",INDEX(Results!$C$3:$N$39,$E27,M$3))</f>
        <v/>
      </c>
      <c r="N27" s="385" t="str">
        <f>IF($E27=0,"",INDEX(Results!$C$3:$N$39,$E27,N$3))</f>
        <v/>
      </c>
      <c r="O27" s="386" t="str">
        <f>IF($E27=0,"",INDEX(Results!$C$3:$N$39,$E27,O$3))</f>
        <v/>
      </c>
      <c r="P27" s="385" t="str">
        <f>IF($E27=0,"",INDEX(Results!$C$3:$N$39,$E27,P$3))</f>
        <v/>
      </c>
      <c r="Q27" s="386" t="str">
        <f>IF($E27=0,"",INDEX(Results!$C$3:$N$39,$E27,Q$3))</f>
        <v/>
      </c>
      <c r="R27" s="385" t="str">
        <f>IF($E27=0,"",INDEX(Results!$C$3:$N$39,$E27,R$3))</f>
        <v/>
      </c>
      <c r="S27" s="386" t="str">
        <f>IF($E27=0,"",INDEX(Results!$C$3:$N$39,$E27,S$3))</f>
        <v/>
      </c>
      <c r="T27" s="385" t="str">
        <f>IF($E27=0,"",INDEX(Results!$C$3:$N$39,$E27,T$3))</f>
        <v/>
      </c>
      <c r="U27" s="386" t="str">
        <f>IF($E27=0,"",INDEX(Results!$C$3:$N$39,$E27,U$3))</f>
        <v/>
      </c>
      <c r="V27" s="377" t="str">
        <f>IF(ISBLANK(UserDataIn!J28),"",UserDataIn!J28)</f>
        <v/>
      </c>
      <c r="W27" s="377" t="str">
        <f>IF(ISBLANK(UserDataIn!K28),"",UserDataIn!K28)</f>
        <v/>
      </c>
      <c r="X27" s="377" t="str">
        <f>IF(ISBLANK(UserDataIn!L28),"",UserDataIn!L28)</f>
        <v/>
      </c>
      <c r="Y27" s="377" t="str">
        <f>IF(ISBLANK(UserDataIn!M28),"",UserDataIn!M28)</f>
        <v/>
      </c>
      <c r="Z27" s="377" t="str">
        <f>IF(ISBLANK(UserDataIn!N28),"",UserDataIn!N28)</f>
        <v/>
      </c>
      <c r="AA27" s="377" t="str">
        <f>IF(ISBLANK(UserDataIn!O28),"",UserDataIn!O28)</f>
        <v/>
      </c>
      <c r="AB27" s="377" t="str">
        <f>IF(ISBLANK(UserDataIn!P28),"",UserDataIn!P28)</f>
        <v/>
      </c>
      <c r="AC27" s="377" t="str">
        <f>IF(ISBLANK(UserDataIn!Q28),"",UserDataIn!Q28)</f>
        <v/>
      </c>
      <c r="AD27" s="377" t="str">
        <f>IF(ISBLANK(UserDataIn!R28),"",UserDataIn!R28)</f>
        <v/>
      </c>
      <c r="AE27" s="377" t="str">
        <f>IF(ISBLANK(UserDataIn!S28),"",UserDataIn!S28)</f>
        <v/>
      </c>
    </row>
    <row r="28" spans="1:31" s="383" customFormat="1" ht="18.75">
      <c r="A28" s="384"/>
      <c r="B28" s="385">
        <f>tblIndicators!A25</f>
        <v>24</v>
      </c>
      <c r="C28" s="385">
        <f>tblIndicators!B25</f>
        <v>0</v>
      </c>
      <c r="D28" s="385">
        <f>tblIndicators!F25</f>
        <v>3</v>
      </c>
      <c r="E28" s="385">
        <f>tblIndicators!C25</f>
        <v>16</v>
      </c>
      <c r="F28" s="385" t="str">
        <f>tblIndicators!H25</f>
        <v>16.¿Cuán dinámicas son las asociaciones?</v>
      </c>
      <c r="G28" s="385">
        <f>tblIndicators!Z25</f>
        <v>3</v>
      </c>
      <c r="H28" s="421" t="str">
        <f>REPT(" ",D28)&amp;tblIndicators!AE25</f>
        <v xml:space="preserve">   2.1.1) 16.¿Cuán dinámicas son las asociaciones?</v>
      </c>
      <c r="I28" s="417" t="str">
        <f>IF(G28=1,"",tblIndicators!Q25)</f>
        <v>0 - 2</v>
      </c>
      <c r="J28" s="385">
        <f>IF($E28=0,"",INDEX(Results!$C$3:$N$39,$E28,J$3))</f>
        <v>2</v>
      </c>
      <c r="K28" s="386">
        <f>IF($E28=0,"",INDEX(Results!$C$3:$N$39,$E28,K$3))</f>
        <v>1</v>
      </c>
      <c r="L28" s="385">
        <f>IF($E28=0,"",INDEX(Results!$C$3:$N$39,$E28,L$3))</f>
        <v>1</v>
      </c>
      <c r="M28" s="386">
        <f>IF($E28=0,"",INDEX(Results!$C$3:$N$39,$E28,M$3))</f>
        <v>0</v>
      </c>
      <c r="N28" s="385">
        <f>IF($E28=0,"",INDEX(Results!$C$3:$N$39,$E28,N$3))</f>
        <v>2</v>
      </c>
      <c r="O28" s="386">
        <f>IF($E28=0,"",INDEX(Results!$C$3:$N$39,$E28,O$3))</f>
        <v>1</v>
      </c>
      <c r="P28" s="385">
        <f>IF($E28=0,"",INDEX(Results!$C$3:$N$39,$E28,P$3))</f>
        <v>2</v>
      </c>
      <c r="Q28" s="386">
        <f>IF($E28=0,"",INDEX(Results!$C$3:$N$39,$E28,Q$3))</f>
        <v>1</v>
      </c>
      <c r="R28" s="385">
        <f>IF($E28=0,"",INDEX(Results!$C$3:$N$39,$E28,R$3))</f>
        <v>0</v>
      </c>
      <c r="S28" s="386">
        <f>IF($E28=0,"",INDEX(Results!$C$3:$N$39,$E28,S$3))</f>
        <v>0</v>
      </c>
      <c r="T28" s="385">
        <f>IF($E28=0,"",INDEX(Results!$C$3:$N$39,$E28,T$3))</f>
        <v>0</v>
      </c>
      <c r="U28" s="386">
        <f>IF($E28=0,"",INDEX(Results!$C$3:$N$39,$E28,U$3))</f>
        <v>0</v>
      </c>
      <c r="V28" s="377">
        <f>IF(ISBLANK(UserDataIn!J29),"",UserDataIn!J29)</f>
        <v>0</v>
      </c>
      <c r="W28" s="377" t="str">
        <f>IF(ISBLANK(UserDataIn!K29),"",UserDataIn!K29)</f>
        <v/>
      </c>
      <c r="X28" s="377" t="str">
        <f>IF(ISBLANK(UserDataIn!L29),"",UserDataIn!L29)</f>
        <v/>
      </c>
      <c r="Y28" s="377" t="str">
        <f>IF(ISBLANK(UserDataIn!M29),"",UserDataIn!M29)</f>
        <v/>
      </c>
      <c r="Z28" s="377" t="str">
        <f>IF(ISBLANK(UserDataIn!N29),"",UserDataIn!N29)</f>
        <v/>
      </c>
      <c r="AA28" s="377" t="str">
        <f>IF(ISBLANK(UserDataIn!O29),"",UserDataIn!O29)</f>
        <v/>
      </c>
      <c r="AB28" s="377" t="str">
        <f>IF(ISBLANK(UserDataIn!P29),"",UserDataIn!P29)</f>
        <v/>
      </c>
      <c r="AC28" s="377" t="str">
        <f>IF(ISBLANK(UserDataIn!Q29),"",UserDataIn!Q29)</f>
        <v/>
      </c>
      <c r="AD28" s="377" t="str">
        <f>IF(ISBLANK(UserDataIn!R29),"",UserDataIn!R29)</f>
        <v/>
      </c>
      <c r="AE28" s="377" t="str">
        <f>IF(ISBLANK(UserDataIn!S29),"",UserDataIn!S29)</f>
        <v/>
      </c>
    </row>
    <row r="29" spans="1:31" s="383" customFormat="1" ht="18.75">
      <c r="A29" s="384"/>
      <c r="B29" s="385">
        <f>tblIndicators!A26</f>
        <v>25</v>
      </c>
      <c r="C29" s="385">
        <f>tblIndicators!B26</f>
        <v>0</v>
      </c>
      <c r="D29" s="385">
        <f>tblIndicators!F26</f>
        <v>3</v>
      </c>
      <c r="E29" s="385">
        <f>tblIndicators!C26</f>
        <v>17</v>
      </c>
      <c r="F29" s="385" t="str">
        <f>tblIndicators!H26</f>
        <v xml:space="preserve">17.¿Qué nivel de inclusión  presentan estas asociaciones? </v>
      </c>
      <c r="G29" s="385">
        <f>tblIndicators!Z26</f>
        <v>3</v>
      </c>
      <c r="H29" s="421" t="str">
        <f>REPT(" ",D29)&amp;tblIndicators!AE26</f>
        <v xml:space="preserve">   2.1.2) 17.¿Qué nivel de inclusión  presentan estas asociaciones? </v>
      </c>
      <c r="I29" s="417" t="str">
        <f>IF(G29=1,"",tblIndicators!Q26)</f>
        <v>0 - 2</v>
      </c>
      <c r="J29" s="385">
        <f>IF($E29=0,"",INDEX(Results!$C$3:$N$39,$E29,J$3))</f>
        <v>0</v>
      </c>
      <c r="K29" s="386">
        <f>IF($E29=0,"",INDEX(Results!$C$3:$N$39,$E29,K$3))</f>
        <v>2</v>
      </c>
      <c r="L29" s="385">
        <f>IF($E29=0,"",INDEX(Results!$C$3:$N$39,$E29,L$3))</f>
        <v>1</v>
      </c>
      <c r="M29" s="386">
        <f>IF($E29=0,"",INDEX(Results!$C$3:$N$39,$E29,M$3))</f>
        <v>0</v>
      </c>
      <c r="N29" s="385">
        <f>IF($E29=0,"",INDEX(Results!$C$3:$N$39,$E29,N$3))</f>
        <v>1</v>
      </c>
      <c r="O29" s="386">
        <f>IF($E29=0,"",INDEX(Results!$C$3:$N$39,$E29,O$3))</f>
        <v>1</v>
      </c>
      <c r="P29" s="385">
        <f>IF($E29=0,"",INDEX(Results!$C$3:$N$39,$E29,P$3))</f>
        <v>0</v>
      </c>
      <c r="Q29" s="386">
        <f>IF($E29=0,"",INDEX(Results!$C$3:$N$39,$E29,Q$3))</f>
        <v>1</v>
      </c>
      <c r="R29" s="385">
        <f>IF($E29=0,"",INDEX(Results!$C$3:$N$39,$E29,R$3))</f>
        <v>0</v>
      </c>
      <c r="S29" s="386">
        <f>IF($E29=0,"",INDEX(Results!$C$3:$N$39,$E29,S$3))</f>
        <v>2</v>
      </c>
      <c r="T29" s="385">
        <f>IF($E29=0,"",INDEX(Results!$C$3:$N$39,$E29,T$3))</f>
        <v>1</v>
      </c>
      <c r="U29" s="386">
        <f>IF($E29=0,"",INDEX(Results!$C$3:$N$39,$E29,U$3))</f>
        <v>0</v>
      </c>
      <c r="V29" s="377">
        <f>IF(ISBLANK(UserDataIn!J30),"",UserDataIn!J30)</f>
        <v>0</v>
      </c>
      <c r="W29" s="377" t="str">
        <f>IF(ISBLANK(UserDataIn!K30),"",UserDataIn!K30)</f>
        <v/>
      </c>
      <c r="X29" s="377" t="str">
        <f>IF(ISBLANK(UserDataIn!L30),"",UserDataIn!L30)</f>
        <v/>
      </c>
      <c r="Y29" s="377" t="str">
        <f>IF(ISBLANK(UserDataIn!M30),"",UserDataIn!M30)</f>
        <v/>
      </c>
      <c r="Z29" s="377" t="str">
        <f>IF(ISBLANK(UserDataIn!N30),"",UserDataIn!N30)</f>
        <v/>
      </c>
      <c r="AA29" s="377" t="str">
        <f>IF(ISBLANK(UserDataIn!O30),"",UserDataIn!O30)</f>
        <v/>
      </c>
      <c r="AB29" s="377" t="str">
        <f>IF(ISBLANK(UserDataIn!P30),"",UserDataIn!P30)</f>
        <v/>
      </c>
      <c r="AC29" s="377" t="str">
        <f>IF(ISBLANK(UserDataIn!Q30),"",UserDataIn!Q30)</f>
        <v/>
      </c>
      <c r="AD29" s="377" t="str">
        <f>IF(ISBLANK(UserDataIn!R30),"",UserDataIn!R30)</f>
        <v/>
      </c>
      <c r="AE29" s="377" t="str">
        <f>IF(ISBLANK(UserDataIn!S30),"",UserDataIn!S30)</f>
        <v/>
      </c>
    </row>
    <row r="30" spans="1:31" s="383" customFormat="1" ht="30">
      <c r="A30" s="384"/>
      <c r="B30" s="385">
        <f>tblIndicators!A27</f>
        <v>26</v>
      </c>
      <c r="C30" s="385">
        <f>tblIndicators!B27</f>
        <v>0</v>
      </c>
      <c r="D30" s="385">
        <f>tblIndicators!F27</f>
        <v>3</v>
      </c>
      <c r="E30" s="385">
        <f>tblIndicators!C27</f>
        <v>18</v>
      </c>
      <c r="F30" s="385" t="str">
        <f>tblIndicators!H27</f>
        <v>18.¿Las asociaciones: participan en espacios de interlocución o diálogo con pares?</v>
      </c>
      <c r="G30" s="385">
        <f>tblIndicators!Z27</f>
        <v>3</v>
      </c>
      <c r="H30" s="421" t="str">
        <f>REPT(" ",D30)&amp;tblIndicators!AE27</f>
        <v xml:space="preserve">   2.1.3) 18.¿Las asociaciones: participan en espacios de interlocución o diálogo con pares?</v>
      </c>
      <c r="I30" s="417" t="str">
        <f>IF(G30=1,"",tblIndicators!Q27)</f>
        <v>0 - 2</v>
      </c>
      <c r="J30" s="385">
        <f>IF($E30=0,"",INDEX(Results!$C$3:$N$39,$E30,J$3))</f>
        <v>1</v>
      </c>
      <c r="K30" s="386">
        <f>IF($E30=0,"",INDEX(Results!$C$3:$N$39,$E30,K$3))</f>
        <v>2</v>
      </c>
      <c r="L30" s="385">
        <f>IF($E30=0,"",INDEX(Results!$C$3:$N$39,$E30,L$3))</f>
        <v>2</v>
      </c>
      <c r="M30" s="386">
        <f>IF($E30=0,"",INDEX(Results!$C$3:$N$39,$E30,M$3))</f>
        <v>0</v>
      </c>
      <c r="N30" s="385">
        <f>IF($E30=0,"",INDEX(Results!$C$3:$N$39,$E30,N$3))</f>
        <v>1</v>
      </c>
      <c r="O30" s="386">
        <f>IF($E30=0,"",INDEX(Results!$C$3:$N$39,$E30,O$3))</f>
        <v>2</v>
      </c>
      <c r="P30" s="385">
        <f>IF($E30=0,"",INDEX(Results!$C$3:$N$39,$E30,P$3))</f>
        <v>2</v>
      </c>
      <c r="Q30" s="386">
        <f>IF($E30=0,"",INDEX(Results!$C$3:$N$39,$E30,Q$3))</f>
        <v>2</v>
      </c>
      <c r="R30" s="385">
        <f>IF($E30=0,"",INDEX(Results!$C$3:$N$39,$E30,R$3))</f>
        <v>0</v>
      </c>
      <c r="S30" s="386">
        <f>IF($E30=0,"",INDEX(Results!$C$3:$N$39,$E30,S$3))</f>
        <v>2</v>
      </c>
      <c r="T30" s="385">
        <f>IF($E30=0,"",INDEX(Results!$C$3:$N$39,$E30,T$3))</f>
        <v>2</v>
      </c>
      <c r="U30" s="386">
        <f>IF($E30=0,"",INDEX(Results!$C$3:$N$39,$E30,U$3))</f>
        <v>1</v>
      </c>
      <c r="V30" s="377">
        <f>IF(ISBLANK(UserDataIn!J31),"",UserDataIn!J31)</f>
        <v>0</v>
      </c>
      <c r="W30" s="377" t="str">
        <f>IF(ISBLANK(UserDataIn!K31),"",UserDataIn!K31)</f>
        <v/>
      </c>
      <c r="X30" s="377" t="str">
        <f>IF(ISBLANK(UserDataIn!L31),"",UserDataIn!L31)</f>
        <v/>
      </c>
      <c r="Y30" s="377" t="str">
        <f>IF(ISBLANK(UserDataIn!M31),"",UserDataIn!M31)</f>
        <v/>
      </c>
      <c r="Z30" s="377" t="str">
        <f>IF(ISBLANK(UserDataIn!N31),"",UserDataIn!N31)</f>
        <v/>
      </c>
      <c r="AA30" s="377" t="str">
        <f>IF(ISBLANK(UserDataIn!O31),"",UserDataIn!O31)</f>
        <v/>
      </c>
      <c r="AB30" s="377" t="str">
        <f>IF(ISBLANK(UserDataIn!P31),"",UserDataIn!P31)</f>
        <v/>
      </c>
      <c r="AC30" s="377" t="str">
        <f>IF(ISBLANK(UserDataIn!Q31),"",UserDataIn!Q31)</f>
        <v/>
      </c>
      <c r="AD30" s="377" t="str">
        <f>IF(ISBLANK(UserDataIn!R31),"",UserDataIn!R31)</f>
        <v/>
      </c>
      <c r="AE30" s="377" t="str">
        <f>IF(ISBLANK(UserDataIn!S31),"",UserDataIn!S31)</f>
        <v/>
      </c>
    </row>
    <row r="31" spans="1:31" s="383" customFormat="1" ht="30">
      <c r="A31" s="384"/>
      <c r="B31" s="385">
        <f>tblIndicators!A28</f>
        <v>27</v>
      </c>
      <c r="C31" s="385">
        <f>tblIndicators!B28</f>
        <v>0</v>
      </c>
      <c r="D31" s="385">
        <f>tblIndicators!F28</f>
        <v>3</v>
      </c>
      <c r="E31" s="385">
        <f>tblIndicators!C28</f>
        <v>19</v>
      </c>
      <c r="F31" s="385" t="str">
        <f>tblIndicators!H28</f>
        <v>19.¿Existen espacios de diálogo y coordinación entre diferentes actores de la cadena de valor del reciclaje?</v>
      </c>
      <c r="G31" s="385">
        <f>tblIndicators!Z28</f>
        <v>3</v>
      </c>
      <c r="H31" s="421" t="str">
        <f>REPT(" ",D31)&amp;tblIndicators!AE28</f>
        <v xml:space="preserve">   2.1.4) 19.¿Existen espacios de diálogo y coordinación entre diferentes actores de la cadena de valor del reciclaje?</v>
      </c>
      <c r="I31" s="417" t="str">
        <f>IF(G31=1,"",tblIndicators!Q28)</f>
        <v>0 - 2</v>
      </c>
      <c r="J31" s="385">
        <f>IF($E31=0,"",INDEX(Results!$C$3:$N$39,$E31,J$3))</f>
        <v>0</v>
      </c>
      <c r="K31" s="386">
        <f>IF($E31=0,"",INDEX(Results!$C$3:$N$39,$E31,K$3))</f>
        <v>2</v>
      </c>
      <c r="L31" s="385">
        <f>IF($E31=0,"",INDEX(Results!$C$3:$N$39,$E31,L$3))</f>
        <v>2</v>
      </c>
      <c r="M31" s="386">
        <f>IF($E31=0,"",INDEX(Results!$C$3:$N$39,$E31,M$3))</f>
        <v>0</v>
      </c>
      <c r="N31" s="385">
        <f>IF($E31=0,"",INDEX(Results!$C$3:$N$39,$E31,N$3))</f>
        <v>2</v>
      </c>
      <c r="O31" s="386">
        <f>IF($E31=0,"",INDEX(Results!$C$3:$N$39,$E31,O$3))</f>
        <v>2</v>
      </c>
      <c r="P31" s="385">
        <f>IF($E31=0,"",INDEX(Results!$C$3:$N$39,$E31,P$3))</f>
        <v>0</v>
      </c>
      <c r="Q31" s="386">
        <f>IF($E31=0,"",INDEX(Results!$C$3:$N$39,$E31,Q$3))</f>
        <v>0</v>
      </c>
      <c r="R31" s="385">
        <f>IF($E31=0,"",INDEX(Results!$C$3:$N$39,$E31,R$3))</f>
        <v>0</v>
      </c>
      <c r="S31" s="386">
        <f>IF($E31=0,"",INDEX(Results!$C$3:$N$39,$E31,S$3))</f>
        <v>0</v>
      </c>
      <c r="T31" s="385">
        <f>IF($E31=0,"",INDEX(Results!$C$3:$N$39,$E31,T$3))</f>
        <v>1</v>
      </c>
      <c r="U31" s="386">
        <f>IF($E31=0,"",INDEX(Results!$C$3:$N$39,$E31,U$3))</f>
        <v>2</v>
      </c>
      <c r="V31" s="377">
        <f>IF(ISBLANK(UserDataIn!J32),"",UserDataIn!J32)</f>
        <v>0</v>
      </c>
      <c r="W31" s="377" t="str">
        <f>IF(ISBLANK(UserDataIn!K32),"",UserDataIn!K32)</f>
        <v/>
      </c>
      <c r="X31" s="377" t="str">
        <f>IF(ISBLANK(UserDataIn!L32),"",UserDataIn!L32)</f>
        <v/>
      </c>
      <c r="Y31" s="377" t="str">
        <f>IF(ISBLANK(UserDataIn!M32),"",UserDataIn!M32)</f>
        <v/>
      </c>
      <c r="Z31" s="377" t="str">
        <f>IF(ISBLANK(UserDataIn!N32),"",UserDataIn!N32)</f>
        <v/>
      </c>
      <c r="AA31" s="377" t="str">
        <f>IF(ISBLANK(UserDataIn!O32),"",UserDataIn!O32)</f>
        <v/>
      </c>
      <c r="AB31" s="377" t="str">
        <f>IF(ISBLANK(UserDataIn!P32),"",UserDataIn!P32)</f>
        <v/>
      </c>
      <c r="AC31" s="377" t="str">
        <f>IF(ISBLANK(UserDataIn!Q32),"",UserDataIn!Q32)</f>
        <v/>
      </c>
      <c r="AD31" s="377" t="str">
        <f>IF(ISBLANK(UserDataIn!R32),"",UserDataIn!R32)</f>
        <v/>
      </c>
      <c r="AE31" s="377" t="str">
        <f>IF(ISBLANK(UserDataIn!S32),"",UserDataIn!S32)</f>
        <v/>
      </c>
    </row>
    <row r="32" spans="1:31" s="383" customFormat="1" ht="18.75">
      <c r="A32" s="384"/>
      <c r="B32" s="385">
        <f>tblIndicators!A29</f>
        <v>28</v>
      </c>
      <c r="C32" s="385">
        <f>tblIndicators!B29</f>
        <v>0</v>
      </c>
      <c r="D32" s="385">
        <f>tblIndicators!F29</f>
        <v>3</v>
      </c>
      <c r="E32" s="385">
        <f>tblIndicators!C29</f>
        <v>20</v>
      </c>
      <c r="F32" s="385" t="str">
        <f>tblIndicators!H29</f>
        <v>20.¿Cuál es el nivel de representación de las mujeres en las asociaciones?</v>
      </c>
      <c r="G32" s="385">
        <f>tblIndicators!Z29</f>
        <v>3</v>
      </c>
      <c r="H32" s="421" t="str">
        <f>REPT(" ",D32)&amp;tblIndicators!AE29</f>
        <v xml:space="preserve">   2.1.5) 20.¿Cuál es el nivel de representación de las mujeres en las asociaciones?</v>
      </c>
      <c r="I32" s="417" t="str">
        <f>IF(G32=1,"",tblIndicators!Q29)</f>
        <v>0 - 2</v>
      </c>
      <c r="J32" s="385">
        <f>IF($E32=0,"",INDEX(Results!$C$3:$N$39,$E32,J$3))</f>
        <v>1</v>
      </c>
      <c r="K32" s="386">
        <f>IF($E32=0,"",INDEX(Results!$C$3:$N$39,$E32,K$3))</f>
        <v>2</v>
      </c>
      <c r="L32" s="385">
        <f>IF($E32=0,"",INDEX(Results!$C$3:$N$39,$E32,L$3))</f>
        <v>1</v>
      </c>
      <c r="M32" s="386">
        <f>IF($E32=0,"",INDEX(Results!$C$3:$N$39,$E32,M$3))</f>
        <v>0</v>
      </c>
      <c r="N32" s="385">
        <f>IF($E32=0,"",INDEX(Results!$C$3:$N$39,$E32,N$3))</f>
        <v>1</v>
      </c>
      <c r="O32" s="386">
        <f>IF($E32=0,"",INDEX(Results!$C$3:$N$39,$E32,O$3))</f>
        <v>0</v>
      </c>
      <c r="P32" s="385">
        <f>IF($E32=0,"",INDEX(Results!$C$3:$N$39,$E32,P$3))</f>
        <v>1</v>
      </c>
      <c r="Q32" s="386">
        <f>IF($E32=0,"",INDEX(Results!$C$3:$N$39,$E32,Q$3))</f>
        <v>2</v>
      </c>
      <c r="R32" s="385">
        <f>IF($E32=0,"",INDEX(Results!$C$3:$N$39,$E32,R$3))</f>
        <v>0</v>
      </c>
      <c r="S32" s="386">
        <f>IF($E32=0,"",INDEX(Results!$C$3:$N$39,$E32,S$3))</f>
        <v>2</v>
      </c>
      <c r="T32" s="385">
        <f>IF($E32=0,"",INDEX(Results!$C$3:$N$39,$E32,T$3))</f>
        <v>2</v>
      </c>
      <c r="U32" s="386">
        <f>IF($E32=0,"",INDEX(Results!$C$3:$N$39,$E32,U$3))</f>
        <v>0</v>
      </c>
      <c r="V32" s="377">
        <f>IF(ISBLANK(UserDataIn!J33),"",UserDataIn!J33)</f>
        <v>0</v>
      </c>
      <c r="W32" s="377" t="str">
        <f>IF(ISBLANK(UserDataIn!K33),"",UserDataIn!K33)</f>
        <v/>
      </c>
      <c r="X32" s="377" t="str">
        <f>IF(ISBLANK(UserDataIn!L33),"",UserDataIn!L33)</f>
        <v/>
      </c>
      <c r="Y32" s="377" t="str">
        <f>IF(ISBLANK(UserDataIn!M33),"",UserDataIn!M33)</f>
        <v/>
      </c>
      <c r="Z32" s="377" t="str">
        <f>IF(ISBLANK(UserDataIn!N33),"",UserDataIn!N33)</f>
        <v/>
      </c>
      <c r="AA32" s="377" t="str">
        <f>IF(ISBLANK(UserDataIn!O33),"",UserDataIn!O33)</f>
        <v/>
      </c>
      <c r="AB32" s="377" t="str">
        <f>IF(ISBLANK(UserDataIn!P33),"",UserDataIn!P33)</f>
        <v/>
      </c>
      <c r="AC32" s="377" t="str">
        <f>IF(ISBLANK(UserDataIn!Q33),"",UserDataIn!Q33)</f>
        <v/>
      </c>
      <c r="AD32" s="377" t="str">
        <f>IF(ISBLANK(UserDataIn!R33),"",UserDataIn!R33)</f>
        <v/>
      </c>
      <c r="AE32" s="377" t="str">
        <f>IF(ISBLANK(UserDataIn!S33),"",UserDataIn!S33)</f>
        <v/>
      </c>
    </row>
    <row r="33" spans="1:31" s="383" customFormat="1" ht="18.75">
      <c r="A33" s="384"/>
      <c r="B33" s="385">
        <f>tblIndicators!A30</f>
        <v>29</v>
      </c>
      <c r="C33" s="385">
        <f>tblIndicators!B30</f>
        <v>0</v>
      </c>
      <c r="D33" s="385">
        <f>tblIndicators!F30</f>
        <v>2</v>
      </c>
      <c r="E33" s="385">
        <f>tblIndicators!C30</f>
        <v>0</v>
      </c>
      <c r="F33" s="385" t="str">
        <f>tblIndicators!H30</f>
        <v>Organizaciones comerciales</v>
      </c>
      <c r="G33" s="385">
        <f>tblIndicators!Z30</f>
        <v>1</v>
      </c>
      <c r="H33" s="421" t="str">
        <f>REPT(" ",D33)&amp;tblIndicators!AE30</f>
        <v xml:space="preserve">  2.2) Organizaciones comerciales</v>
      </c>
      <c r="I33" s="417" t="str">
        <f>IF(G33=1,"",tblIndicators!Q30)</f>
        <v/>
      </c>
      <c r="J33" s="385" t="str">
        <f>IF($E33=0,"",INDEX(Results!$C$3:$N$39,$E33,J$3))</f>
        <v/>
      </c>
      <c r="K33" s="386" t="str">
        <f>IF($E33=0,"",INDEX(Results!$C$3:$N$39,$E33,K$3))</f>
        <v/>
      </c>
      <c r="L33" s="385" t="str">
        <f>IF($E33=0,"",INDEX(Results!$C$3:$N$39,$E33,L$3))</f>
        <v/>
      </c>
      <c r="M33" s="386" t="str">
        <f>IF($E33=0,"",INDEX(Results!$C$3:$N$39,$E33,M$3))</f>
        <v/>
      </c>
      <c r="N33" s="385" t="str">
        <f>IF($E33=0,"",INDEX(Results!$C$3:$N$39,$E33,N$3))</f>
        <v/>
      </c>
      <c r="O33" s="386" t="str">
        <f>IF($E33=0,"",INDEX(Results!$C$3:$N$39,$E33,O$3))</f>
        <v/>
      </c>
      <c r="P33" s="385" t="str">
        <f>IF($E33=0,"",INDEX(Results!$C$3:$N$39,$E33,P$3))</f>
        <v/>
      </c>
      <c r="Q33" s="386" t="str">
        <f>IF($E33=0,"",INDEX(Results!$C$3:$N$39,$E33,Q$3))</f>
        <v/>
      </c>
      <c r="R33" s="385" t="str">
        <f>IF($E33=0,"",INDEX(Results!$C$3:$N$39,$E33,R$3))</f>
        <v/>
      </c>
      <c r="S33" s="386" t="str">
        <f>IF($E33=0,"",INDEX(Results!$C$3:$N$39,$E33,S$3))</f>
        <v/>
      </c>
      <c r="T33" s="385" t="str">
        <f>IF($E33=0,"",INDEX(Results!$C$3:$N$39,$E33,T$3))</f>
        <v/>
      </c>
      <c r="U33" s="386" t="str">
        <f>IF($E33=0,"",INDEX(Results!$C$3:$N$39,$E33,U$3))</f>
        <v/>
      </c>
      <c r="V33" s="377" t="str">
        <f>IF(ISBLANK(UserDataIn!J34),"",UserDataIn!J34)</f>
        <v/>
      </c>
      <c r="W33" s="377" t="str">
        <f>IF(ISBLANK(UserDataIn!K34),"",UserDataIn!K34)</f>
        <v/>
      </c>
      <c r="X33" s="377" t="str">
        <f>IF(ISBLANK(UserDataIn!L34),"",UserDataIn!L34)</f>
        <v/>
      </c>
      <c r="Y33" s="377" t="str">
        <f>IF(ISBLANK(UserDataIn!M34),"",UserDataIn!M34)</f>
        <v/>
      </c>
      <c r="Z33" s="377" t="str">
        <f>IF(ISBLANK(UserDataIn!N34),"",UserDataIn!N34)</f>
        <v/>
      </c>
      <c r="AA33" s="377" t="str">
        <f>IF(ISBLANK(UserDataIn!O34),"",UserDataIn!O34)</f>
        <v/>
      </c>
      <c r="AB33" s="377" t="str">
        <f>IF(ISBLANK(UserDataIn!P34),"",UserDataIn!P34)</f>
        <v/>
      </c>
      <c r="AC33" s="377" t="str">
        <f>IF(ISBLANK(UserDataIn!Q34),"",UserDataIn!Q34)</f>
        <v/>
      </c>
      <c r="AD33" s="377" t="str">
        <f>IF(ISBLANK(UserDataIn!R34),"",UserDataIn!R34)</f>
        <v/>
      </c>
      <c r="AE33" s="377" t="str">
        <f>IF(ISBLANK(UserDataIn!S34),"",UserDataIn!S34)</f>
        <v/>
      </c>
    </row>
    <row r="34" spans="1:31" s="383" customFormat="1" ht="30">
      <c r="A34" s="384"/>
      <c r="B34" s="385">
        <f>tblIndicators!A31</f>
        <v>30</v>
      </c>
      <c r="C34" s="385">
        <f>tblIndicators!B31</f>
        <v>0</v>
      </c>
      <c r="D34" s="385">
        <f>tblIndicators!F31</f>
        <v>3</v>
      </c>
      <c r="E34" s="385">
        <f>tblIndicators!C31</f>
        <v>21</v>
      </c>
      <c r="F34" s="385" t="str">
        <f>tblIndicators!H31</f>
        <v xml:space="preserve">21.¿Existen organizaciones de recicladores con actividad comercial en el municipio (cooperativas y/o microempresas)? </v>
      </c>
      <c r="G34" s="385">
        <f>tblIndicators!Z31</f>
        <v>3</v>
      </c>
      <c r="H34" s="421" t="str">
        <f>REPT(" ",D34)&amp;tblIndicators!AE31</f>
        <v xml:space="preserve">   2.2.1) 21.¿Existen organizaciones de recicladores con actividad comercial en el municipio (cooperativas y/o microempresas)? </v>
      </c>
      <c r="I34" s="417" t="str">
        <f>IF(G34=1,"",tblIndicators!Q31)</f>
        <v>0 - 2</v>
      </c>
      <c r="J34" s="385">
        <f>IF($E34=0,"",INDEX(Results!$C$3:$N$39,$E34,J$3))</f>
        <v>1</v>
      </c>
      <c r="K34" s="386">
        <f>IF($E34=0,"",INDEX(Results!$C$3:$N$39,$E34,K$3))</f>
        <v>2</v>
      </c>
      <c r="L34" s="385">
        <f>IF($E34=0,"",INDEX(Results!$C$3:$N$39,$E34,L$3))</f>
        <v>2</v>
      </c>
      <c r="M34" s="386">
        <f>IF($E34=0,"",INDEX(Results!$C$3:$N$39,$E34,M$3))</f>
        <v>0</v>
      </c>
      <c r="N34" s="385">
        <f>IF($E34=0,"",INDEX(Results!$C$3:$N$39,$E34,N$3))</f>
        <v>1</v>
      </c>
      <c r="O34" s="386">
        <f>IF($E34=0,"",INDEX(Results!$C$3:$N$39,$E34,O$3))</f>
        <v>1</v>
      </c>
      <c r="P34" s="385">
        <f>IF($E34=0,"",INDEX(Results!$C$3:$N$39,$E34,P$3))</f>
        <v>1</v>
      </c>
      <c r="Q34" s="386">
        <f>IF($E34=0,"",INDEX(Results!$C$3:$N$39,$E34,Q$3))</f>
        <v>1</v>
      </c>
      <c r="R34" s="385">
        <f>IF($E34=0,"",INDEX(Results!$C$3:$N$39,$E34,R$3))</f>
        <v>0</v>
      </c>
      <c r="S34" s="386">
        <f>IF($E34=0,"",INDEX(Results!$C$3:$N$39,$E34,S$3))</f>
        <v>2</v>
      </c>
      <c r="T34" s="385">
        <f>IF($E34=0,"",INDEX(Results!$C$3:$N$39,$E34,T$3))</f>
        <v>1</v>
      </c>
      <c r="U34" s="386">
        <f>IF($E34=0,"",INDEX(Results!$C$3:$N$39,$E34,U$3))</f>
        <v>0</v>
      </c>
      <c r="V34" s="377">
        <f>IF(ISBLANK(UserDataIn!J35),"",UserDataIn!J35)</f>
        <v>0</v>
      </c>
      <c r="W34" s="377" t="str">
        <f>IF(ISBLANK(UserDataIn!K35),"",UserDataIn!K35)</f>
        <v/>
      </c>
      <c r="X34" s="377" t="str">
        <f>IF(ISBLANK(UserDataIn!L35),"",UserDataIn!L35)</f>
        <v/>
      </c>
      <c r="Y34" s="377" t="str">
        <f>IF(ISBLANK(UserDataIn!M35),"",UserDataIn!M35)</f>
        <v/>
      </c>
      <c r="Z34" s="377" t="str">
        <f>IF(ISBLANK(UserDataIn!N35),"",UserDataIn!N35)</f>
        <v/>
      </c>
      <c r="AA34" s="377" t="str">
        <f>IF(ISBLANK(UserDataIn!O35),"",UserDataIn!O35)</f>
        <v/>
      </c>
      <c r="AB34" s="377" t="str">
        <f>IF(ISBLANK(UserDataIn!P35),"",UserDataIn!P35)</f>
        <v/>
      </c>
      <c r="AC34" s="377" t="str">
        <f>IF(ISBLANK(UserDataIn!Q35),"",UserDataIn!Q35)</f>
        <v/>
      </c>
      <c r="AD34" s="377" t="str">
        <f>IF(ISBLANK(UserDataIn!R35),"",UserDataIn!R35)</f>
        <v/>
      </c>
      <c r="AE34" s="377" t="str">
        <f>IF(ISBLANK(UserDataIn!S35),"",UserDataIn!S35)</f>
        <v/>
      </c>
    </row>
    <row r="35" spans="1:31" s="383" customFormat="1" ht="30">
      <c r="A35" s="384"/>
      <c r="B35" s="385">
        <f>tblIndicators!A32</f>
        <v>31</v>
      </c>
      <c r="C35" s="385">
        <f>tblIndicators!B32</f>
        <v>0</v>
      </c>
      <c r="D35" s="385">
        <f>tblIndicators!F32</f>
        <v>3</v>
      </c>
      <c r="E35" s="385">
        <f>tblIndicators!C32</f>
        <v>22</v>
      </c>
      <c r="F35" s="385" t="str">
        <f>tblIndicators!H32</f>
        <v>22.¿Cuál es el nivel de participación de las organizaciones de recicladores en la cadena de valor del reciclaje?</v>
      </c>
      <c r="G35" s="385">
        <f>tblIndicators!Z32</f>
        <v>3</v>
      </c>
      <c r="H35" s="421" t="str">
        <f>REPT(" ",D35)&amp;tblIndicators!AE32</f>
        <v xml:space="preserve">   2.2.2) 22.¿Cuál es el nivel de participación de las organizaciones de recicladores en la cadena de valor del reciclaje?</v>
      </c>
      <c r="I35" s="417" t="str">
        <f>IF(G35=1,"",tblIndicators!Q32)</f>
        <v>0 - 2</v>
      </c>
      <c r="J35" s="385">
        <f>IF($E35=0,"",INDEX(Results!$C$3:$N$39,$E35,J$3))</f>
        <v>0</v>
      </c>
      <c r="K35" s="386">
        <f>IF($E35=0,"",INDEX(Results!$C$3:$N$39,$E35,K$3))</f>
        <v>1</v>
      </c>
      <c r="L35" s="385">
        <f>IF($E35=0,"",INDEX(Results!$C$3:$N$39,$E35,L$3))</f>
        <v>2</v>
      </c>
      <c r="M35" s="386">
        <f>IF($E35=0,"",INDEX(Results!$C$3:$N$39,$E35,M$3))</f>
        <v>0</v>
      </c>
      <c r="N35" s="385">
        <f>IF($E35=0,"",INDEX(Results!$C$3:$N$39,$E35,N$3))</f>
        <v>1</v>
      </c>
      <c r="O35" s="386">
        <f>IF($E35=0,"",INDEX(Results!$C$3:$N$39,$E35,O$3))</f>
        <v>1</v>
      </c>
      <c r="P35" s="385">
        <f>IF($E35=0,"",INDEX(Results!$C$3:$N$39,$E35,P$3))</f>
        <v>0</v>
      </c>
      <c r="Q35" s="386">
        <f>IF($E35=0,"",INDEX(Results!$C$3:$N$39,$E35,Q$3))</f>
        <v>1</v>
      </c>
      <c r="R35" s="385">
        <f>IF($E35=0,"",INDEX(Results!$C$3:$N$39,$E35,R$3))</f>
        <v>0</v>
      </c>
      <c r="S35" s="386">
        <f>IF($E35=0,"",INDEX(Results!$C$3:$N$39,$E35,S$3))</f>
        <v>2</v>
      </c>
      <c r="T35" s="385">
        <f>IF($E35=0,"",INDEX(Results!$C$3:$N$39,$E35,T$3))</f>
        <v>1</v>
      </c>
      <c r="U35" s="386">
        <f>IF($E35=0,"",INDEX(Results!$C$3:$N$39,$E35,U$3))</f>
        <v>1</v>
      </c>
      <c r="V35" s="377">
        <f>IF(ISBLANK(UserDataIn!J36),"",UserDataIn!J36)</f>
        <v>0</v>
      </c>
      <c r="W35" s="377" t="str">
        <f>IF(ISBLANK(UserDataIn!K36),"",UserDataIn!K36)</f>
        <v/>
      </c>
      <c r="X35" s="377" t="str">
        <f>IF(ISBLANK(UserDataIn!L36),"",UserDataIn!L36)</f>
        <v/>
      </c>
      <c r="Y35" s="377" t="str">
        <f>IF(ISBLANK(UserDataIn!M36),"",UserDataIn!M36)</f>
        <v/>
      </c>
      <c r="Z35" s="377" t="str">
        <f>IF(ISBLANK(UserDataIn!N36),"",UserDataIn!N36)</f>
        <v/>
      </c>
      <c r="AA35" s="377" t="str">
        <f>IF(ISBLANK(UserDataIn!O36),"",UserDataIn!O36)</f>
        <v/>
      </c>
      <c r="AB35" s="377" t="str">
        <f>IF(ISBLANK(UserDataIn!P36),"",UserDataIn!P36)</f>
        <v/>
      </c>
      <c r="AC35" s="377" t="str">
        <f>IF(ISBLANK(UserDataIn!Q36),"",UserDataIn!Q36)</f>
        <v/>
      </c>
      <c r="AD35" s="377" t="str">
        <f>IF(ISBLANK(UserDataIn!R36),"",UserDataIn!R36)</f>
        <v/>
      </c>
      <c r="AE35" s="377" t="str">
        <f>IF(ISBLANK(UserDataIn!S36),"",UserDataIn!S36)</f>
        <v/>
      </c>
    </row>
    <row r="36" spans="1:31" s="383" customFormat="1" ht="30">
      <c r="A36" s="384"/>
      <c r="B36" s="385">
        <f>tblIndicators!A33</f>
        <v>32</v>
      </c>
      <c r="C36" s="385">
        <f>tblIndicators!B33</f>
        <v>0</v>
      </c>
      <c r="D36" s="385">
        <f>tblIndicators!F33</f>
        <v>3</v>
      </c>
      <c r="E36" s="385">
        <f>tblIndicators!C33</f>
        <v>23</v>
      </c>
      <c r="F36" s="385" t="str">
        <f>tblIndicators!H33</f>
        <v>23. Las organizaciones comerciales de recicladores: ¿Tienen acceso a mecanismos de financiamiento?</v>
      </c>
      <c r="G36" s="385">
        <f>tblIndicators!Z33</f>
        <v>3</v>
      </c>
      <c r="H36" s="421" t="str">
        <f>REPT(" ",D36)&amp;tblIndicators!AE33</f>
        <v xml:space="preserve">   2.2.3) 23. Las organizaciones comerciales de recicladores: ¿Tienen acceso a mecanismos de financiamiento?</v>
      </c>
      <c r="I36" s="417" t="str">
        <f>IF(G36=1,"",tblIndicators!Q33)</f>
        <v>0 - 3</v>
      </c>
      <c r="J36" s="385">
        <f>IF($E36=0,"",INDEX(Results!$C$3:$N$39,$E36,J$3))</f>
        <v>0</v>
      </c>
      <c r="K36" s="386">
        <f>IF($E36=0,"",INDEX(Results!$C$3:$N$39,$E36,K$3))</f>
        <v>0</v>
      </c>
      <c r="L36" s="385">
        <f>IF($E36=0,"",INDEX(Results!$C$3:$N$39,$E36,L$3))</f>
        <v>2</v>
      </c>
      <c r="M36" s="386">
        <f>IF($E36=0,"",INDEX(Results!$C$3:$N$39,$E36,M$3))</f>
        <v>0</v>
      </c>
      <c r="N36" s="385">
        <f>IF($E36=0,"",INDEX(Results!$C$3:$N$39,$E36,N$3))</f>
        <v>0</v>
      </c>
      <c r="O36" s="386">
        <f>IF($E36=0,"",INDEX(Results!$C$3:$N$39,$E36,O$3))</f>
        <v>0</v>
      </c>
      <c r="P36" s="385">
        <f>IF($E36=0,"",INDEX(Results!$C$3:$N$39,$E36,P$3))</f>
        <v>0</v>
      </c>
      <c r="Q36" s="386">
        <f>IF($E36=0,"",INDEX(Results!$C$3:$N$39,$E36,Q$3))</f>
        <v>0</v>
      </c>
      <c r="R36" s="385">
        <f>IF($E36=0,"",INDEX(Results!$C$3:$N$39,$E36,R$3))</f>
        <v>0</v>
      </c>
      <c r="S36" s="386">
        <f>IF($E36=0,"",INDEX(Results!$C$3:$N$39,$E36,S$3))</f>
        <v>1</v>
      </c>
      <c r="T36" s="385">
        <f>IF($E36=0,"",INDEX(Results!$C$3:$N$39,$E36,T$3))</f>
        <v>0</v>
      </c>
      <c r="U36" s="386">
        <f>IF($E36=0,"",INDEX(Results!$C$3:$N$39,$E36,U$3))</f>
        <v>2</v>
      </c>
      <c r="V36" s="377">
        <f>IF(ISBLANK(UserDataIn!J37),"",UserDataIn!J37)</f>
        <v>0</v>
      </c>
      <c r="W36" s="377" t="str">
        <f>IF(ISBLANK(UserDataIn!K37),"",UserDataIn!K37)</f>
        <v/>
      </c>
      <c r="X36" s="377" t="str">
        <f>IF(ISBLANK(UserDataIn!L37),"",UserDataIn!L37)</f>
        <v/>
      </c>
      <c r="Y36" s="377" t="str">
        <f>IF(ISBLANK(UserDataIn!M37),"",UserDataIn!M37)</f>
        <v/>
      </c>
      <c r="Z36" s="377" t="str">
        <f>IF(ISBLANK(UserDataIn!N37),"",UserDataIn!N37)</f>
        <v/>
      </c>
      <c r="AA36" s="377" t="str">
        <f>IF(ISBLANK(UserDataIn!O37),"",UserDataIn!O37)</f>
        <v/>
      </c>
      <c r="AB36" s="377" t="str">
        <f>IF(ISBLANK(UserDataIn!P37),"",UserDataIn!P37)</f>
        <v/>
      </c>
      <c r="AC36" s="377" t="str">
        <f>IF(ISBLANK(UserDataIn!Q37),"",UserDataIn!Q37)</f>
        <v/>
      </c>
      <c r="AD36" s="377" t="str">
        <f>IF(ISBLANK(UserDataIn!R37),"",UserDataIn!R37)</f>
        <v/>
      </c>
      <c r="AE36" s="377" t="str">
        <f>IF(ISBLANK(UserDataIn!S37),"",UserDataIn!S37)</f>
        <v/>
      </c>
    </row>
    <row r="37" spans="1:31" s="383" customFormat="1" ht="18.75">
      <c r="A37" s="384"/>
      <c r="B37" s="385">
        <f>tblIndicators!A34</f>
        <v>33</v>
      </c>
      <c r="C37" s="385">
        <f>tblIndicators!B34</f>
        <v>0</v>
      </c>
      <c r="D37" s="385">
        <f>tblIndicators!F34</f>
        <v>1</v>
      </c>
      <c r="E37" s="385">
        <f>tblIndicators!C34</f>
        <v>0</v>
      </c>
      <c r="F37" s="385" t="str">
        <f>tblIndicators!H34</f>
        <v>Mercado</v>
      </c>
      <c r="G37" s="385">
        <f>tblIndicators!Z34</f>
        <v>1</v>
      </c>
      <c r="H37" s="421" t="str">
        <f>REPT(" ",D37)&amp;tblIndicators!AE34</f>
        <v xml:space="preserve"> 3) MERCADO</v>
      </c>
      <c r="I37" s="417" t="str">
        <f>IF(G37=1,"",tblIndicators!Q34)</f>
        <v/>
      </c>
      <c r="J37" s="385" t="str">
        <f>IF($E37=0,"",INDEX(Results!$C$3:$N$39,$E37,J$3))</f>
        <v/>
      </c>
      <c r="K37" s="386" t="str">
        <f>IF($E37=0,"",INDEX(Results!$C$3:$N$39,$E37,K$3))</f>
        <v/>
      </c>
      <c r="L37" s="385" t="str">
        <f>IF($E37=0,"",INDEX(Results!$C$3:$N$39,$E37,L$3))</f>
        <v/>
      </c>
      <c r="M37" s="386" t="str">
        <f>IF($E37=0,"",INDEX(Results!$C$3:$N$39,$E37,M$3))</f>
        <v/>
      </c>
      <c r="N37" s="385" t="str">
        <f>IF($E37=0,"",INDEX(Results!$C$3:$N$39,$E37,N$3))</f>
        <v/>
      </c>
      <c r="O37" s="386" t="str">
        <f>IF($E37=0,"",INDEX(Results!$C$3:$N$39,$E37,O$3))</f>
        <v/>
      </c>
      <c r="P37" s="385" t="str">
        <f>IF($E37=0,"",INDEX(Results!$C$3:$N$39,$E37,P$3))</f>
        <v/>
      </c>
      <c r="Q37" s="386" t="str">
        <f>IF($E37=0,"",INDEX(Results!$C$3:$N$39,$E37,Q$3))</f>
        <v/>
      </c>
      <c r="R37" s="385" t="str">
        <f>IF($E37=0,"",INDEX(Results!$C$3:$N$39,$E37,R$3))</f>
        <v/>
      </c>
      <c r="S37" s="386" t="str">
        <f>IF($E37=0,"",INDEX(Results!$C$3:$N$39,$E37,S$3))</f>
        <v/>
      </c>
      <c r="T37" s="385" t="str">
        <f>IF($E37=0,"",INDEX(Results!$C$3:$N$39,$E37,T$3))</f>
        <v/>
      </c>
      <c r="U37" s="386" t="str">
        <f>IF($E37=0,"",INDEX(Results!$C$3:$N$39,$E37,U$3))</f>
        <v/>
      </c>
      <c r="V37" s="377" t="str">
        <f>IF(ISBLANK(UserDataIn!J38),"",UserDataIn!J38)</f>
        <v/>
      </c>
      <c r="W37" s="377" t="str">
        <f>IF(ISBLANK(UserDataIn!K38),"",UserDataIn!K38)</f>
        <v/>
      </c>
      <c r="X37" s="377" t="str">
        <f>IF(ISBLANK(UserDataIn!L38),"",UserDataIn!L38)</f>
        <v/>
      </c>
      <c r="Y37" s="377" t="str">
        <f>IF(ISBLANK(UserDataIn!M38),"",UserDataIn!M38)</f>
        <v/>
      </c>
      <c r="Z37" s="377" t="str">
        <f>IF(ISBLANK(UserDataIn!N38),"",UserDataIn!N38)</f>
        <v/>
      </c>
      <c r="AA37" s="377" t="str">
        <f>IF(ISBLANK(UserDataIn!O38),"",UserDataIn!O38)</f>
        <v/>
      </c>
      <c r="AB37" s="377" t="str">
        <f>IF(ISBLANK(UserDataIn!P38),"",UserDataIn!P38)</f>
        <v/>
      </c>
      <c r="AC37" s="377" t="str">
        <f>IF(ISBLANK(UserDataIn!Q38),"",UserDataIn!Q38)</f>
        <v/>
      </c>
      <c r="AD37" s="377" t="str">
        <f>IF(ISBLANK(UserDataIn!R38),"",UserDataIn!R38)</f>
        <v/>
      </c>
      <c r="AE37" s="377" t="str">
        <f>IF(ISBLANK(UserDataIn!S38),"",UserDataIn!S38)</f>
        <v/>
      </c>
    </row>
    <row r="38" spans="1:31" s="383" customFormat="1" ht="18.75">
      <c r="A38" s="384"/>
      <c r="B38" s="385">
        <f>tblIndicators!A35</f>
        <v>34</v>
      </c>
      <c r="C38" s="385">
        <f>tblIndicators!B35</f>
        <v>0</v>
      </c>
      <c r="D38" s="385">
        <f>tblIndicators!F35</f>
        <v>2</v>
      </c>
      <c r="E38" s="385">
        <f>tblIndicators!C35</f>
        <v>0</v>
      </c>
      <c r="F38" s="385" t="str">
        <f>tblIndicators!H35</f>
        <v>Condiciones de acceso y almacenamiento de residuos</v>
      </c>
      <c r="G38" s="385">
        <f>tblIndicators!Z35</f>
        <v>1</v>
      </c>
      <c r="H38" s="421" t="str">
        <f>REPT(" ",D38)&amp;tblIndicators!AE35</f>
        <v xml:space="preserve">  3.1) Condiciones de acceso y almacenamiento de residuos</v>
      </c>
      <c r="I38" s="417" t="str">
        <f>IF(G38=1,"",tblIndicators!Q35)</f>
        <v/>
      </c>
      <c r="J38" s="385" t="str">
        <f>IF($E38=0,"",INDEX(Results!$C$3:$N$39,$E38,J$3))</f>
        <v/>
      </c>
      <c r="K38" s="386" t="str">
        <f>IF($E38=0,"",INDEX(Results!$C$3:$N$39,$E38,K$3))</f>
        <v/>
      </c>
      <c r="L38" s="385" t="str">
        <f>IF($E38=0,"",INDEX(Results!$C$3:$N$39,$E38,L$3))</f>
        <v/>
      </c>
      <c r="M38" s="386" t="str">
        <f>IF($E38=0,"",INDEX(Results!$C$3:$N$39,$E38,M$3))</f>
        <v/>
      </c>
      <c r="N38" s="385" t="str">
        <f>IF($E38=0,"",INDEX(Results!$C$3:$N$39,$E38,N$3))</f>
        <v/>
      </c>
      <c r="O38" s="386" t="str">
        <f>IF($E38=0,"",INDEX(Results!$C$3:$N$39,$E38,O$3))</f>
        <v/>
      </c>
      <c r="P38" s="385" t="str">
        <f>IF($E38=0,"",INDEX(Results!$C$3:$N$39,$E38,P$3))</f>
        <v/>
      </c>
      <c r="Q38" s="386" t="str">
        <f>IF($E38=0,"",INDEX(Results!$C$3:$N$39,$E38,Q$3))</f>
        <v/>
      </c>
      <c r="R38" s="385" t="str">
        <f>IF($E38=0,"",INDEX(Results!$C$3:$N$39,$E38,R$3))</f>
        <v/>
      </c>
      <c r="S38" s="386" t="str">
        <f>IF($E38=0,"",INDEX(Results!$C$3:$N$39,$E38,S$3))</f>
        <v/>
      </c>
      <c r="T38" s="385" t="str">
        <f>IF($E38=0,"",INDEX(Results!$C$3:$N$39,$E38,T$3))</f>
        <v/>
      </c>
      <c r="U38" s="386" t="str">
        <f>IF($E38=0,"",INDEX(Results!$C$3:$N$39,$E38,U$3))</f>
        <v/>
      </c>
      <c r="V38" s="377" t="str">
        <f>IF(ISBLANK(UserDataIn!J39),"",UserDataIn!J39)</f>
        <v/>
      </c>
      <c r="W38" s="377" t="str">
        <f>IF(ISBLANK(UserDataIn!K39),"",UserDataIn!K39)</f>
        <v/>
      </c>
      <c r="X38" s="377" t="str">
        <f>IF(ISBLANK(UserDataIn!L39),"",UserDataIn!L39)</f>
        <v/>
      </c>
      <c r="Y38" s="377" t="str">
        <f>IF(ISBLANK(UserDataIn!M39),"",UserDataIn!M39)</f>
        <v/>
      </c>
      <c r="Z38" s="377" t="str">
        <f>IF(ISBLANK(UserDataIn!N39),"",UserDataIn!N39)</f>
        <v/>
      </c>
      <c r="AA38" s="377" t="str">
        <f>IF(ISBLANK(UserDataIn!O39),"",UserDataIn!O39)</f>
        <v/>
      </c>
      <c r="AB38" s="377" t="str">
        <f>IF(ISBLANK(UserDataIn!P39),"",UserDataIn!P39)</f>
        <v/>
      </c>
      <c r="AC38" s="377" t="str">
        <f>IF(ISBLANK(UserDataIn!Q39),"",UserDataIn!Q39)</f>
        <v/>
      </c>
      <c r="AD38" s="377" t="str">
        <f>IF(ISBLANK(UserDataIn!R39),"",UserDataIn!R39)</f>
        <v/>
      </c>
      <c r="AE38" s="377" t="str">
        <f>IF(ISBLANK(UserDataIn!S39),"",UserDataIn!S39)</f>
        <v/>
      </c>
    </row>
    <row r="39" spans="1:31" s="383" customFormat="1" ht="18.75">
      <c r="A39" s="384"/>
      <c r="B39" s="385">
        <f>tblIndicators!A36</f>
        <v>35</v>
      </c>
      <c r="C39" s="385">
        <f>tblIndicators!B36</f>
        <v>0</v>
      </c>
      <c r="D39" s="385">
        <f>tblIndicators!F36</f>
        <v>3</v>
      </c>
      <c r="E39" s="385">
        <f>tblIndicators!C36</f>
        <v>24</v>
      </c>
      <c r="F39" s="385" t="str">
        <f>tblIndicators!H36</f>
        <v>24.¿Cómo es el acceso del material reciclable?</v>
      </c>
      <c r="G39" s="385">
        <f>tblIndicators!Z36</f>
        <v>3</v>
      </c>
      <c r="H39" s="421" t="str">
        <f>REPT(" ",D39)&amp;tblIndicators!AE36</f>
        <v xml:space="preserve">   3.1.1) 24.¿Cómo es el acceso del material reciclable?</v>
      </c>
      <c r="I39" s="417" t="str">
        <f>IF(G39=1,"",tblIndicators!Q36)</f>
        <v>0 - 3</v>
      </c>
      <c r="J39" s="385">
        <f>IF($E39=0,"",INDEX(Results!$C$3:$N$39,$E39,J$3))</f>
        <v>1</v>
      </c>
      <c r="K39" s="386">
        <f>IF($E39=0,"",INDEX(Results!$C$3:$N$39,$E39,K$3))</f>
        <v>2</v>
      </c>
      <c r="L39" s="385">
        <f>IF($E39=0,"",INDEX(Results!$C$3:$N$39,$E39,L$3))</f>
        <v>3</v>
      </c>
      <c r="M39" s="386">
        <f>IF($E39=0,"",INDEX(Results!$C$3:$N$39,$E39,M$3))</f>
        <v>1</v>
      </c>
      <c r="N39" s="385">
        <f>IF($E39=0,"",INDEX(Results!$C$3:$N$39,$E39,N$3))</f>
        <v>1</v>
      </c>
      <c r="O39" s="386">
        <f>IF($E39=0,"",INDEX(Results!$C$3:$N$39,$E39,O$3))</f>
        <v>2</v>
      </c>
      <c r="P39" s="385">
        <f>IF($E39=0,"",INDEX(Results!$C$3:$N$39,$E39,P$3))</f>
        <v>1</v>
      </c>
      <c r="Q39" s="386">
        <f>IF($E39=0,"",INDEX(Results!$C$3:$N$39,$E39,Q$3))</f>
        <v>1</v>
      </c>
      <c r="R39" s="385">
        <f>IF($E39=0,"",INDEX(Results!$C$3:$N$39,$E39,R$3))</f>
        <v>1</v>
      </c>
      <c r="S39" s="386">
        <f>IF($E39=0,"",INDEX(Results!$C$3:$N$39,$E39,S$3))</f>
        <v>3</v>
      </c>
      <c r="T39" s="385">
        <f>IF($E39=0,"",INDEX(Results!$C$3:$N$39,$E39,T$3))</f>
        <v>1</v>
      </c>
      <c r="U39" s="386">
        <f>IF($E39=0,"",INDEX(Results!$C$3:$N$39,$E39,U$3))</f>
        <v>1</v>
      </c>
      <c r="V39" s="377">
        <f>IF(ISBLANK(UserDataIn!J40),"",UserDataIn!J40)</f>
        <v>0</v>
      </c>
      <c r="W39" s="377" t="str">
        <f>IF(ISBLANK(UserDataIn!K40),"",UserDataIn!K40)</f>
        <v/>
      </c>
      <c r="X39" s="377" t="str">
        <f>IF(ISBLANK(UserDataIn!L40),"",UserDataIn!L40)</f>
        <v/>
      </c>
      <c r="Y39" s="377" t="str">
        <f>IF(ISBLANK(UserDataIn!M40),"",UserDataIn!M40)</f>
        <v/>
      </c>
      <c r="Z39" s="377" t="str">
        <f>IF(ISBLANK(UserDataIn!N40),"",UserDataIn!N40)</f>
        <v/>
      </c>
      <c r="AA39" s="377" t="str">
        <f>IF(ISBLANK(UserDataIn!O40),"",UserDataIn!O40)</f>
        <v/>
      </c>
      <c r="AB39" s="377" t="str">
        <f>IF(ISBLANK(UserDataIn!P40),"",UserDataIn!P40)</f>
        <v/>
      </c>
      <c r="AC39" s="377" t="str">
        <f>IF(ISBLANK(UserDataIn!Q40),"",UserDataIn!Q40)</f>
        <v/>
      </c>
      <c r="AD39" s="377" t="str">
        <f>IF(ISBLANK(UserDataIn!R40),"",UserDataIn!R40)</f>
        <v/>
      </c>
      <c r="AE39" s="377" t="str">
        <f>IF(ISBLANK(UserDataIn!S40),"",UserDataIn!S40)</f>
        <v/>
      </c>
    </row>
    <row r="40" spans="1:31" s="383" customFormat="1" ht="30">
      <c r="A40" s="384"/>
      <c r="B40" s="385">
        <f>tblIndicators!A37</f>
        <v>36</v>
      </c>
      <c r="C40" s="385">
        <f>tblIndicators!B37</f>
        <v>0</v>
      </c>
      <c r="D40" s="385">
        <f>tblIndicators!F37</f>
        <v>3</v>
      </c>
      <c r="E40" s="385">
        <f>tblIndicators!C37</f>
        <v>25</v>
      </c>
      <c r="F40" s="385" t="str">
        <f>tblIndicators!H37</f>
        <v>25.¿Existen esquemas formales de recolección diferenciada de residuos reciclables en el municipio que involucran a recicladores de base?</v>
      </c>
      <c r="G40" s="385">
        <f>tblIndicators!Z37</f>
        <v>3</v>
      </c>
      <c r="H40" s="421" t="str">
        <f>REPT(" ",D40)&amp;tblIndicators!AE37</f>
        <v xml:space="preserve">   3.1.2) 25.¿Existen esquemas formales de recolección diferenciada de residuos reciclables en el municipio que involucran a recicladores de base?</v>
      </c>
      <c r="I40" s="417" t="str">
        <f>IF(G40=1,"",tblIndicators!Q37)</f>
        <v>0 - 2</v>
      </c>
      <c r="J40" s="385">
        <f>IF($E40=0,"",INDEX(Results!$C$3:$N$39,$E40,J$3))</f>
        <v>0</v>
      </c>
      <c r="K40" s="386">
        <f>IF($E40=0,"",INDEX(Results!$C$3:$N$39,$E40,K$3))</f>
        <v>0</v>
      </c>
      <c r="L40" s="385">
        <f>IF($E40=0,"",INDEX(Results!$C$3:$N$39,$E40,L$3))</f>
        <v>2</v>
      </c>
      <c r="M40" s="386">
        <f>IF($E40=0,"",INDEX(Results!$C$3:$N$39,$E40,M$3))</f>
        <v>0</v>
      </c>
      <c r="N40" s="385">
        <f>IF($E40=0,"",INDEX(Results!$C$3:$N$39,$E40,N$3))</f>
        <v>0</v>
      </c>
      <c r="O40" s="386">
        <f>IF($E40=0,"",INDEX(Results!$C$3:$N$39,$E40,O$3))</f>
        <v>2</v>
      </c>
      <c r="P40" s="385">
        <f>IF($E40=0,"",INDEX(Results!$C$3:$N$39,$E40,P$3))</f>
        <v>1</v>
      </c>
      <c r="Q40" s="386">
        <f>IF($E40=0,"",INDEX(Results!$C$3:$N$39,$E40,Q$3))</f>
        <v>0</v>
      </c>
      <c r="R40" s="385">
        <f>IF($E40=0,"",INDEX(Results!$C$3:$N$39,$E40,R$3))</f>
        <v>1</v>
      </c>
      <c r="S40" s="386">
        <f>IF($E40=0,"",INDEX(Results!$C$3:$N$39,$E40,S$3))</f>
        <v>2</v>
      </c>
      <c r="T40" s="385">
        <f>IF($E40=0,"",INDEX(Results!$C$3:$N$39,$E40,T$3))</f>
        <v>1</v>
      </c>
      <c r="U40" s="386">
        <f>IF($E40=0,"",INDEX(Results!$C$3:$N$39,$E40,U$3))</f>
        <v>2</v>
      </c>
      <c r="V40" s="377">
        <f>IF(ISBLANK(UserDataIn!J41),"",UserDataIn!J41)</f>
        <v>0</v>
      </c>
      <c r="W40" s="377" t="str">
        <f>IF(ISBLANK(UserDataIn!K41),"",UserDataIn!K41)</f>
        <v/>
      </c>
      <c r="X40" s="377" t="str">
        <f>IF(ISBLANK(UserDataIn!L41),"",UserDataIn!L41)</f>
        <v/>
      </c>
      <c r="Y40" s="377" t="str">
        <f>IF(ISBLANK(UserDataIn!M41),"",UserDataIn!M41)</f>
        <v/>
      </c>
      <c r="Z40" s="377" t="str">
        <f>IF(ISBLANK(UserDataIn!N41),"",UserDataIn!N41)</f>
        <v/>
      </c>
      <c r="AA40" s="377" t="str">
        <f>IF(ISBLANK(UserDataIn!O41),"",UserDataIn!O41)</f>
        <v/>
      </c>
      <c r="AB40" s="377" t="str">
        <f>IF(ISBLANK(UserDataIn!P41),"",UserDataIn!P41)</f>
        <v/>
      </c>
      <c r="AC40" s="377" t="str">
        <f>IF(ISBLANK(UserDataIn!Q41),"",UserDataIn!Q41)</f>
        <v/>
      </c>
      <c r="AD40" s="377" t="str">
        <f>IF(ISBLANK(UserDataIn!R41),"",UserDataIn!R41)</f>
        <v/>
      </c>
      <c r="AE40" s="377" t="str">
        <f>IF(ISBLANK(UserDataIn!S41),"",UserDataIn!S41)</f>
        <v/>
      </c>
    </row>
    <row r="41" spans="1:31" s="383" customFormat="1" ht="30">
      <c r="A41" s="384"/>
      <c r="B41" s="385">
        <f>tblIndicators!A38</f>
        <v>37</v>
      </c>
      <c r="C41" s="385">
        <f>tblIndicators!B38</f>
        <v>0</v>
      </c>
      <c r="D41" s="385">
        <f>tblIndicators!F38</f>
        <v>3</v>
      </c>
      <c r="E41" s="385">
        <f>tblIndicators!C38</f>
        <v>26</v>
      </c>
      <c r="F41" s="385" t="str">
        <f>tblIndicators!H38</f>
        <v>26.¿Los recicladores tienen acceso a instalaciones para el almacenamiento y la clasificación de materiales?</v>
      </c>
      <c r="G41" s="385">
        <f>tblIndicators!Z38</f>
        <v>3</v>
      </c>
      <c r="H41" s="421" t="str">
        <f>REPT(" ",D41)&amp;tblIndicators!AE38</f>
        <v xml:space="preserve">   3.1.3) 26.¿Los recicladores tienen acceso a instalaciones para el almacenamiento y la clasificación de materiales?</v>
      </c>
      <c r="I41" s="417" t="str">
        <f>IF(G41=1,"",tblIndicators!Q38)</f>
        <v>0 - 1</v>
      </c>
      <c r="J41" s="385">
        <f>IF($E41=0,"",INDEX(Results!$C$3:$N$39,$E41,J$3))</f>
        <v>0</v>
      </c>
      <c r="K41" s="386">
        <f>IF($E41=0,"",INDEX(Results!$C$3:$N$39,$E41,K$3))</f>
        <v>1</v>
      </c>
      <c r="L41" s="385">
        <f>IF($E41=0,"",INDEX(Results!$C$3:$N$39,$E41,L$3))</f>
        <v>1</v>
      </c>
      <c r="M41" s="386">
        <f>IF($E41=0,"",INDEX(Results!$C$3:$N$39,$E41,M$3))</f>
        <v>0</v>
      </c>
      <c r="N41" s="385">
        <f>IF($E41=0,"",INDEX(Results!$C$3:$N$39,$E41,N$3))</f>
        <v>1</v>
      </c>
      <c r="O41" s="386">
        <f>IF($E41=0,"",INDEX(Results!$C$3:$N$39,$E41,O$3))</f>
        <v>0</v>
      </c>
      <c r="P41" s="385">
        <f>IF($E41=0,"",INDEX(Results!$C$3:$N$39,$E41,P$3))</f>
        <v>1</v>
      </c>
      <c r="Q41" s="386">
        <f>IF($E41=0,"",INDEX(Results!$C$3:$N$39,$E41,Q$3))</f>
        <v>0</v>
      </c>
      <c r="R41" s="385">
        <f>IF($E41=0,"",INDEX(Results!$C$3:$N$39,$E41,R$3))</f>
        <v>0</v>
      </c>
      <c r="S41" s="386">
        <f>IF($E41=0,"",INDEX(Results!$C$3:$N$39,$E41,S$3))</f>
        <v>1</v>
      </c>
      <c r="T41" s="385">
        <f>IF($E41=0,"",INDEX(Results!$C$3:$N$39,$E41,T$3))</f>
        <v>1</v>
      </c>
      <c r="U41" s="386">
        <f>IF($E41=0,"",INDEX(Results!$C$3:$N$39,$E41,U$3))</f>
        <v>1</v>
      </c>
      <c r="V41" s="377">
        <f>IF(ISBLANK(UserDataIn!J42),"",UserDataIn!J42)</f>
        <v>0</v>
      </c>
      <c r="W41" s="377" t="str">
        <f>IF(ISBLANK(UserDataIn!K42),"",UserDataIn!K42)</f>
        <v/>
      </c>
      <c r="X41" s="377" t="str">
        <f>IF(ISBLANK(UserDataIn!L42),"",UserDataIn!L42)</f>
        <v/>
      </c>
      <c r="Y41" s="377" t="str">
        <f>IF(ISBLANK(UserDataIn!M42),"",UserDataIn!M42)</f>
        <v/>
      </c>
      <c r="Z41" s="377" t="str">
        <f>IF(ISBLANK(UserDataIn!N42),"",UserDataIn!N42)</f>
        <v/>
      </c>
      <c r="AA41" s="377" t="str">
        <f>IF(ISBLANK(UserDataIn!O42),"",UserDataIn!O42)</f>
        <v/>
      </c>
      <c r="AB41" s="377" t="str">
        <f>IF(ISBLANK(UserDataIn!P42),"",UserDataIn!P42)</f>
        <v/>
      </c>
      <c r="AC41" s="377" t="str">
        <f>IF(ISBLANK(UserDataIn!Q42),"",UserDataIn!Q42)</f>
        <v/>
      </c>
      <c r="AD41" s="377" t="str">
        <f>IF(ISBLANK(UserDataIn!R42),"",UserDataIn!R42)</f>
        <v/>
      </c>
      <c r="AE41" s="377" t="str">
        <f>IF(ISBLANK(UserDataIn!S42),"",UserDataIn!S42)</f>
        <v/>
      </c>
    </row>
    <row r="42" spans="1:31" s="383" customFormat="1" ht="30">
      <c r="A42" s="384"/>
      <c r="B42" s="385">
        <f>tblIndicators!A39</f>
        <v>38</v>
      </c>
      <c r="C42" s="385">
        <f>tblIndicators!B39</f>
        <v>0</v>
      </c>
      <c r="D42" s="385">
        <f>tblIndicators!F39</f>
        <v>3</v>
      </c>
      <c r="E42" s="385">
        <f>tblIndicators!C39</f>
        <v>27</v>
      </c>
      <c r="F42" s="385" t="str">
        <f>tblIndicators!H39</f>
        <v>27.¿Cuál es el nivel de desarrollo técnico alcanzado en la clasificación (o pre-procesamiento) de materiales reciclables por parte de agrupaciones de recicladores?</v>
      </c>
      <c r="G42" s="385">
        <f>tblIndicators!Z39</f>
        <v>3</v>
      </c>
      <c r="H42" s="421" t="str">
        <f>REPT(" ",D42)&amp;tblIndicators!AE39</f>
        <v xml:space="preserve">   3.1.4) 27.¿Cuál es el nivel de desarrollo técnico alcanzado en la clasificación (o pre-procesamiento) de materiales reciclables por parte de agrupaciones de recicladores?</v>
      </c>
      <c r="I42" s="417" t="str">
        <f>IF(G42=1,"",tblIndicators!Q39)</f>
        <v>0 - 2</v>
      </c>
      <c r="J42" s="385">
        <f>IF($E42=0,"",INDEX(Results!$C$3:$N$39,$E42,J$3))</f>
        <v>0</v>
      </c>
      <c r="K42" s="386">
        <f>IF($E42=0,"",INDEX(Results!$C$3:$N$39,$E42,K$3))</f>
        <v>1</v>
      </c>
      <c r="L42" s="385">
        <f>IF($E42=0,"",INDEX(Results!$C$3:$N$39,$E42,L$3))</f>
        <v>2</v>
      </c>
      <c r="M42" s="386">
        <f>IF($E42=0,"",INDEX(Results!$C$3:$N$39,$E42,M$3))</f>
        <v>1</v>
      </c>
      <c r="N42" s="385">
        <f>IF($E42=0,"",INDEX(Results!$C$3:$N$39,$E42,N$3))</f>
        <v>0</v>
      </c>
      <c r="O42" s="386">
        <f>IF($E42=0,"",INDEX(Results!$C$3:$N$39,$E42,O$3))</f>
        <v>0</v>
      </c>
      <c r="P42" s="385">
        <f>IF($E42=0,"",INDEX(Results!$C$3:$N$39,$E42,P$3))</f>
        <v>0</v>
      </c>
      <c r="Q42" s="386">
        <f>IF($E42=0,"",INDEX(Results!$C$3:$N$39,$E42,Q$3))</f>
        <v>0</v>
      </c>
      <c r="R42" s="385">
        <f>IF($E42=0,"",INDEX(Results!$C$3:$N$39,$E42,R$3))</f>
        <v>0</v>
      </c>
      <c r="S42" s="386">
        <f>IF($E42=0,"",INDEX(Results!$C$3:$N$39,$E42,S$3))</f>
        <v>1</v>
      </c>
      <c r="T42" s="385">
        <f>IF($E42=0,"",INDEX(Results!$C$3:$N$39,$E42,T$3))</f>
        <v>0</v>
      </c>
      <c r="U42" s="386">
        <f>IF($E42=0,"",INDEX(Results!$C$3:$N$39,$E42,U$3))</f>
        <v>0</v>
      </c>
      <c r="V42" s="377">
        <f>IF(ISBLANK(UserDataIn!J43),"",UserDataIn!J43)</f>
        <v>0</v>
      </c>
      <c r="W42" s="377" t="str">
        <f>IF(ISBLANK(UserDataIn!K43),"",UserDataIn!K43)</f>
        <v/>
      </c>
      <c r="X42" s="377" t="str">
        <f>IF(ISBLANK(UserDataIn!L43),"",UserDataIn!L43)</f>
        <v/>
      </c>
      <c r="Y42" s="377" t="str">
        <f>IF(ISBLANK(UserDataIn!M43),"",UserDataIn!M43)</f>
        <v/>
      </c>
      <c r="Z42" s="377" t="str">
        <f>IF(ISBLANK(UserDataIn!N43),"",UserDataIn!N43)</f>
        <v/>
      </c>
      <c r="AA42" s="377" t="str">
        <f>IF(ISBLANK(UserDataIn!O43),"",UserDataIn!O43)</f>
        <v/>
      </c>
      <c r="AB42" s="377" t="str">
        <f>IF(ISBLANK(UserDataIn!P43),"",UserDataIn!P43)</f>
        <v/>
      </c>
      <c r="AC42" s="377" t="str">
        <f>IF(ISBLANK(UserDataIn!Q43),"",UserDataIn!Q43)</f>
        <v/>
      </c>
      <c r="AD42" s="377" t="str">
        <f>IF(ISBLANK(UserDataIn!R43),"",UserDataIn!R43)</f>
        <v/>
      </c>
      <c r="AE42" s="377" t="str">
        <f>IF(ISBLANK(UserDataIn!S43),"",UserDataIn!S43)</f>
        <v/>
      </c>
    </row>
    <row r="43" spans="1:31" s="383" customFormat="1" ht="18.75">
      <c r="A43" s="384"/>
      <c r="B43" s="385">
        <f>tblIndicators!A40</f>
        <v>39</v>
      </c>
      <c r="C43" s="385">
        <f>tblIndicators!B40</f>
        <v>0</v>
      </c>
      <c r="D43" s="385">
        <f>tblIndicators!F40</f>
        <v>2</v>
      </c>
      <c r="E43" s="385">
        <f>tblIndicators!C40</f>
        <v>0</v>
      </c>
      <c r="F43" s="385" t="str">
        <f>tblIndicators!H40</f>
        <v>Condiciones para la comercialización de material reciclable</v>
      </c>
      <c r="G43" s="385">
        <f>tblIndicators!Z40</f>
        <v>1</v>
      </c>
      <c r="H43" s="421" t="str">
        <f>REPT(" ",D43)&amp;tblIndicators!AE40</f>
        <v xml:space="preserve">  3.2) Condiciones para la comercialización de material reciclable</v>
      </c>
      <c r="I43" s="417" t="str">
        <f>IF(G43=1,"",tblIndicators!Q40)</f>
        <v/>
      </c>
      <c r="J43" s="385" t="str">
        <f>IF($E43=0,"",INDEX(Results!$C$3:$N$39,$E43,J$3))</f>
        <v/>
      </c>
      <c r="K43" s="386" t="str">
        <f>IF($E43=0,"",INDEX(Results!$C$3:$N$39,$E43,K$3))</f>
        <v/>
      </c>
      <c r="L43" s="385" t="str">
        <f>IF($E43=0,"",INDEX(Results!$C$3:$N$39,$E43,L$3))</f>
        <v/>
      </c>
      <c r="M43" s="386" t="str">
        <f>IF($E43=0,"",INDEX(Results!$C$3:$N$39,$E43,M$3))</f>
        <v/>
      </c>
      <c r="N43" s="385" t="str">
        <f>IF($E43=0,"",INDEX(Results!$C$3:$N$39,$E43,N$3))</f>
        <v/>
      </c>
      <c r="O43" s="386" t="str">
        <f>IF($E43=0,"",INDEX(Results!$C$3:$N$39,$E43,O$3))</f>
        <v/>
      </c>
      <c r="P43" s="385" t="str">
        <f>IF($E43=0,"",INDEX(Results!$C$3:$N$39,$E43,P$3))</f>
        <v/>
      </c>
      <c r="Q43" s="386" t="str">
        <f>IF($E43=0,"",INDEX(Results!$C$3:$N$39,$E43,Q$3))</f>
        <v/>
      </c>
      <c r="R43" s="385" t="str">
        <f>IF($E43=0,"",INDEX(Results!$C$3:$N$39,$E43,R$3))</f>
        <v/>
      </c>
      <c r="S43" s="386" t="str">
        <f>IF($E43=0,"",INDEX(Results!$C$3:$N$39,$E43,S$3))</f>
        <v/>
      </c>
      <c r="T43" s="385" t="str">
        <f>IF($E43=0,"",INDEX(Results!$C$3:$N$39,$E43,T$3))</f>
        <v/>
      </c>
      <c r="U43" s="386" t="str">
        <f>IF($E43=0,"",INDEX(Results!$C$3:$N$39,$E43,U$3))</f>
        <v/>
      </c>
      <c r="V43" s="377" t="str">
        <f>IF(ISBLANK(UserDataIn!J44),"",UserDataIn!J44)</f>
        <v/>
      </c>
      <c r="W43" s="377" t="str">
        <f>IF(ISBLANK(UserDataIn!K44),"",UserDataIn!K44)</f>
        <v/>
      </c>
      <c r="X43" s="377" t="str">
        <f>IF(ISBLANK(UserDataIn!L44),"",UserDataIn!L44)</f>
        <v/>
      </c>
      <c r="Y43" s="377" t="str">
        <f>IF(ISBLANK(UserDataIn!M44),"",UserDataIn!M44)</f>
        <v/>
      </c>
      <c r="Z43" s="377" t="str">
        <f>IF(ISBLANK(UserDataIn!N44),"",UserDataIn!N44)</f>
        <v/>
      </c>
      <c r="AA43" s="377" t="str">
        <f>IF(ISBLANK(UserDataIn!O44),"",UserDataIn!O44)</f>
        <v/>
      </c>
      <c r="AB43" s="377" t="str">
        <f>IF(ISBLANK(UserDataIn!P44),"",UserDataIn!P44)</f>
        <v/>
      </c>
      <c r="AC43" s="377" t="str">
        <f>IF(ISBLANK(UserDataIn!Q44),"",UserDataIn!Q44)</f>
        <v/>
      </c>
      <c r="AD43" s="377" t="str">
        <f>IF(ISBLANK(UserDataIn!R44),"",UserDataIn!R44)</f>
        <v/>
      </c>
      <c r="AE43" s="377" t="str">
        <f>IF(ISBLANK(UserDataIn!S44),"",UserDataIn!S44)</f>
        <v/>
      </c>
    </row>
    <row r="44" spans="1:31" s="383" customFormat="1" ht="30">
      <c r="A44" s="384"/>
      <c r="B44" s="385">
        <f>tblIndicators!A41</f>
        <v>40</v>
      </c>
      <c r="C44" s="385">
        <f>tblIndicators!B41</f>
        <v>0</v>
      </c>
      <c r="D44" s="385">
        <f>tblIndicators!F41</f>
        <v>3</v>
      </c>
      <c r="E44" s="385">
        <f>tblIndicators!C41</f>
        <v>28</v>
      </c>
      <c r="F44" s="385" t="str">
        <f>tblIndicators!H41</f>
        <v>28.¿Cuál es la diferencia de valor del material en los diferentes eslabones de la cadena del reciclaje?</v>
      </c>
      <c r="G44" s="385">
        <f>tblIndicators!Z41</f>
        <v>2</v>
      </c>
      <c r="H44" s="421" t="str">
        <f>REPT(" ",D44)&amp;tblIndicators!AE41</f>
        <v xml:space="preserve">   3.2.1) 28.¿Cuál es la diferencia de valor del material en los diferentes eslabones de la cadena del reciclaje?</v>
      </c>
      <c r="I44" s="417" t="str">
        <f>IF(G44=1,"",tblIndicators!Q41)</f>
        <v>Ratio</v>
      </c>
      <c r="J44" s="385">
        <f>IF($E44=0,"",INDEX(Results!$C$3:$N$39,$E44,J$3))</f>
        <v>1.5</v>
      </c>
      <c r="K44" s="386">
        <f>IF($E44=0,"",INDEX(Results!$C$3:$N$39,$E44,K$3))</f>
        <v>1.5510476190476192</v>
      </c>
      <c r="L44" s="385">
        <f>IF($E44=0,"",INDEX(Results!$C$3:$N$39,$E44,L$3))</f>
        <v>2.3319999999999999</v>
      </c>
      <c r="M44" s="386">
        <f>IF($E44=0,"",INDEX(Results!$C$3:$N$39,$E44,M$3))</f>
        <v>1.5</v>
      </c>
      <c r="N44" s="385">
        <f>IF($E44=0,"",INDEX(Results!$C$3:$N$39,$E44,N$3))</f>
        <v>1.6506410256410255</v>
      </c>
      <c r="O44" s="386">
        <f>IF($E44=0,"",INDEX(Results!$C$3:$N$39,$E44,O$3))</f>
        <v>1.4060912698412698</v>
      </c>
      <c r="P44" s="385">
        <f>IF($E44=0,"",INDEX(Results!$C$3:$N$39,$E44,P$3))</f>
        <v>2.8444444444444446</v>
      </c>
      <c r="Q44" s="386">
        <f>IF($E44=0,"",INDEX(Results!$C$3:$N$39,$E44,Q$3))</f>
        <v>1.0684931506849316</v>
      </c>
      <c r="R44" s="385">
        <f>IF($E44=0,"",INDEX(Results!$C$3:$N$39,$E44,R$3))</f>
        <v>10</v>
      </c>
      <c r="S44" s="386">
        <f>IF($E44=0,"",INDEX(Results!$C$3:$N$39,$E44,S$3))</f>
        <v>7.0303030303030294</v>
      </c>
      <c r="T44" s="385">
        <f>IF($E44=0,"",INDEX(Results!$C$3:$N$39,$E44,T$3))</f>
        <v>1.1523809523809523</v>
      </c>
      <c r="U44" s="386">
        <f>IF($E44=0,"",INDEX(Results!$C$3:$N$39,$E44,U$3))</f>
        <v>2.81</v>
      </c>
      <c r="V44" s="377">
        <f>IF(ISBLANK(UserDataIn!J45),"",UserDataIn!J45)</f>
        <v>0</v>
      </c>
      <c r="W44" s="377" t="str">
        <f>IF(ISBLANK(UserDataIn!K45),"",UserDataIn!K45)</f>
        <v/>
      </c>
      <c r="X44" s="377" t="str">
        <f>IF(ISBLANK(UserDataIn!L45),"",UserDataIn!L45)</f>
        <v/>
      </c>
      <c r="Y44" s="377" t="str">
        <f>IF(ISBLANK(UserDataIn!M45),"",UserDataIn!M45)</f>
        <v/>
      </c>
      <c r="Z44" s="377" t="str">
        <f>IF(ISBLANK(UserDataIn!N45),"",UserDataIn!N45)</f>
        <v/>
      </c>
      <c r="AA44" s="377" t="str">
        <f>IF(ISBLANK(UserDataIn!O45),"",UserDataIn!O45)</f>
        <v/>
      </c>
      <c r="AB44" s="377" t="str">
        <f>IF(ISBLANK(UserDataIn!P45),"",UserDataIn!P45)</f>
        <v/>
      </c>
      <c r="AC44" s="377" t="str">
        <f>IF(ISBLANK(UserDataIn!Q45),"",UserDataIn!Q45)</f>
        <v/>
      </c>
      <c r="AD44" s="377" t="str">
        <f>IF(ISBLANK(UserDataIn!R45),"",UserDataIn!R45)</f>
        <v/>
      </c>
      <c r="AE44" s="377" t="str">
        <f>IF(ISBLANK(UserDataIn!S45),"",UserDataIn!S45)</f>
        <v/>
      </c>
    </row>
    <row r="45" spans="1:31" s="383" customFormat="1" ht="30">
      <c r="A45" s="384"/>
      <c r="B45" s="385">
        <f>tblIndicators!A42</f>
        <v>41</v>
      </c>
      <c r="C45" s="385">
        <f>tblIndicators!B42</f>
        <v>0</v>
      </c>
      <c r="D45" s="385">
        <f>tblIndicators!F42</f>
        <v>3</v>
      </c>
      <c r="E45" s="385">
        <f>tblIndicators!C42</f>
        <v>29</v>
      </c>
      <c r="F45" s="385" t="str">
        <f>tblIndicators!H42</f>
        <v>29.¿Cuál es el nivel de desarrollo de la industria transformadora a nivel nacional?</v>
      </c>
      <c r="G45" s="385">
        <f>tblIndicators!Z42</f>
        <v>3</v>
      </c>
      <c r="H45" s="421" t="str">
        <f>REPT(" ",D45)&amp;tblIndicators!AE42</f>
        <v xml:space="preserve">   3.2.2) 29.¿Cuál es el nivel de desarrollo de la industria transformadora a nivel nacional?</v>
      </c>
      <c r="I45" s="417" t="str">
        <f>IF(G45=1,"",tblIndicators!Q42)</f>
        <v>0 - 3</v>
      </c>
      <c r="J45" s="385">
        <f>IF($E45=0,"",INDEX(Results!$C$3:$N$39,$E45,J$3))</f>
        <v>3</v>
      </c>
      <c r="K45" s="386">
        <f>IF($E45=0,"",INDEX(Results!$C$3:$N$39,$E45,K$3))</f>
        <v>3</v>
      </c>
      <c r="L45" s="385">
        <f>IF($E45=0,"",INDEX(Results!$C$3:$N$39,$E45,L$3))</f>
        <v>3</v>
      </c>
      <c r="M45" s="386">
        <f>IF($E45=0,"",INDEX(Results!$C$3:$N$39,$E45,M$3))</f>
        <v>1</v>
      </c>
      <c r="N45" s="385">
        <f>IF($E45=0,"",INDEX(Results!$C$3:$N$39,$E45,N$3))</f>
        <v>3</v>
      </c>
      <c r="O45" s="386">
        <f>IF($E45=0,"",INDEX(Results!$C$3:$N$39,$E45,O$3))</f>
        <v>3</v>
      </c>
      <c r="P45" s="385">
        <f>IF($E45=0,"",INDEX(Results!$C$3:$N$39,$E45,P$3))</f>
        <v>3</v>
      </c>
      <c r="Q45" s="386">
        <f>IF($E45=0,"",INDEX(Results!$C$3:$N$39,$E45,Q$3))</f>
        <v>3</v>
      </c>
      <c r="R45" s="385">
        <f>IF($E45=0,"",INDEX(Results!$C$3:$N$39,$E45,R$3))</f>
        <v>2</v>
      </c>
      <c r="S45" s="386">
        <f>IF($E45=0,"",INDEX(Results!$C$3:$N$39,$E45,S$3))</f>
        <v>3</v>
      </c>
      <c r="T45" s="385">
        <f>IF($E45=0,"",INDEX(Results!$C$3:$N$39,$E45,T$3))</f>
        <v>2</v>
      </c>
      <c r="U45" s="386">
        <f>IF($E45=0,"",INDEX(Results!$C$3:$N$39,$E45,U$3))</f>
        <v>3</v>
      </c>
      <c r="V45" s="377">
        <f>IF(ISBLANK(UserDataIn!J46),"",UserDataIn!J46)</f>
        <v>0</v>
      </c>
      <c r="W45" s="377" t="str">
        <f>IF(ISBLANK(UserDataIn!K46),"",UserDataIn!K46)</f>
        <v/>
      </c>
      <c r="X45" s="377" t="str">
        <f>IF(ISBLANK(UserDataIn!L46),"",UserDataIn!L46)</f>
        <v/>
      </c>
      <c r="Y45" s="377" t="str">
        <f>IF(ISBLANK(UserDataIn!M46),"",UserDataIn!M46)</f>
        <v/>
      </c>
      <c r="Z45" s="377" t="str">
        <f>IF(ISBLANK(UserDataIn!N46),"",UserDataIn!N46)</f>
        <v/>
      </c>
      <c r="AA45" s="377" t="str">
        <f>IF(ISBLANK(UserDataIn!O46),"",UserDataIn!O46)</f>
        <v/>
      </c>
      <c r="AB45" s="377" t="str">
        <f>IF(ISBLANK(UserDataIn!P46),"",UserDataIn!P46)</f>
        <v/>
      </c>
      <c r="AC45" s="377" t="str">
        <f>IF(ISBLANK(UserDataIn!Q46),"",UserDataIn!Q46)</f>
        <v/>
      </c>
      <c r="AD45" s="377" t="str">
        <f>IF(ISBLANK(UserDataIn!R46),"",UserDataIn!R46)</f>
        <v/>
      </c>
      <c r="AE45" s="377" t="str">
        <f>IF(ISBLANK(UserDataIn!S46),"",UserDataIn!S46)</f>
        <v/>
      </c>
    </row>
    <row r="46" spans="1:31" s="383" customFormat="1" ht="18.75">
      <c r="A46" s="384"/>
      <c r="B46" s="385">
        <f>tblIndicators!A43</f>
        <v>42</v>
      </c>
      <c r="C46" s="385">
        <f>tblIndicators!B43</f>
        <v>0</v>
      </c>
      <c r="D46" s="385">
        <f>tblIndicators!F43</f>
        <v>2</v>
      </c>
      <c r="E46" s="385">
        <f>tblIndicators!C43</f>
        <v>0</v>
      </c>
      <c r="F46" s="385" t="str">
        <f>tblIndicators!H43</f>
        <v>Ingreso de los recicladores de base</v>
      </c>
      <c r="G46" s="385">
        <f>tblIndicators!Z43</f>
        <v>1</v>
      </c>
      <c r="H46" s="421" t="str">
        <f>REPT(" ",D46)&amp;tblIndicators!AE43</f>
        <v xml:space="preserve">  3.3) Ingreso de los recicladores de base</v>
      </c>
      <c r="I46" s="417" t="str">
        <f>IF(G46=1,"",tblIndicators!Q43)</f>
        <v/>
      </c>
      <c r="J46" s="385" t="str">
        <f>IF($E46=0,"",INDEX(Results!$C$3:$N$39,$E46,J$3))</f>
        <v/>
      </c>
      <c r="K46" s="386" t="str">
        <f>IF($E46=0,"",INDEX(Results!$C$3:$N$39,$E46,K$3))</f>
        <v/>
      </c>
      <c r="L46" s="385" t="str">
        <f>IF($E46=0,"",INDEX(Results!$C$3:$N$39,$E46,L$3))</f>
        <v/>
      </c>
      <c r="M46" s="386" t="str">
        <f>IF($E46=0,"",INDEX(Results!$C$3:$N$39,$E46,M$3))</f>
        <v/>
      </c>
      <c r="N46" s="385" t="str">
        <f>IF($E46=0,"",INDEX(Results!$C$3:$N$39,$E46,N$3))</f>
        <v/>
      </c>
      <c r="O46" s="386" t="str">
        <f>IF($E46=0,"",INDEX(Results!$C$3:$N$39,$E46,O$3))</f>
        <v/>
      </c>
      <c r="P46" s="385" t="str">
        <f>IF($E46=0,"",INDEX(Results!$C$3:$N$39,$E46,P$3))</f>
        <v/>
      </c>
      <c r="Q46" s="386" t="str">
        <f>IF($E46=0,"",INDEX(Results!$C$3:$N$39,$E46,Q$3))</f>
        <v/>
      </c>
      <c r="R46" s="385" t="str">
        <f>IF($E46=0,"",INDEX(Results!$C$3:$N$39,$E46,R$3))</f>
        <v/>
      </c>
      <c r="S46" s="386" t="str">
        <f>IF($E46=0,"",INDEX(Results!$C$3:$N$39,$E46,S$3))</f>
        <v/>
      </c>
      <c r="T46" s="385" t="str">
        <f>IF($E46=0,"",INDEX(Results!$C$3:$N$39,$E46,T$3))</f>
        <v/>
      </c>
      <c r="U46" s="386" t="str">
        <f>IF($E46=0,"",INDEX(Results!$C$3:$N$39,$E46,U$3))</f>
        <v/>
      </c>
      <c r="V46" s="377" t="str">
        <f>IF(ISBLANK(UserDataIn!J47),"",UserDataIn!J47)</f>
        <v/>
      </c>
      <c r="W46" s="377" t="str">
        <f>IF(ISBLANK(UserDataIn!K47),"",UserDataIn!K47)</f>
        <v/>
      </c>
      <c r="X46" s="377" t="str">
        <f>IF(ISBLANK(UserDataIn!L47),"",UserDataIn!L47)</f>
        <v/>
      </c>
      <c r="Y46" s="377" t="str">
        <f>IF(ISBLANK(UserDataIn!M47),"",UserDataIn!M47)</f>
        <v/>
      </c>
      <c r="Z46" s="377" t="str">
        <f>IF(ISBLANK(UserDataIn!N47),"",UserDataIn!N47)</f>
        <v/>
      </c>
      <c r="AA46" s="377" t="str">
        <f>IF(ISBLANK(UserDataIn!O47),"",UserDataIn!O47)</f>
        <v/>
      </c>
      <c r="AB46" s="377" t="str">
        <f>IF(ISBLANK(UserDataIn!P47),"",UserDataIn!P47)</f>
        <v/>
      </c>
      <c r="AC46" s="377" t="str">
        <f>IF(ISBLANK(UserDataIn!Q47),"",UserDataIn!Q47)</f>
        <v/>
      </c>
      <c r="AD46" s="377" t="str">
        <f>IF(ISBLANK(UserDataIn!R47),"",UserDataIn!R47)</f>
        <v/>
      </c>
      <c r="AE46" s="377" t="str">
        <f>IF(ISBLANK(UserDataIn!S47),"",UserDataIn!S47)</f>
        <v/>
      </c>
    </row>
    <row r="47" spans="1:31" s="383" customFormat="1" ht="30">
      <c r="A47" s="384"/>
      <c r="B47" s="385">
        <f>tblIndicators!A44</f>
        <v>43</v>
      </c>
      <c r="C47" s="385">
        <f>tblIndicators!B44</f>
        <v>0</v>
      </c>
      <c r="D47" s="385">
        <f>tblIndicators!F44</f>
        <v>3</v>
      </c>
      <c r="E47" s="385">
        <f>tblIndicators!C44</f>
        <v>30</v>
      </c>
      <c r="F47" s="385" t="str">
        <f>tblIndicators!H44</f>
        <v>30.¿Se permite la contratación con agrupaciones de recicladores de base en el sistema de gestión de residuos del municipio?</v>
      </c>
      <c r="G47" s="385">
        <f>tblIndicators!Z44</f>
        <v>3</v>
      </c>
      <c r="H47" s="421" t="str">
        <f>REPT(" ",D47)&amp;tblIndicators!AE44</f>
        <v xml:space="preserve">   3.3.1) 30.¿Se permite la contratación con agrupaciones de recicladores de base en el sistema de gestión de residuos del municipio?</v>
      </c>
      <c r="I47" s="417" t="str">
        <f>IF(G47=1,"",tblIndicators!Q44)</f>
        <v>0 - 2</v>
      </c>
      <c r="J47" s="385">
        <f>IF($E47=0,"",INDEX(Results!$C$3:$N$39,$E47,J$3))</f>
        <v>0</v>
      </c>
      <c r="K47" s="386">
        <f>IF($E47=0,"",INDEX(Results!$C$3:$N$39,$E47,K$3))</f>
        <v>1</v>
      </c>
      <c r="L47" s="385">
        <f>IF($E47=0,"",INDEX(Results!$C$3:$N$39,$E47,L$3))</f>
        <v>2</v>
      </c>
      <c r="M47" s="386">
        <f>IF($E47=0,"",INDEX(Results!$C$3:$N$39,$E47,M$3))</f>
        <v>0</v>
      </c>
      <c r="N47" s="385">
        <f>IF($E47=0,"",INDEX(Results!$C$3:$N$39,$E47,N$3))</f>
        <v>2</v>
      </c>
      <c r="O47" s="386">
        <f>IF($E47=0,"",INDEX(Results!$C$3:$N$39,$E47,O$3))</f>
        <v>1</v>
      </c>
      <c r="P47" s="385">
        <f>IF($E47=0,"",INDEX(Results!$C$3:$N$39,$E47,P$3))</f>
        <v>1</v>
      </c>
      <c r="Q47" s="386">
        <f>IF($E47=0,"",INDEX(Results!$C$3:$N$39,$E47,Q$3))</f>
        <v>0</v>
      </c>
      <c r="R47" s="385">
        <f>IF($E47=0,"",INDEX(Results!$C$3:$N$39,$E47,R$3))</f>
        <v>0</v>
      </c>
      <c r="S47" s="386">
        <f>IF($E47=0,"",INDEX(Results!$C$3:$N$39,$E47,S$3))</f>
        <v>2</v>
      </c>
      <c r="T47" s="385">
        <f>IF($E47=0,"",INDEX(Results!$C$3:$N$39,$E47,T$3))</f>
        <v>0</v>
      </c>
      <c r="U47" s="386">
        <f>IF($E47=0,"",INDEX(Results!$C$3:$N$39,$E47,U$3))</f>
        <v>0</v>
      </c>
      <c r="V47" s="377">
        <f>IF(ISBLANK(UserDataIn!J48),"",UserDataIn!J48)</f>
        <v>0</v>
      </c>
      <c r="W47" s="377" t="str">
        <f>IF(ISBLANK(UserDataIn!K48),"",UserDataIn!K48)</f>
        <v/>
      </c>
      <c r="X47" s="377" t="str">
        <f>IF(ISBLANK(UserDataIn!L48),"",UserDataIn!L48)</f>
        <v/>
      </c>
      <c r="Y47" s="377" t="str">
        <f>IF(ISBLANK(UserDataIn!M48),"",UserDataIn!M48)</f>
        <v/>
      </c>
      <c r="Z47" s="377" t="str">
        <f>IF(ISBLANK(UserDataIn!N48),"",UserDataIn!N48)</f>
        <v/>
      </c>
      <c r="AA47" s="377" t="str">
        <f>IF(ISBLANK(UserDataIn!O48),"",UserDataIn!O48)</f>
        <v/>
      </c>
      <c r="AB47" s="377" t="str">
        <f>IF(ISBLANK(UserDataIn!P48),"",UserDataIn!P48)</f>
        <v/>
      </c>
      <c r="AC47" s="377" t="str">
        <f>IF(ISBLANK(UserDataIn!Q48),"",UserDataIn!Q48)</f>
        <v/>
      </c>
      <c r="AD47" s="377" t="str">
        <f>IF(ISBLANK(UserDataIn!R48),"",UserDataIn!R48)</f>
        <v/>
      </c>
      <c r="AE47" s="377" t="str">
        <f>IF(ISBLANK(UserDataIn!S48),"",UserDataIn!S48)</f>
        <v/>
      </c>
    </row>
    <row r="48" spans="1:31" s="383" customFormat="1" ht="30">
      <c r="A48" s="384"/>
      <c r="B48" s="385">
        <f>tblIndicators!A45</f>
        <v>44</v>
      </c>
      <c r="C48" s="385">
        <f>tblIndicators!B45</f>
        <v>0</v>
      </c>
      <c r="D48" s="385">
        <f>tblIndicators!F45</f>
        <v>3</v>
      </c>
      <c r="E48" s="385">
        <f>tblIndicators!C45</f>
        <v>31</v>
      </c>
      <c r="F48" s="385" t="str">
        <f>tblIndicators!H45</f>
        <v>31.¿Existen mecanismos de pago periódico fijo para los recicladores de base por servicios prestados?</v>
      </c>
      <c r="G48" s="385">
        <f>tblIndicators!Z45</f>
        <v>3</v>
      </c>
      <c r="H48" s="421" t="str">
        <f>REPT(" ",D48)&amp;tblIndicators!AE45</f>
        <v xml:space="preserve">   3.3.2) 31.¿Existen mecanismos de pago periódico fijo para los recicladores de base por servicios prestados?</v>
      </c>
      <c r="I48" s="417" t="str">
        <f>IF(G48=1,"",tblIndicators!Q45)</f>
        <v>0 - 1</v>
      </c>
      <c r="J48" s="385">
        <f>IF($E48=0,"",INDEX(Results!$C$3:$N$39,$E48,J$3))</f>
        <v>0</v>
      </c>
      <c r="K48" s="386">
        <f>IF($E48=0,"",INDEX(Results!$C$3:$N$39,$E48,K$3))</f>
        <v>1</v>
      </c>
      <c r="L48" s="385">
        <f>IF($E48=0,"",INDEX(Results!$C$3:$N$39,$E48,L$3))</f>
        <v>1</v>
      </c>
      <c r="M48" s="386">
        <f>IF($E48=0,"",INDEX(Results!$C$3:$N$39,$E48,M$3))</f>
        <v>0</v>
      </c>
      <c r="N48" s="385">
        <f>IF($E48=0,"",INDEX(Results!$C$3:$N$39,$E48,N$3))</f>
        <v>0</v>
      </c>
      <c r="O48" s="386">
        <f>IF($E48=0,"",INDEX(Results!$C$3:$N$39,$E48,O$3))</f>
        <v>0</v>
      </c>
      <c r="P48" s="385">
        <f>IF($E48=0,"",INDEX(Results!$C$3:$N$39,$E48,P$3))</f>
        <v>0</v>
      </c>
      <c r="Q48" s="386">
        <f>IF($E48=0,"",INDEX(Results!$C$3:$N$39,$E48,Q$3))</f>
        <v>0</v>
      </c>
      <c r="R48" s="385">
        <f>IF($E48=0,"",INDEX(Results!$C$3:$N$39,$E48,R$3))</f>
        <v>0</v>
      </c>
      <c r="S48" s="386">
        <f>IF($E48=0,"",INDEX(Results!$C$3:$N$39,$E48,S$3))</f>
        <v>1</v>
      </c>
      <c r="T48" s="385">
        <f>IF($E48=0,"",INDEX(Results!$C$3:$N$39,$E48,T$3))</f>
        <v>0</v>
      </c>
      <c r="U48" s="386">
        <f>IF($E48=0,"",INDEX(Results!$C$3:$N$39,$E48,U$3))</f>
        <v>0</v>
      </c>
      <c r="V48" s="377">
        <f>IF(ISBLANK(UserDataIn!J49),"",UserDataIn!J49)</f>
        <v>0</v>
      </c>
      <c r="W48" s="377" t="str">
        <f>IF(ISBLANK(UserDataIn!K49),"",UserDataIn!K49)</f>
        <v/>
      </c>
      <c r="X48" s="377" t="str">
        <f>IF(ISBLANK(UserDataIn!L49),"",UserDataIn!L49)</f>
        <v/>
      </c>
      <c r="Y48" s="377" t="str">
        <f>IF(ISBLANK(UserDataIn!M49),"",UserDataIn!M49)</f>
        <v/>
      </c>
      <c r="Z48" s="377" t="str">
        <f>IF(ISBLANK(UserDataIn!N49),"",UserDataIn!N49)</f>
        <v/>
      </c>
      <c r="AA48" s="377" t="str">
        <f>IF(ISBLANK(UserDataIn!O49),"",UserDataIn!O49)</f>
        <v/>
      </c>
      <c r="AB48" s="377" t="str">
        <f>IF(ISBLANK(UserDataIn!P49),"",UserDataIn!P49)</f>
        <v/>
      </c>
      <c r="AC48" s="377" t="str">
        <f>IF(ISBLANK(UserDataIn!Q49),"",UserDataIn!Q49)</f>
        <v/>
      </c>
      <c r="AD48" s="377" t="str">
        <f>IF(ISBLANK(UserDataIn!R49),"",UserDataIn!R49)</f>
        <v/>
      </c>
      <c r="AE48" s="377" t="str">
        <f>IF(ISBLANK(UserDataIn!S49),"",UserDataIn!S49)</f>
        <v/>
      </c>
    </row>
    <row r="49" spans="1:31" s="383" customFormat="1" ht="30">
      <c r="A49" s="384"/>
      <c r="B49" s="385">
        <f>tblIndicators!A46</f>
        <v>45</v>
      </c>
      <c r="C49" s="385">
        <f>tblIndicators!B46</f>
        <v>0</v>
      </c>
      <c r="D49" s="385">
        <f>tblIndicators!F46</f>
        <v>3</v>
      </c>
      <c r="E49" s="385">
        <f>tblIndicators!C46</f>
        <v>32</v>
      </c>
      <c r="F49" s="385" t="str">
        <f>tblIndicators!H46</f>
        <v>32.¿Existen programas de diversificación de los servicios prestados por recicladores?</v>
      </c>
      <c r="G49" s="385">
        <f>tblIndicators!Z46</f>
        <v>3</v>
      </c>
      <c r="H49" s="421" t="str">
        <f>REPT(" ",D49)&amp;tblIndicators!AE46</f>
        <v xml:space="preserve">   3.3.3) 32.¿Existen programas de diversificación de los servicios prestados por recicladores?</v>
      </c>
      <c r="I49" s="417" t="str">
        <f>IF(G49=1,"",tblIndicators!Q46)</f>
        <v>0 - 1</v>
      </c>
      <c r="J49" s="385">
        <f>IF($E49=0,"",INDEX(Results!$C$3:$N$39,$E49,J$3))</f>
        <v>0</v>
      </c>
      <c r="K49" s="386">
        <f>IF($E49=0,"",INDEX(Results!$C$3:$N$39,$E49,K$3))</f>
        <v>0</v>
      </c>
      <c r="L49" s="385">
        <f>IF($E49=0,"",INDEX(Results!$C$3:$N$39,$E49,L$3))</f>
        <v>1</v>
      </c>
      <c r="M49" s="386">
        <f>IF($E49=0,"",INDEX(Results!$C$3:$N$39,$E49,M$3))</f>
        <v>0</v>
      </c>
      <c r="N49" s="385">
        <f>IF($E49=0,"",INDEX(Results!$C$3:$N$39,$E49,N$3))</f>
        <v>0</v>
      </c>
      <c r="O49" s="386">
        <f>IF($E49=0,"",INDEX(Results!$C$3:$N$39,$E49,O$3))</f>
        <v>0</v>
      </c>
      <c r="P49" s="385">
        <f>IF($E49=0,"",INDEX(Results!$C$3:$N$39,$E49,P$3))</f>
        <v>0</v>
      </c>
      <c r="Q49" s="386">
        <f>IF($E49=0,"",INDEX(Results!$C$3:$N$39,$E49,Q$3))</f>
        <v>0</v>
      </c>
      <c r="R49" s="385">
        <f>IF($E49=0,"",INDEX(Results!$C$3:$N$39,$E49,R$3))</f>
        <v>0</v>
      </c>
      <c r="S49" s="386">
        <f>IF($E49=0,"",INDEX(Results!$C$3:$N$39,$E49,S$3))</f>
        <v>1</v>
      </c>
      <c r="T49" s="385">
        <f>IF($E49=0,"",INDEX(Results!$C$3:$N$39,$E49,T$3))</f>
        <v>0</v>
      </c>
      <c r="U49" s="386">
        <f>IF($E49=0,"",INDEX(Results!$C$3:$N$39,$E49,U$3))</f>
        <v>0</v>
      </c>
      <c r="V49" s="377">
        <f>IF(ISBLANK(UserDataIn!J50),"",UserDataIn!J50)</f>
        <v>0</v>
      </c>
      <c r="W49" s="377" t="str">
        <f>IF(ISBLANK(UserDataIn!K50),"",UserDataIn!K50)</f>
        <v/>
      </c>
      <c r="X49" s="377" t="str">
        <f>IF(ISBLANK(UserDataIn!L50),"",UserDataIn!L50)</f>
        <v/>
      </c>
      <c r="Y49" s="377" t="str">
        <f>IF(ISBLANK(UserDataIn!M50),"",UserDataIn!M50)</f>
        <v/>
      </c>
      <c r="Z49" s="377" t="str">
        <f>IF(ISBLANK(UserDataIn!N50),"",UserDataIn!N50)</f>
        <v/>
      </c>
      <c r="AA49" s="377" t="str">
        <f>IF(ISBLANK(UserDataIn!O50),"",UserDataIn!O50)</f>
        <v/>
      </c>
      <c r="AB49" s="377" t="str">
        <f>IF(ISBLANK(UserDataIn!P50),"",UserDataIn!P50)</f>
        <v/>
      </c>
      <c r="AC49" s="377" t="str">
        <f>IF(ISBLANK(UserDataIn!Q50),"",UserDataIn!Q50)</f>
        <v/>
      </c>
      <c r="AD49" s="377" t="str">
        <f>IF(ISBLANK(UserDataIn!R50),"",UserDataIn!R50)</f>
        <v/>
      </c>
      <c r="AE49" s="377" t="str">
        <f>IF(ISBLANK(UserDataIn!S50),"",UserDataIn!S50)</f>
        <v/>
      </c>
    </row>
    <row r="50" spans="1:31" s="383" customFormat="1" ht="30">
      <c r="A50" s="384"/>
      <c r="B50" s="385">
        <f>tblIndicators!A47</f>
        <v>46</v>
      </c>
      <c r="C50" s="385">
        <f>tblIndicators!B47</f>
        <v>0</v>
      </c>
      <c r="D50" s="385">
        <f>tblIndicators!F47</f>
        <v>3</v>
      </c>
      <c r="E50" s="385">
        <f>tblIndicators!C47</f>
        <v>33</v>
      </c>
      <c r="F50" s="385" t="str">
        <f>tblIndicators!H47</f>
        <v>33. Ingreso promedio de los recicladores con respecto al salario mínimo nacional</v>
      </c>
      <c r="G50" s="385">
        <f>tblIndicators!Z47</f>
        <v>2</v>
      </c>
      <c r="H50" s="421" t="str">
        <f>REPT(" ",D50)&amp;tblIndicators!AE47</f>
        <v xml:space="preserve">   3.3.4) 33. Ingreso promedio de los recicladores con respecto al salario mínimo nacional</v>
      </c>
      <c r="I50" s="417" t="str">
        <f>IF(G50=1,"",tblIndicators!Q47)</f>
        <v>%</v>
      </c>
      <c r="J50" s="385">
        <f>IF($E50=0,"",INDEX(Results!$C$3:$N$39,$E50,J$3))</f>
        <v>36.183115510977956</v>
      </c>
      <c r="K50" s="386">
        <f>IF($E50=0,"",INDEX(Results!$C$3:$N$39,$E50,K$3))</f>
        <v>87.025259081448382</v>
      </c>
      <c r="L50" s="385">
        <f>IF($E50=0,"",INDEX(Results!$C$3:$N$39,$E50,L$3))</f>
        <v>157</v>
      </c>
      <c r="M50" s="386">
        <f>IF($E50=0,"",INDEX(Results!$C$3:$N$39,$E50,M$3))</f>
        <v>150</v>
      </c>
      <c r="N50" s="385">
        <f>IF($E50=0,"",INDEX(Results!$C$3:$N$39,$E50,N$3))</f>
        <v>68</v>
      </c>
      <c r="O50" s="386">
        <f>IF($E50=0,"",INDEX(Results!$C$3:$N$39,$E50,O$3))</f>
        <v>50</v>
      </c>
      <c r="P50" s="385">
        <f>IF($E50=0,"",INDEX(Results!$C$3:$N$39,$E50,P$3))</f>
        <v>107.62331838565022</v>
      </c>
      <c r="Q50" s="386">
        <f>IF($E50=0,"",INDEX(Results!$C$3:$N$39,$E50,Q$3))</f>
        <v>49</v>
      </c>
      <c r="R50" s="385">
        <f>IF($E50=0,"",INDEX(Results!$C$3:$N$39,$E50,R$3))</f>
        <v>14.000000000000002</v>
      </c>
      <c r="S50" s="386">
        <f>IF($E50=0,"",INDEX(Results!$C$3:$N$39,$E50,S$3))</f>
        <v>68.181818181818173</v>
      </c>
      <c r="T50" s="385">
        <f>IF($E50=0,"",INDEX(Results!$C$3:$N$39,$E50,T$3))</f>
        <v>85</v>
      </c>
      <c r="U50" s="386">
        <f>IF($E50=0,"",INDEX(Results!$C$3:$N$39,$E50,U$3))</f>
        <v>75</v>
      </c>
      <c r="V50" s="377">
        <f>IF(ISBLANK(UserDataIn!J51),"",UserDataIn!J51)</f>
        <v>0</v>
      </c>
      <c r="W50" s="377" t="str">
        <f>IF(ISBLANK(UserDataIn!K51),"",UserDataIn!K51)</f>
        <v/>
      </c>
      <c r="X50" s="377" t="str">
        <f>IF(ISBLANK(UserDataIn!L51),"",UserDataIn!L51)</f>
        <v/>
      </c>
      <c r="Y50" s="377" t="str">
        <f>IF(ISBLANK(UserDataIn!M51),"",UserDataIn!M51)</f>
        <v/>
      </c>
      <c r="Z50" s="377" t="str">
        <f>IF(ISBLANK(UserDataIn!N51),"",UserDataIn!N51)</f>
        <v/>
      </c>
      <c r="AA50" s="377" t="str">
        <f>IF(ISBLANK(UserDataIn!O51),"",UserDataIn!O51)</f>
        <v/>
      </c>
      <c r="AB50" s="377" t="str">
        <f>IF(ISBLANK(UserDataIn!P51),"",UserDataIn!P51)</f>
        <v/>
      </c>
      <c r="AC50" s="377" t="str">
        <f>IF(ISBLANK(UserDataIn!Q51),"",UserDataIn!Q51)</f>
        <v/>
      </c>
      <c r="AD50" s="377" t="str">
        <f>IF(ISBLANK(UserDataIn!R51),"",UserDataIn!R51)</f>
        <v/>
      </c>
      <c r="AE50" s="377" t="str">
        <f>IF(ISBLANK(UserDataIn!S51),"",UserDataIn!S51)</f>
        <v/>
      </c>
    </row>
    <row r="51" spans="1:31" s="383" customFormat="1" ht="18.75">
      <c r="A51" s="384"/>
      <c r="B51" s="385">
        <f>tblIndicators!A48</f>
        <v>47</v>
      </c>
      <c r="C51" s="385">
        <f>tblIndicators!B48</f>
        <v>0</v>
      </c>
      <c r="D51" s="385">
        <f>tblIndicators!F48</f>
        <v>2</v>
      </c>
      <c r="E51" s="385">
        <f>tblIndicators!C48</f>
        <v>0</v>
      </c>
      <c r="F51" s="385" t="str">
        <f>tblIndicators!H48</f>
        <v>Condiciones de trabajo de los recicladores de base</v>
      </c>
      <c r="G51" s="385">
        <f>tblIndicators!Z48</f>
        <v>1</v>
      </c>
      <c r="H51" s="421" t="str">
        <f>REPT(" ",D51)&amp;tblIndicators!AE48</f>
        <v xml:space="preserve">  3.4) Condiciones de trabajo de los recicladores de base</v>
      </c>
      <c r="I51" s="417" t="str">
        <f>IF(G51=1,"",tblIndicators!Q48)</f>
        <v/>
      </c>
      <c r="J51" s="385" t="str">
        <f>IF($E51=0,"",INDEX(Results!$C$3:$N$39,$E51,J$3))</f>
        <v/>
      </c>
      <c r="K51" s="386" t="str">
        <f>IF($E51=0,"",INDEX(Results!$C$3:$N$39,$E51,K$3))</f>
        <v/>
      </c>
      <c r="L51" s="385" t="str">
        <f>IF($E51=0,"",INDEX(Results!$C$3:$N$39,$E51,L$3))</f>
        <v/>
      </c>
      <c r="M51" s="386" t="str">
        <f>IF($E51=0,"",INDEX(Results!$C$3:$N$39,$E51,M$3))</f>
        <v/>
      </c>
      <c r="N51" s="385" t="str">
        <f>IF($E51=0,"",INDEX(Results!$C$3:$N$39,$E51,N$3))</f>
        <v/>
      </c>
      <c r="O51" s="386" t="str">
        <f>IF($E51=0,"",INDEX(Results!$C$3:$N$39,$E51,O$3))</f>
        <v/>
      </c>
      <c r="P51" s="385" t="str">
        <f>IF($E51=0,"",INDEX(Results!$C$3:$N$39,$E51,P$3))</f>
        <v/>
      </c>
      <c r="Q51" s="386" t="str">
        <f>IF($E51=0,"",INDEX(Results!$C$3:$N$39,$E51,Q$3))</f>
        <v/>
      </c>
      <c r="R51" s="385" t="str">
        <f>IF($E51=0,"",INDEX(Results!$C$3:$N$39,$E51,R$3))</f>
        <v/>
      </c>
      <c r="S51" s="386" t="str">
        <f>IF($E51=0,"",INDEX(Results!$C$3:$N$39,$E51,S$3))</f>
        <v/>
      </c>
      <c r="T51" s="385" t="str">
        <f>IF($E51=0,"",INDEX(Results!$C$3:$N$39,$E51,T$3))</f>
        <v/>
      </c>
      <c r="U51" s="386" t="str">
        <f>IF($E51=0,"",INDEX(Results!$C$3:$N$39,$E51,U$3))</f>
        <v/>
      </c>
      <c r="V51" s="377" t="str">
        <f>IF(ISBLANK(UserDataIn!J52),"",UserDataIn!J52)</f>
        <v/>
      </c>
      <c r="W51" s="377" t="str">
        <f>IF(ISBLANK(UserDataIn!K52),"",UserDataIn!K52)</f>
        <v/>
      </c>
      <c r="X51" s="377" t="str">
        <f>IF(ISBLANK(UserDataIn!L52),"",UserDataIn!L52)</f>
        <v/>
      </c>
      <c r="Y51" s="377" t="str">
        <f>IF(ISBLANK(UserDataIn!M52),"",UserDataIn!M52)</f>
        <v/>
      </c>
      <c r="Z51" s="377" t="str">
        <f>IF(ISBLANK(UserDataIn!N52),"",UserDataIn!N52)</f>
        <v/>
      </c>
      <c r="AA51" s="377" t="str">
        <f>IF(ISBLANK(UserDataIn!O52),"",UserDataIn!O52)</f>
        <v/>
      </c>
      <c r="AB51" s="377" t="str">
        <f>IF(ISBLANK(UserDataIn!P52),"",UserDataIn!P52)</f>
        <v/>
      </c>
      <c r="AC51" s="377" t="str">
        <f>IF(ISBLANK(UserDataIn!Q52),"",UserDataIn!Q52)</f>
        <v/>
      </c>
      <c r="AD51" s="377" t="str">
        <f>IF(ISBLANK(UserDataIn!R52),"",UserDataIn!R52)</f>
        <v/>
      </c>
      <c r="AE51" s="377" t="str">
        <f>IF(ISBLANK(UserDataIn!S52),"",UserDataIn!S52)</f>
        <v/>
      </c>
    </row>
    <row r="52" spans="1:31" s="383" customFormat="1" ht="18.75">
      <c r="A52" s="384"/>
      <c r="B52" s="385">
        <f>tblIndicators!A49</f>
        <v>48</v>
      </c>
      <c r="C52" s="385">
        <f>tblIndicators!B49</f>
        <v>0</v>
      </c>
      <c r="D52" s="385">
        <f>tblIndicators!F49</f>
        <v>3</v>
      </c>
      <c r="E52" s="385">
        <f>tblIndicators!C49</f>
        <v>34</v>
      </c>
      <c r="F52" s="385" t="str">
        <f>tblIndicators!H49</f>
        <v>34.¿Existe trabajo infantil en la cadena de manejo de residuos?</v>
      </c>
      <c r="G52" s="385">
        <f>tblIndicators!Z49</f>
        <v>3</v>
      </c>
      <c r="H52" s="421" t="str">
        <f>REPT(" ",D52)&amp;tblIndicators!AE49</f>
        <v xml:space="preserve">   3.4.1) 34.¿Existe trabajo infantil en la cadena de manejo de residuos?</v>
      </c>
      <c r="I52" s="417" t="str">
        <f>IF(G52=1,"",tblIndicators!Q49)</f>
        <v>0 - 2</v>
      </c>
      <c r="J52" s="385">
        <f>IF($E52=0,"",INDEX(Results!$C$3:$N$39,$E52,J$3))</f>
        <v>0</v>
      </c>
      <c r="K52" s="386">
        <f>IF($E52=0,"",INDEX(Results!$C$3:$N$39,$E52,K$3))</f>
        <v>1</v>
      </c>
      <c r="L52" s="385">
        <f>IF($E52=0,"",INDEX(Results!$C$3:$N$39,$E52,L$3))</f>
        <v>1</v>
      </c>
      <c r="M52" s="386">
        <f>IF($E52=0,"",INDEX(Results!$C$3:$N$39,$E52,M$3))</f>
        <v>0</v>
      </c>
      <c r="N52" s="385">
        <f>IF($E52=0,"",INDEX(Results!$C$3:$N$39,$E52,N$3))</f>
        <v>1</v>
      </c>
      <c r="O52" s="386">
        <f>IF($E52=0,"",INDEX(Results!$C$3:$N$39,$E52,O$3))</f>
        <v>1</v>
      </c>
      <c r="P52" s="385">
        <f>IF($E52=0,"",INDEX(Results!$C$3:$N$39,$E52,P$3))</f>
        <v>0</v>
      </c>
      <c r="Q52" s="386">
        <f>IF($E52=0,"",INDEX(Results!$C$3:$N$39,$E52,Q$3))</f>
        <v>0</v>
      </c>
      <c r="R52" s="385">
        <f>IF($E52=0,"",INDEX(Results!$C$3:$N$39,$E52,R$3))</f>
        <v>2</v>
      </c>
      <c r="S52" s="386">
        <f>IF($E52=0,"",INDEX(Results!$C$3:$N$39,$E52,S$3))</f>
        <v>1</v>
      </c>
      <c r="T52" s="385">
        <f>IF($E52=0,"",INDEX(Results!$C$3:$N$39,$E52,T$3))</f>
        <v>0</v>
      </c>
      <c r="U52" s="386">
        <f>IF($E52=0,"",INDEX(Results!$C$3:$N$39,$E52,U$3))</f>
        <v>2</v>
      </c>
      <c r="V52" s="377">
        <f>IF(ISBLANK(UserDataIn!J53),"",UserDataIn!J53)</f>
        <v>0</v>
      </c>
      <c r="W52" s="377" t="str">
        <f>IF(ISBLANK(UserDataIn!K53),"",UserDataIn!K53)</f>
        <v/>
      </c>
      <c r="X52" s="377" t="str">
        <f>IF(ISBLANK(UserDataIn!L53),"",UserDataIn!L53)</f>
        <v/>
      </c>
      <c r="Y52" s="377" t="str">
        <f>IF(ISBLANK(UserDataIn!M53),"",UserDataIn!M53)</f>
        <v/>
      </c>
      <c r="Z52" s="377" t="str">
        <f>IF(ISBLANK(UserDataIn!N53),"",UserDataIn!N53)</f>
        <v/>
      </c>
      <c r="AA52" s="377" t="str">
        <f>IF(ISBLANK(UserDataIn!O53),"",UserDataIn!O53)</f>
        <v/>
      </c>
      <c r="AB52" s="377" t="str">
        <f>IF(ISBLANK(UserDataIn!P53),"",UserDataIn!P53)</f>
        <v/>
      </c>
      <c r="AC52" s="377" t="str">
        <f>IF(ISBLANK(UserDataIn!Q53),"",UserDataIn!Q53)</f>
        <v/>
      </c>
      <c r="AD52" s="377" t="str">
        <f>IF(ISBLANK(UserDataIn!R53),"",UserDataIn!R53)</f>
        <v/>
      </c>
      <c r="AE52" s="377" t="str">
        <f>IF(ISBLANK(UserDataIn!S53),"",UserDataIn!S53)</f>
        <v/>
      </c>
    </row>
    <row r="53" spans="1:31" s="383" customFormat="1" ht="18.75">
      <c r="A53" s="384"/>
      <c r="B53" s="385">
        <f>tblIndicators!A50</f>
        <v>49</v>
      </c>
      <c r="C53" s="385">
        <f>tblIndicators!B50</f>
        <v>0</v>
      </c>
      <c r="D53" s="385">
        <f>tblIndicators!F50</f>
        <v>3</v>
      </c>
      <c r="E53" s="385">
        <f>tblIndicators!C50</f>
        <v>35</v>
      </c>
      <c r="F53" s="385" t="str">
        <f>tblIndicators!H50</f>
        <v>35.¿Cuál es el nivel de enfoque de género en las condiciones de trabajo?</v>
      </c>
      <c r="G53" s="385">
        <f>tblIndicators!Z50</f>
        <v>3</v>
      </c>
      <c r="H53" s="421" t="str">
        <f>REPT(" ",D53)&amp;tblIndicators!AE50</f>
        <v xml:space="preserve">   3.4.2) 35.¿Cuál es el nivel de enfoque de género en las condiciones de trabajo?</v>
      </c>
      <c r="I53" s="417" t="str">
        <f>IF(G53=1,"",tblIndicators!Q50)</f>
        <v>0 - 2</v>
      </c>
      <c r="J53" s="385">
        <f>IF($E53=0,"",INDEX(Results!$C$3:$N$39,$E53,J$3))</f>
        <v>0</v>
      </c>
      <c r="K53" s="386">
        <f>IF($E53=0,"",INDEX(Results!$C$3:$N$39,$E53,K$3))</f>
        <v>0</v>
      </c>
      <c r="L53" s="385">
        <f>IF($E53=0,"",INDEX(Results!$C$3:$N$39,$E53,L$3))</f>
        <v>1</v>
      </c>
      <c r="M53" s="386">
        <f>IF($E53=0,"",INDEX(Results!$C$3:$N$39,$E53,M$3))</f>
        <v>0</v>
      </c>
      <c r="N53" s="385">
        <f>IF($E53=0,"",INDEX(Results!$C$3:$N$39,$E53,N$3))</f>
        <v>0</v>
      </c>
      <c r="O53" s="386">
        <f>IF($E53=0,"",INDEX(Results!$C$3:$N$39,$E53,O$3))</f>
        <v>0</v>
      </c>
      <c r="P53" s="385">
        <f>IF($E53=0,"",INDEX(Results!$C$3:$N$39,$E53,P$3))</f>
        <v>0</v>
      </c>
      <c r="Q53" s="386">
        <f>IF($E53=0,"",INDEX(Results!$C$3:$N$39,$E53,Q$3))</f>
        <v>0</v>
      </c>
      <c r="R53" s="385">
        <f>IF($E53=0,"",INDEX(Results!$C$3:$N$39,$E53,R$3))</f>
        <v>0</v>
      </c>
      <c r="S53" s="386">
        <f>IF($E53=0,"",INDEX(Results!$C$3:$N$39,$E53,S$3))</f>
        <v>0</v>
      </c>
      <c r="T53" s="385">
        <f>IF($E53=0,"",INDEX(Results!$C$3:$N$39,$E53,T$3))</f>
        <v>1</v>
      </c>
      <c r="U53" s="386">
        <f>IF($E53=0,"",INDEX(Results!$C$3:$N$39,$E53,U$3))</f>
        <v>0</v>
      </c>
      <c r="V53" s="377">
        <f>IF(ISBLANK(UserDataIn!J54),"",UserDataIn!J54)</f>
        <v>0</v>
      </c>
      <c r="W53" s="377" t="str">
        <f>IF(ISBLANK(UserDataIn!K54),"",UserDataIn!K54)</f>
        <v/>
      </c>
      <c r="X53" s="377" t="str">
        <f>IF(ISBLANK(UserDataIn!L54),"",UserDataIn!L54)</f>
        <v/>
      </c>
      <c r="Y53" s="377" t="str">
        <f>IF(ISBLANK(UserDataIn!M54),"",UserDataIn!M54)</f>
        <v/>
      </c>
      <c r="Z53" s="377" t="str">
        <f>IF(ISBLANK(UserDataIn!N54),"",UserDataIn!N54)</f>
        <v/>
      </c>
      <c r="AA53" s="377" t="str">
        <f>IF(ISBLANK(UserDataIn!O54),"",UserDataIn!O54)</f>
        <v/>
      </c>
      <c r="AB53" s="377" t="str">
        <f>IF(ISBLANK(UserDataIn!P54),"",UserDataIn!P54)</f>
        <v/>
      </c>
      <c r="AC53" s="377" t="str">
        <f>IF(ISBLANK(UserDataIn!Q54),"",UserDataIn!Q54)</f>
        <v/>
      </c>
      <c r="AD53" s="377" t="str">
        <f>IF(ISBLANK(UserDataIn!R54),"",UserDataIn!R54)</f>
        <v/>
      </c>
      <c r="AE53" s="377" t="str">
        <f>IF(ISBLANK(UserDataIn!S54),"",UserDataIn!S54)</f>
        <v/>
      </c>
    </row>
    <row r="54" spans="1:31" s="383" customFormat="1" ht="18.75">
      <c r="A54" s="384"/>
      <c r="B54" s="385">
        <f>tblIndicators!A51</f>
        <v>50</v>
      </c>
      <c r="C54" s="385">
        <f>tblIndicators!B51</f>
        <v>0</v>
      </c>
      <c r="D54" s="385">
        <f>tblIndicators!F51</f>
        <v>3</v>
      </c>
      <c r="E54" s="385">
        <f>tblIndicators!C51</f>
        <v>36</v>
      </c>
      <c r="F54" s="385" t="str">
        <f>tblIndicators!H51</f>
        <v>36.¿Hay planes inclusivos de cierre de vertederos a cielo abierto?</v>
      </c>
      <c r="G54" s="385">
        <f>tblIndicators!Z51</f>
        <v>3</v>
      </c>
      <c r="H54" s="421" t="str">
        <f>REPT(" ",D54)&amp;tblIndicators!AE51</f>
        <v xml:space="preserve">   3.4.3) 36.¿Hay planes inclusivos de cierre de vertederos a cielo abierto?</v>
      </c>
      <c r="I54" s="417" t="str">
        <f>IF(G54=1,"",tblIndicators!Q51)</f>
        <v>0 - 1</v>
      </c>
      <c r="J54" s="385">
        <f>IF($E54=0,"",INDEX(Results!$C$3:$N$39,$E54,J$3))</f>
        <v>0</v>
      </c>
      <c r="K54" s="386">
        <f>IF($E54=0,"",INDEX(Results!$C$3:$N$39,$E54,K$3))</f>
        <v>1</v>
      </c>
      <c r="L54" s="385">
        <f>IF($E54=0,"",INDEX(Results!$C$3:$N$39,$E54,L$3))</f>
        <v>1</v>
      </c>
      <c r="M54" s="386">
        <f>IF($E54=0,"",INDEX(Results!$C$3:$N$39,$E54,M$3))</f>
        <v>1</v>
      </c>
      <c r="N54" s="385">
        <f>IF($E54=0,"",INDEX(Results!$C$3:$N$39,$E54,N$3))</f>
        <v>1</v>
      </c>
      <c r="O54" s="386">
        <f>IF($E54=0,"",INDEX(Results!$C$3:$N$39,$E54,O$3))</f>
        <v>1</v>
      </c>
      <c r="P54" s="385">
        <f>IF($E54=0,"",INDEX(Results!$C$3:$N$39,$E54,P$3))</f>
        <v>0</v>
      </c>
      <c r="Q54" s="386">
        <f>IF($E54=0,"",INDEX(Results!$C$3:$N$39,$E54,Q$3))</f>
        <v>1</v>
      </c>
      <c r="R54" s="385">
        <f>IF($E54=0,"",INDEX(Results!$C$3:$N$39,$E54,R$3))</f>
        <v>1</v>
      </c>
      <c r="S54" s="386">
        <f>IF($E54=0,"",INDEX(Results!$C$3:$N$39,$E54,S$3))</f>
        <v>1</v>
      </c>
      <c r="T54" s="385">
        <f>IF($E54=0,"",INDEX(Results!$C$3:$N$39,$E54,T$3))</f>
        <v>1</v>
      </c>
      <c r="U54" s="386">
        <f>IF($E54=0,"",INDEX(Results!$C$3:$N$39,$E54,U$3))</f>
        <v>1</v>
      </c>
      <c r="V54" s="377">
        <f>IF(ISBLANK(UserDataIn!J55),"",UserDataIn!J55)</f>
        <v>0</v>
      </c>
      <c r="W54" s="377" t="str">
        <f>IF(ISBLANK(UserDataIn!K55),"",UserDataIn!K55)</f>
        <v/>
      </c>
      <c r="X54" s="377" t="str">
        <f>IF(ISBLANK(UserDataIn!L55),"",UserDataIn!L55)</f>
        <v/>
      </c>
      <c r="Y54" s="377" t="str">
        <f>IF(ISBLANK(UserDataIn!M55),"",UserDataIn!M55)</f>
        <v/>
      </c>
      <c r="Z54" s="377" t="str">
        <f>IF(ISBLANK(UserDataIn!N55),"",UserDataIn!N55)</f>
        <v/>
      </c>
      <c r="AA54" s="377" t="str">
        <f>IF(ISBLANK(UserDataIn!O55),"",UserDataIn!O55)</f>
        <v/>
      </c>
      <c r="AB54" s="377" t="str">
        <f>IF(ISBLANK(UserDataIn!P55),"",UserDataIn!P55)</f>
        <v/>
      </c>
      <c r="AC54" s="377" t="str">
        <f>IF(ISBLANK(UserDataIn!Q55),"",UserDataIn!Q55)</f>
        <v/>
      </c>
      <c r="AD54" s="377" t="str">
        <f>IF(ISBLANK(UserDataIn!R55),"",UserDataIn!R55)</f>
        <v/>
      </c>
      <c r="AE54" s="377" t="str">
        <f>IF(ISBLANK(UserDataIn!S55),"",UserDataIn!S55)</f>
        <v/>
      </c>
    </row>
    <row r="55" spans="1:31" s="383" customFormat="1" ht="18.75">
      <c r="A55" s="384"/>
      <c r="B55" s="385">
        <f>tblIndicators!A52</f>
        <v>51</v>
      </c>
      <c r="C55" s="385">
        <f>tblIndicators!B52</f>
        <v>0</v>
      </c>
      <c r="D55" s="385">
        <f>tblIndicators!F52</f>
        <v>3</v>
      </c>
      <c r="E55" s="385">
        <f>tblIndicators!C52</f>
        <v>37</v>
      </c>
      <c r="F55" s="385" t="str">
        <f>tblIndicators!H52</f>
        <v>37.¿Los recicladores tienen acceso a herramientas de trabajo adecuadas?</v>
      </c>
      <c r="G55" s="385">
        <f>tblIndicators!Z52</f>
        <v>3</v>
      </c>
      <c r="H55" s="421" t="str">
        <f>REPT(" ",D55)&amp;tblIndicators!AE52</f>
        <v xml:space="preserve">   3.4.4) 37.¿Los recicladores tienen acceso a herramientas de trabajo adecuadas?</v>
      </c>
      <c r="I55" s="417" t="str">
        <f>IF(G55=1,"",tblIndicators!Q52)</f>
        <v>0 - 2</v>
      </c>
      <c r="J55" s="385">
        <f>IF($E55=0,"",INDEX(Results!$C$3:$N$39,$E55,J$3))</f>
        <v>0</v>
      </c>
      <c r="K55" s="386">
        <f>IF($E55=0,"",INDEX(Results!$C$3:$N$39,$E55,K$3))</f>
        <v>1</v>
      </c>
      <c r="L55" s="385">
        <f>IF($E55=0,"",INDEX(Results!$C$3:$N$39,$E55,L$3))</f>
        <v>2</v>
      </c>
      <c r="M55" s="386">
        <f>IF($E55=0,"",INDEX(Results!$C$3:$N$39,$E55,M$3))</f>
        <v>1</v>
      </c>
      <c r="N55" s="385">
        <f>IF($E55=0,"",INDEX(Results!$C$3:$N$39,$E55,N$3))</f>
        <v>0</v>
      </c>
      <c r="O55" s="386">
        <f>IF($E55=0,"",INDEX(Results!$C$3:$N$39,$E55,O$3))</f>
        <v>1</v>
      </c>
      <c r="P55" s="385">
        <f>IF($E55=0,"",INDEX(Results!$C$3:$N$39,$E55,P$3))</f>
        <v>0</v>
      </c>
      <c r="Q55" s="386">
        <f>IF($E55=0,"",INDEX(Results!$C$3:$N$39,$E55,Q$3))</f>
        <v>0</v>
      </c>
      <c r="R55" s="385">
        <f>IF($E55=0,"",INDEX(Results!$C$3:$N$39,$E55,R$3))</f>
        <v>0</v>
      </c>
      <c r="S55" s="386">
        <f>IF($E55=0,"",INDEX(Results!$C$3:$N$39,$E55,S$3))</f>
        <v>1</v>
      </c>
      <c r="T55" s="385">
        <f>IF($E55=0,"",INDEX(Results!$C$3:$N$39,$E55,T$3))</f>
        <v>1</v>
      </c>
      <c r="U55" s="386">
        <f>IF($E55=0,"",INDEX(Results!$C$3:$N$39,$E55,U$3))</f>
        <v>1</v>
      </c>
      <c r="V55" s="377">
        <f>IF(ISBLANK(UserDataIn!J56),"",UserDataIn!J56)</f>
        <v>0</v>
      </c>
      <c r="W55" s="377" t="str">
        <f>IF(ISBLANK(UserDataIn!K56),"",UserDataIn!K56)</f>
        <v/>
      </c>
      <c r="X55" s="377" t="str">
        <f>IF(ISBLANK(UserDataIn!L56),"",UserDataIn!L56)</f>
        <v/>
      </c>
      <c r="Y55" s="377" t="str">
        <f>IF(ISBLANK(UserDataIn!M56),"",UserDataIn!M56)</f>
        <v/>
      </c>
      <c r="Z55" s="377" t="str">
        <f>IF(ISBLANK(UserDataIn!N56),"",UserDataIn!N56)</f>
        <v/>
      </c>
      <c r="AA55" s="377" t="str">
        <f>IF(ISBLANK(UserDataIn!O56),"",UserDataIn!O56)</f>
        <v/>
      </c>
      <c r="AB55" s="377" t="str">
        <f>IF(ISBLANK(UserDataIn!P56),"",UserDataIn!P56)</f>
        <v/>
      </c>
      <c r="AC55" s="377" t="str">
        <f>IF(ISBLANK(UserDataIn!Q56),"",UserDataIn!Q56)</f>
        <v/>
      </c>
      <c r="AD55" s="377" t="str">
        <f>IF(ISBLANK(UserDataIn!R56),"",UserDataIn!R56)</f>
        <v/>
      </c>
      <c r="AE55" s="377" t="str">
        <f>IF(ISBLANK(UserDataIn!S56),"",UserDataIn!S56)</f>
        <v/>
      </c>
    </row>
    <row r="56" spans="1:31" s="383" customFormat="1">
      <c r="H56" s="413"/>
      <c r="I56" s="413"/>
    </row>
    <row r="57" spans="1:31" s="387" customFormat="1">
      <c r="H57" s="414"/>
      <c r="I57" s="414"/>
    </row>
    <row r="58" spans="1:31" s="387" customFormat="1">
      <c r="H58" s="414"/>
      <c r="I58" s="414"/>
    </row>
    <row r="59" spans="1:31" s="387" customFormat="1">
      <c r="H59" s="414"/>
      <c r="I59" s="414"/>
    </row>
    <row r="60" spans="1:31" s="387" customFormat="1">
      <c r="H60" s="414"/>
      <c r="I60" s="414"/>
    </row>
    <row r="61" spans="1:31" s="387" customFormat="1">
      <c r="H61" s="414"/>
      <c r="I61" s="414"/>
    </row>
    <row r="62" spans="1:31" s="387" customFormat="1">
      <c r="H62" s="414"/>
      <c r="I62" s="414"/>
    </row>
    <row r="63" spans="1:31" s="387" customFormat="1">
      <c r="H63" s="414"/>
      <c r="I63" s="414"/>
    </row>
    <row r="64" spans="1:31" s="387" customFormat="1">
      <c r="H64" s="414"/>
      <c r="I64" s="414"/>
    </row>
    <row r="65" spans="8:9" s="387" customFormat="1">
      <c r="H65" s="414"/>
      <c r="I65" s="414"/>
    </row>
    <row r="66" spans="8:9" s="387" customFormat="1">
      <c r="H66" s="414"/>
      <c r="I66" s="414"/>
    </row>
    <row r="67" spans="8:9" s="387" customFormat="1">
      <c r="H67" s="414"/>
      <c r="I67" s="414"/>
    </row>
    <row r="68" spans="8:9" s="387" customFormat="1">
      <c r="H68" s="414"/>
      <c r="I68" s="414"/>
    </row>
    <row r="69" spans="8:9" s="387" customFormat="1">
      <c r="H69" s="414"/>
      <c r="I69" s="414"/>
    </row>
    <row r="70" spans="8:9" s="387" customFormat="1">
      <c r="H70" s="414"/>
      <c r="I70" s="414"/>
    </row>
    <row r="71" spans="8:9" s="387" customFormat="1">
      <c r="H71" s="414"/>
      <c r="I71" s="414"/>
    </row>
    <row r="72" spans="8:9" s="387" customFormat="1">
      <c r="H72" s="414"/>
      <c r="I72" s="414"/>
    </row>
    <row r="73" spans="8:9" s="387" customFormat="1">
      <c r="H73" s="414"/>
      <c r="I73" s="414"/>
    </row>
    <row r="74" spans="8:9" s="387" customFormat="1">
      <c r="H74" s="414"/>
      <c r="I74" s="414"/>
    </row>
    <row r="75" spans="8:9" s="387" customFormat="1">
      <c r="H75" s="414"/>
      <c r="I75" s="414"/>
    </row>
    <row r="76" spans="8:9" s="387" customFormat="1">
      <c r="H76" s="414"/>
      <c r="I76" s="414"/>
    </row>
    <row r="77" spans="8:9" s="387" customFormat="1">
      <c r="H77" s="414"/>
      <c r="I77" s="414"/>
    </row>
    <row r="78" spans="8:9" s="387" customFormat="1">
      <c r="H78" s="414"/>
      <c r="I78" s="414"/>
    </row>
    <row r="79" spans="8:9" s="387" customFormat="1">
      <c r="H79" s="414"/>
      <c r="I79" s="414"/>
    </row>
    <row r="80" spans="8:9" s="387" customFormat="1">
      <c r="H80" s="414"/>
      <c r="I80" s="414"/>
    </row>
    <row r="81" spans="8:9" s="387" customFormat="1">
      <c r="H81" s="414"/>
      <c r="I81" s="414"/>
    </row>
    <row r="82" spans="8:9" s="387" customFormat="1">
      <c r="H82" s="414"/>
      <c r="I82" s="414"/>
    </row>
    <row r="83" spans="8:9" s="387" customFormat="1">
      <c r="H83" s="414"/>
      <c r="I83" s="414"/>
    </row>
    <row r="84" spans="8:9" s="387" customFormat="1">
      <c r="H84" s="414"/>
      <c r="I84" s="414"/>
    </row>
    <row r="85" spans="8:9" s="387" customFormat="1">
      <c r="H85" s="414"/>
      <c r="I85" s="414"/>
    </row>
    <row r="86" spans="8:9" s="387" customFormat="1">
      <c r="H86" s="414"/>
      <c r="I86" s="414"/>
    </row>
    <row r="87" spans="8:9" s="387" customFormat="1">
      <c r="H87" s="414"/>
      <c r="I87" s="414"/>
    </row>
    <row r="88" spans="8:9" s="387" customFormat="1">
      <c r="H88" s="414"/>
      <c r="I88" s="414"/>
    </row>
    <row r="89" spans="8:9" s="387" customFormat="1">
      <c r="H89" s="414"/>
      <c r="I89" s="414"/>
    </row>
    <row r="90" spans="8:9" s="387" customFormat="1">
      <c r="H90" s="414"/>
      <c r="I90" s="414"/>
    </row>
    <row r="91" spans="8:9" s="387" customFormat="1">
      <c r="H91" s="414"/>
      <c r="I91" s="414"/>
    </row>
    <row r="92" spans="8:9" s="387" customFormat="1">
      <c r="H92" s="414"/>
      <c r="I92" s="414"/>
    </row>
    <row r="93" spans="8:9" s="387" customFormat="1">
      <c r="H93" s="414"/>
      <c r="I93" s="414"/>
    </row>
    <row r="94" spans="8:9" s="387" customFormat="1">
      <c r="H94" s="414"/>
      <c r="I94" s="414"/>
    </row>
    <row r="95" spans="8:9" s="387" customFormat="1">
      <c r="H95" s="414"/>
      <c r="I95" s="414"/>
    </row>
    <row r="96" spans="8:9" s="387" customFormat="1">
      <c r="H96" s="414"/>
      <c r="I96" s="414"/>
    </row>
    <row r="97" spans="8:9" s="387" customFormat="1">
      <c r="H97" s="414"/>
      <c r="I97" s="414"/>
    </row>
    <row r="98" spans="8:9" s="387" customFormat="1">
      <c r="H98" s="414"/>
      <c r="I98" s="414"/>
    </row>
    <row r="99" spans="8:9" s="387" customFormat="1">
      <c r="H99" s="414"/>
      <c r="I99" s="414"/>
    </row>
    <row r="100" spans="8:9" s="387" customFormat="1">
      <c r="H100" s="414"/>
      <c r="I100" s="414"/>
    </row>
    <row r="101" spans="8:9" s="387" customFormat="1">
      <c r="H101" s="414"/>
      <c r="I101" s="414"/>
    </row>
    <row r="102" spans="8:9" s="387" customFormat="1">
      <c r="H102" s="414"/>
      <c r="I102" s="414"/>
    </row>
    <row r="103" spans="8:9" s="387" customFormat="1">
      <c r="H103" s="414"/>
      <c r="I103" s="414"/>
    </row>
    <row r="104" spans="8:9" s="387" customFormat="1">
      <c r="H104" s="414"/>
      <c r="I104" s="414"/>
    </row>
    <row r="105" spans="8:9" s="387" customFormat="1">
      <c r="H105" s="414"/>
      <c r="I105" s="414"/>
    </row>
    <row r="106" spans="8:9" s="387" customFormat="1">
      <c r="H106" s="414"/>
      <c r="I106" s="414"/>
    </row>
    <row r="107" spans="8:9" s="387" customFormat="1">
      <c r="H107" s="414"/>
      <c r="I107" s="414"/>
    </row>
    <row r="108" spans="8:9" s="387" customFormat="1">
      <c r="H108" s="414"/>
      <c r="I108" s="414"/>
    </row>
    <row r="109" spans="8:9" s="387" customFormat="1">
      <c r="H109" s="414"/>
      <c r="I109" s="414"/>
    </row>
    <row r="110" spans="8:9" s="387" customFormat="1">
      <c r="H110" s="414"/>
      <c r="I110" s="414"/>
    </row>
    <row r="111" spans="8:9" s="387" customFormat="1">
      <c r="H111" s="414"/>
      <c r="I111" s="414"/>
    </row>
    <row r="112" spans="8:9" s="387" customFormat="1">
      <c r="H112" s="414"/>
      <c r="I112" s="414"/>
    </row>
    <row r="113" spans="8:9" s="387" customFormat="1">
      <c r="H113" s="414"/>
      <c r="I113" s="414"/>
    </row>
    <row r="114" spans="8:9" s="387" customFormat="1">
      <c r="H114" s="414"/>
      <c r="I114" s="414"/>
    </row>
    <row r="115" spans="8:9" s="387" customFormat="1">
      <c r="H115" s="414"/>
      <c r="I115" s="414"/>
    </row>
    <row r="116" spans="8:9" s="387" customFormat="1">
      <c r="H116" s="414"/>
      <c r="I116" s="414"/>
    </row>
    <row r="117" spans="8:9" s="387" customFormat="1">
      <c r="H117" s="414"/>
      <c r="I117" s="414"/>
    </row>
    <row r="118" spans="8:9" s="387" customFormat="1">
      <c r="H118" s="414"/>
      <c r="I118" s="414"/>
    </row>
    <row r="119" spans="8:9" s="387" customFormat="1">
      <c r="H119" s="414"/>
      <c r="I119" s="414"/>
    </row>
    <row r="120" spans="8:9" s="387" customFormat="1">
      <c r="H120" s="414"/>
      <c r="I120" s="414"/>
    </row>
    <row r="121" spans="8:9" s="387" customFormat="1">
      <c r="H121" s="414"/>
      <c r="I121" s="414"/>
    </row>
    <row r="122" spans="8:9" s="387" customFormat="1">
      <c r="H122" s="414"/>
      <c r="I122" s="414"/>
    </row>
    <row r="123" spans="8:9" s="387" customFormat="1">
      <c r="H123" s="414"/>
      <c r="I123" s="414"/>
    </row>
    <row r="124" spans="8:9" s="387" customFormat="1">
      <c r="H124" s="414"/>
      <c r="I124" s="414"/>
    </row>
    <row r="125" spans="8:9" s="387" customFormat="1">
      <c r="H125" s="414"/>
      <c r="I125" s="414"/>
    </row>
    <row r="126" spans="8:9" s="387" customFormat="1">
      <c r="H126" s="414"/>
      <c r="I126" s="414"/>
    </row>
    <row r="127" spans="8:9" s="387" customFormat="1">
      <c r="H127" s="414"/>
      <c r="I127" s="414"/>
    </row>
    <row r="128" spans="8:9" s="387" customFormat="1">
      <c r="H128" s="414"/>
      <c r="I128" s="414"/>
    </row>
    <row r="129" spans="8:9" s="387" customFormat="1">
      <c r="H129" s="414"/>
      <c r="I129" s="414"/>
    </row>
    <row r="130" spans="8:9" s="387" customFormat="1">
      <c r="H130" s="414"/>
      <c r="I130" s="414"/>
    </row>
    <row r="131" spans="8:9" s="387" customFormat="1">
      <c r="H131" s="414"/>
      <c r="I131" s="414"/>
    </row>
    <row r="132" spans="8:9" s="387" customFormat="1">
      <c r="H132" s="414"/>
      <c r="I132" s="414"/>
    </row>
    <row r="133" spans="8:9" s="387" customFormat="1">
      <c r="H133" s="414"/>
      <c r="I133" s="414"/>
    </row>
    <row r="134" spans="8:9" s="387" customFormat="1">
      <c r="H134" s="414"/>
      <c r="I134" s="414"/>
    </row>
    <row r="135" spans="8:9" s="387" customFormat="1">
      <c r="H135" s="414"/>
      <c r="I135" s="414"/>
    </row>
    <row r="136" spans="8:9" s="387" customFormat="1">
      <c r="H136" s="414"/>
      <c r="I136" s="414"/>
    </row>
    <row r="137" spans="8:9" s="388" customFormat="1">
      <c r="H137" s="415"/>
      <c r="I137" s="415"/>
    </row>
    <row r="138" spans="8:9" s="388" customFormat="1">
      <c r="H138" s="415"/>
      <c r="I138" s="415"/>
    </row>
    <row r="139" spans="8:9" s="388" customFormat="1">
      <c r="H139" s="415"/>
      <c r="I139" s="415"/>
    </row>
    <row r="140" spans="8:9" s="388" customFormat="1">
      <c r="H140" s="415"/>
      <c r="I140" s="415"/>
    </row>
    <row r="141" spans="8:9" s="388" customFormat="1">
      <c r="H141" s="415"/>
      <c r="I141" s="415"/>
    </row>
    <row r="142" spans="8:9" s="388" customFormat="1">
      <c r="H142" s="415"/>
      <c r="I142" s="415"/>
    </row>
    <row r="143" spans="8:9" s="388" customFormat="1">
      <c r="H143" s="415"/>
      <c r="I143" s="415"/>
    </row>
    <row r="144" spans="8:9" s="388" customFormat="1">
      <c r="H144" s="415"/>
      <c r="I144" s="415"/>
    </row>
    <row r="145" spans="8:9" s="388" customFormat="1">
      <c r="H145" s="415"/>
      <c r="I145" s="415"/>
    </row>
    <row r="146" spans="8:9" s="388" customFormat="1">
      <c r="H146" s="415"/>
      <c r="I146" s="415"/>
    </row>
    <row r="147" spans="8:9" s="388" customFormat="1">
      <c r="H147" s="415"/>
      <c r="I147" s="415"/>
    </row>
    <row r="148" spans="8:9" s="388" customFormat="1">
      <c r="H148" s="415"/>
      <c r="I148" s="415"/>
    </row>
    <row r="149" spans="8:9" s="388" customFormat="1">
      <c r="H149" s="415"/>
      <c r="I149" s="415"/>
    </row>
    <row r="150" spans="8:9" s="388" customFormat="1">
      <c r="H150" s="415"/>
      <c r="I150" s="415"/>
    </row>
    <row r="151" spans="8:9" s="388" customFormat="1">
      <c r="H151" s="415"/>
      <c r="I151" s="415"/>
    </row>
    <row r="152" spans="8:9" s="388" customFormat="1">
      <c r="H152" s="415"/>
      <c r="I152" s="415"/>
    </row>
    <row r="153" spans="8:9" s="369" customFormat="1">
      <c r="H153" s="416"/>
      <c r="I153" s="416"/>
    </row>
    <row r="154" spans="8:9" s="369" customFormat="1">
      <c r="H154" s="416"/>
      <c r="I154" s="416"/>
    </row>
    <row r="155" spans="8:9" s="369" customFormat="1">
      <c r="H155" s="416"/>
      <c r="I155" s="416"/>
    </row>
    <row r="156" spans="8:9" s="369" customFormat="1">
      <c r="H156" s="416"/>
      <c r="I156" s="416"/>
    </row>
  </sheetData>
  <phoneticPr fontId="4" type="noConversion"/>
  <conditionalFormatting sqref="A5:U55">
    <cfRule type="expression" dxfId="17" priority="3">
      <formula>$D5=1</formula>
    </cfRule>
    <cfRule type="expression" dxfId="16" priority="4">
      <formula>$D5=0</formula>
    </cfRule>
  </conditionalFormatting>
  <pageMargins left="0.55118110236220474" right="0.55118110236220474" top="0.59055118110236227" bottom="0.78740157480314965" header="0.51181102362204722" footer="0.51181102362204722"/>
  <pageSetup paperSize="9" scale="42" orientation="landscape" horizontalDpi="1200" verticalDpi="1200" r:id="rId1"/>
  <headerFooter alignWithMargins="0">
    <oddHeader>&amp;RResultados del Modelo de Reciclaje Inclusivo</oddHeader>
  </headerFooter>
  <drawing r:id="rId2"/>
</worksheet>
</file>

<file path=xl/worksheets/sheet35.xml><?xml version="1.0" encoding="utf-8"?>
<worksheet xmlns="http://schemas.openxmlformats.org/spreadsheetml/2006/main" xmlns:r="http://schemas.openxmlformats.org/officeDocument/2006/relationships">
  <sheetPr codeName="Sheet42">
    <tabColor rgb="FFFFFF00"/>
    <pageSetUpPr fitToPage="1"/>
  </sheetPr>
  <dimension ref="A2:W15"/>
  <sheetViews>
    <sheetView showRowColHeaders="0" zoomScale="80" zoomScaleNormal="80" workbookViewId="0">
      <selection activeCell="B11" sqref="B11"/>
    </sheetView>
  </sheetViews>
  <sheetFormatPr defaultRowHeight="15"/>
  <cols>
    <col min="1" max="1" width="12.42578125" customWidth="1"/>
  </cols>
  <sheetData>
    <row r="2" spans="1:23">
      <c r="A2" t="str">
        <f>uxb_works!A24</f>
        <v>CITY1_ID</v>
      </c>
      <c r="B2" s="28">
        <f>uxb_works!B24</f>
        <v>1</v>
      </c>
      <c r="C2" s="28" t="str">
        <f ca="1">uxb_works!C24</f>
        <v>Asunción</v>
      </c>
      <c r="D2" s="28">
        <f>uxb_works!D24</f>
        <v>0</v>
      </c>
      <c r="E2" s="28">
        <f ca="1">uxb_works!E24</f>
        <v>1</v>
      </c>
      <c r="F2" s="28" t="str">
        <f>uxb_works!F24</f>
        <v xml:space="preserve"> Paraguay</v>
      </c>
      <c r="G2" s="28"/>
      <c r="H2" s="28"/>
      <c r="I2" s="28"/>
      <c r="J2" s="28"/>
      <c r="K2" s="28"/>
      <c r="L2" s="28"/>
      <c r="M2" s="28"/>
      <c r="N2" s="28"/>
      <c r="O2" s="28"/>
      <c r="P2" s="28"/>
      <c r="Q2" s="28"/>
      <c r="R2" s="28"/>
      <c r="S2" s="28"/>
      <c r="T2" s="28"/>
      <c r="U2" s="28"/>
      <c r="V2" s="28"/>
      <c r="W2" s="28"/>
    </row>
    <row r="3" spans="1:23">
      <c r="A3" t="str">
        <f>uxb_works!A116</f>
        <v>Indi_Select</v>
      </c>
      <c r="B3" s="28">
        <f>uxb_works!B116</f>
        <v>1</v>
      </c>
      <c r="C3" s="28">
        <f>uxb_works!C116</f>
        <v>4</v>
      </c>
      <c r="D3" s="28" t="str">
        <f>uxb_works!D116</f>
        <v>1.1.1) 1.¿ Existe un marco legal nacional para la gestión de residuos orientado al reciclaje con la inclusión de actores informales?</v>
      </c>
      <c r="E3" s="28"/>
      <c r="F3" s="28"/>
      <c r="G3" s="28"/>
      <c r="H3" s="28"/>
      <c r="I3" s="28"/>
      <c r="J3" s="28"/>
      <c r="K3" s="28"/>
      <c r="L3" s="28"/>
      <c r="M3" s="28"/>
      <c r="N3" s="28"/>
      <c r="O3" s="28"/>
      <c r="P3" s="28"/>
      <c r="Q3" s="28"/>
      <c r="R3" s="28"/>
      <c r="S3" s="28"/>
      <c r="T3" s="28"/>
      <c r="U3" s="28"/>
      <c r="V3" s="28"/>
      <c r="W3" s="28"/>
    </row>
    <row r="4" spans="1:23">
      <c r="A4" s="28" t="s">
        <v>2148</v>
      </c>
      <c r="B4">
        <f>INDEX(tblIndiSets!B90:B126,iCity_Description!B3)</f>
        <v>4</v>
      </c>
    </row>
    <row r="5" spans="1:23">
      <c r="A5" s="28" t="s">
        <v>2144</v>
      </c>
      <c r="B5" t="str">
        <f>INDEX('Definicion de la ciudad'!C3:N3,iCity_Description!$B$2)</f>
        <v>Asunción se encuentra ubicada a la margen izquierda del rio Paraguay, frente a la confluencia del mismo con el rio Pilcomayo. La ciudad, conformada por 6 distritos y 68 barrios, limita al noroeste con la ciudad de Mariano Roque Alonso, al este con las ciudades de Luque y Fernando de la Mora y al sur con las ciudades de Lambaré y Villa Elisa. Asunción es un municipio autónomo, no adscrita a ningún departamento.</v>
      </c>
    </row>
    <row r="6" spans="1:23">
      <c r="A6" s="28" t="s">
        <v>2145</v>
      </c>
      <c r="B6" s="28" t="str">
        <f>IF(ISBLANK(INDEX('Definicion de la ciudad'!C4:N4,iCity_Description!$B$2)),"",INDEX('Definicion de la ciudad'!C4:N4,iCity_Description!$B$2))</f>
        <v/>
      </c>
    </row>
    <row r="7" spans="1:23">
      <c r="A7" s="28" t="s">
        <v>2146</v>
      </c>
      <c r="B7" s="28" t="str">
        <f>IF(ISBLANK(INDEX('Definicion de la ciudad'!C5:N5,iCity_Description!$B$2)),"",INDEX('Definicion de la ciudad'!C5:N5,iCity_Description!$B$2))</f>
        <v/>
      </c>
    </row>
    <row r="9" spans="1:23">
      <c r="A9" s="28" t="s">
        <v>419</v>
      </c>
      <c r="B9" t="str">
        <f>D3</f>
        <v>1.1.1) 1.¿ Existe un marco legal nacional para la gestión de residuos orientado al reciclaje con la inclusión de actores informales?</v>
      </c>
    </row>
    <row r="10" spans="1:23">
      <c r="A10" s="28" t="s">
        <v>2150</v>
      </c>
      <c r="B10" t="str">
        <f>INDEX(tblIndicators!$O$2:$O$52,iCity_Description!$B$4)</f>
        <v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v>
      </c>
    </row>
    <row r="11" spans="1:23">
      <c r="A11" s="28" t="s">
        <v>2147</v>
      </c>
      <c r="B11">
        <f>INDEX(aResult,$B$3,$B$2)</f>
        <v>0</v>
      </c>
    </row>
    <row r="12" spans="1:23">
      <c r="A12" s="28" t="s">
        <v>42</v>
      </c>
      <c r="B12">
        <f ca="1">INDEX(aScores,$B$4,$B$2)</f>
        <v>0</v>
      </c>
    </row>
    <row r="13" spans="1:23">
      <c r="A13" s="28" t="s">
        <v>67</v>
      </c>
      <c r="B13">
        <f ca="1">INDEX(rScores!$AA$2:$AA$52,C3)</f>
        <v>37.5</v>
      </c>
    </row>
    <row r="14" spans="1:23">
      <c r="A14" s="28" t="s">
        <v>816</v>
      </c>
      <c r="B14" t="str">
        <f>INDEX(aJustifications,$B$3,$B$2)</f>
        <v xml:space="preserve">La Ley Nº 3956 de 2009 sobre Gestión Integral de los Residuos Sólidos establece el régimen jurídico para la producción y gestión responsable de los residuos sólidos. Si bien la ley en el Artículo 23 reconoce y menciona el reciclaje, lo hace de manera general y no contempla la inclusión de los actores informales. La Ley solo reconoce como “sistemas de aprovechamiento”, el reciclaje, la recuperación, la reducción, el compostaje, la lombricultura y otros que la tecnología desarrolle y tenga habilitación de las autoridades competentes" dejando de lado cualquier mención relacionada a los recicladores informales.  [1,2]
 </v>
      </c>
    </row>
    <row r="15" spans="1:23">
      <c r="A15" s="28" t="s">
        <v>2149</v>
      </c>
      <c r="B15" s="28" t="str">
        <f>INDEX(aRef,$B$3,$B$2)</f>
        <v>[1] Congreso de la Nación Paraguaya, "LEY Nº 3956
GESTIÓN  INTEGRAL DE LOS RESIDUOS SÓLIDOS EN LA REPÚBLICA DEL PARAGUAY" publicada el 28 de Diciembre de 2009 [http://www.bacn.gov.py/MzIwOA==&amp;ley-n-3956] 
[2] Flores, Laura Emilce. Dirección General de Salud Ambiental, Ministerio de Salud Publica y Bienestar Social. 8 de Septiembre de 2016</v>
      </c>
    </row>
  </sheetData>
  <pageMargins left="0.55118110236220474" right="0.55118110236220474" top="0.59055118110236227" bottom="0.78740157480314965" header="0.51181102362204722" footer="0.51181102362204722"/>
  <pageSetup paperSize="9" scale="16" orientation="landscape" r:id="rId1"/>
  <headerFooter alignWithMargins="0">
    <oddHeader>&amp;RResultados del Modelo de Reciclaje Inclusivo</oddHeader>
  </headerFooter>
</worksheet>
</file>

<file path=xl/worksheets/sheet36.xml><?xml version="1.0" encoding="utf-8"?>
<worksheet xmlns="http://schemas.openxmlformats.org/spreadsheetml/2006/main" xmlns:r="http://schemas.openxmlformats.org/officeDocument/2006/relationships">
  <sheetPr codeName="Sheet45">
    <tabColor rgb="FFFFFF00"/>
    <pageSetUpPr fitToPage="1"/>
  </sheetPr>
  <dimension ref="A2:F10"/>
  <sheetViews>
    <sheetView showRowColHeaders="0" zoomScale="80" zoomScaleNormal="80" workbookViewId="0">
      <selection activeCell="B1" sqref="B1"/>
    </sheetView>
  </sheetViews>
  <sheetFormatPr defaultRowHeight="15"/>
  <cols>
    <col min="1" max="1" width="12.42578125" style="28" customWidth="1"/>
    <col min="2" max="16384" width="9.140625" style="28"/>
  </cols>
  <sheetData>
    <row r="2" spans="1:6">
      <c r="A2" s="28" t="str">
        <f>uxb_works!A24</f>
        <v>CITY1_ID</v>
      </c>
      <c r="B2" s="28">
        <f>uxb_works!B24</f>
        <v>1</v>
      </c>
      <c r="C2" s="28" t="str">
        <f ca="1">uxb_works!C24</f>
        <v>Asunción</v>
      </c>
      <c r="D2" s="28">
        <f>uxb_works!D24</f>
        <v>0</v>
      </c>
      <c r="E2" s="28">
        <f ca="1">uxb_works!E24</f>
        <v>1</v>
      </c>
      <c r="F2" s="28" t="str">
        <f>uxb_works!F24</f>
        <v xml:space="preserve"> Paraguay</v>
      </c>
    </row>
    <row r="4" spans="1:6">
      <c r="A4" s="28" t="s">
        <v>1706</v>
      </c>
      <c r="B4" s="28">
        <f>uxb_works!B120</f>
        <v>1</v>
      </c>
      <c r="C4" s="28" t="str">
        <f>uxb_works!C120</f>
        <v>P1. Número de recicladores de base en el municipio</v>
      </c>
    </row>
    <row r="5" spans="1:6">
      <c r="A5" s="28" t="s">
        <v>2158</v>
      </c>
      <c r="B5" s="28" t="str">
        <f>INDEX(Definition!$C$3:$N$17,$B$4,$B$2)</f>
        <v>Personas fisicas dedicadas a recuperar, separar o reducir, de los residuos urbanos, aquellos que posean valor comercial para su reutilizacion o reciclaje</v>
      </c>
    </row>
    <row r="6" spans="1:6">
      <c r="A6" s="28" t="s">
        <v>2159</v>
      </c>
      <c r="B6" s="28">
        <f>INDEX(Year!$C$3:$N$17,$B$4,$B$2)</f>
        <v>2014</v>
      </c>
    </row>
    <row r="7" spans="1:6">
      <c r="A7" s="28" t="s">
        <v>2160</v>
      </c>
      <c r="B7" s="28" t="str">
        <f>INDEX(Source!$C$3:$N$17,$B$4,$B$2)</f>
        <v xml:space="preserve"> Ordenanza Municipal 408/14 "GESTION INTEGRAL DE LOS RESIDUOS SOLIDOS URBANOS Y LA PROMOCION DE LA CULTURA DE BASURA CERO."</v>
      </c>
    </row>
    <row r="8" spans="1:6">
      <c r="A8" s="28" t="s">
        <v>2161</v>
      </c>
      <c r="B8" s="28" t="str">
        <f>INDEX(Units!$C$3:$N$17,$B$4,$B$2)</f>
        <v>N/D</v>
      </c>
    </row>
    <row r="9" spans="1:6">
      <c r="A9" s="28" t="s">
        <v>2162</v>
      </c>
      <c r="B9" s="577" t="str">
        <f>INDEX(ResultsAdd!$C$3:$N$17,$B$4,$B$2)</f>
        <v>N/D</v>
      </c>
    </row>
    <row r="10" spans="1:6">
      <c r="A10" s="28" t="s">
        <v>2163</v>
      </c>
      <c r="B10" s="28" t="str">
        <f>INDEX(Notes!$C$3:$N$17,$B$4,$B$2)</f>
        <v>Un estimado de 4.000 recicladores según estas fuentes
[1]Ultima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v>
      </c>
    </row>
  </sheetData>
  <pageMargins left="0.55118110236220474" right="0.55118110236220474" top="0.59055118110236227" bottom="0.78740157480314965" header="0.51181102362204722" footer="0.51181102362204722"/>
  <pageSetup paperSize="9" orientation="landscape" r:id="rId1"/>
  <headerFooter alignWithMargins="0">
    <oddHeader>&amp;RResultados del Modelo de Reciclaje Inclusivo</oddHeader>
  </headerFooter>
</worksheet>
</file>

<file path=xl/worksheets/sheet37.xml><?xml version="1.0" encoding="utf-8"?>
<worksheet xmlns="http://schemas.openxmlformats.org/spreadsheetml/2006/main" xmlns:r="http://schemas.openxmlformats.org/officeDocument/2006/relationships">
  <sheetPr codeName="Sheet9">
    <pageSetUpPr fitToPage="1"/>
  </sheetPr>
  <dimension ref="A1:BV157"/>
  <sheetViews>
    <sheetView showGridLines="0" showRowColHeaders="0" zoomScale="80" zoomScaleNormal="80" workbookViewId="0">
      <pane xSplit="8" ySplit="6" topLeftCell="I7" activePane="bottomRight" state="frozen"/>
      <selection pane="topRight" activeCell="I1" sqref="I1"/>
      <selection pane="bottomLeft" activeCell="A7" sqref="A7"/>
      <selection pane="bottomRight"/>
    </sheetView>
  </sheetViews>
  <sheetFormatPr defaultRowHeight="15" zeroHeight="1"/>
  <cols>
    <col min="1" max="1" width="2.7109375" style="364" customWidth="1"/>
    <col min="2" max="4" width="9.7109375" style="365" hidden="1" customWidth="1"/>
    <col min="5" max="7" width="9.7109375" style="366" hidden="1" customWidth="1"/>
    <col min="8" max="8" width="80.28515625" style="389" customWidth="1"/>
    <col min="9" max="9" width="18.140625" style="557" customWidth="1"/>
    <col min="10" max="20" width="16" style="709" customWidth="1"/>
    <col min="21" max="21" width="14.28515625" style="709" bestFit="1" customWidth="1"/>
    <col min="22" max="22" width="16" style="709" hidden="1" customWidth="1"/>
    <col min="23" max="31" width="13.85546875" style="709" hidden="1" customWidth="1"/>
    <col min="32" max="44" width="9.140625" style="708"/>
    <col min="45" max="74" width="9.140625" style="369"/>
    <col min="75" max="16384" width="9.140625" style="370"/>
  </cols>
  <sheetData>
    <row r="1" spans="1:74" s="213" customFormat="1" ht="26.1" customHeight="1">
      <c r="A1" s="564" t="str">
        <f>lang!C3</f>
        <v>Reciclaje Inclusivo: Modelo Interactivo de Excel</v>
      </c>
      <c r="B1" s="212"/>
      <c r="C1" s="212"/>
      <c r="D1" s="212"/>
      <c r="E1" s="212"/>
      <c r="F1" s="212"/>
      <c r="G1" s="212"/>
      <c r="H1" s="212"/>
      <c r="I1" s="661"/>
      <c r="J1" s="665"/>
      <c r="K1" s="665"/>
      <c r="L1" s="665"/>
      <c r="M1" s="666"/>
      <c r="N1" s="666"/>
      <c r="O1" s="666"/>
      <c r="P1" s="665"/>
      <c r="Q1" s="666"/>
      <c r="R1" s="667"/>
      <c r="S1" s="667"/>
      <c r="T1" s="666"/>
      <c r="U1" s="666"/>
      <c r="V1" s="666"/>
      <c r="W1" s="666"/>
      <c r="X1" s="666"/>
      <c r="Y1" s="666"/>
      <c r="Z1" s="666"/>
      <c r="AA1" s="666"/>
      <c r="AB1" s="666"/>
      <c r="AC1" s="666"/>
      <c r="AD1" s="666"/>
      <c r="AE1" s="666"/>
      <c r="AF1" s="666"/>
      <c r="AG1" s="666"/>
      <c r="AH1" s="666"/>
      <c r="AI1" s="666"/>
      <c r="AJ1" s="666"/>
      <c r="AK1" s="666"/>
      <c r="AL1" s="666"/>
      <c r="AM1" s="666"/>
      <c r="AN1" s="666"/>
      <c r="AO1" s="666"/>
      <c r="AP1" s="666"/>
      <c r="AQ1" s="666"/>
      <c r="AR1" s="666"/>
      <c r="BA1" s="329">
        <v>4</v>
      </c>
      <c r="BB1" s="329">
        <v>0</v>
      </c>
    </row>
    <row r="2" spans="1:74" s="213" customFormat="1" ht="30" customHeight="1">
      <c r="A2" s="211"/>
      <c r="B2" s="212"/>
      <c r="C2" s="212"/>
      <c r="D2" s="212"/>
      <c r="E2" s="212"/>
      <c r="F2" s="212"/>
      <c r="G2" s="212"/>
      <c r="H2" s="212"/>
      <c r="I2" s="661"/>
      <c r="J2" s="665"/>
      <c r="K2" s="665"/>
      <c r="L2" s="665"/>
      <c r="M2" s="666"/>
      <c r="N2" s="666"/>
      <c r="O2" s="666"/>
      <c r="P2" s="665"/>
      <c r="Q2" s="666"/>
      <c r="R2" s="667"/>
      <c r="S2" s="667"/>
      <c r="T2" s="666"/>
      <c r="U2" s="666"/>
      <c r="V2" s="668">
        <f>IF(uxb_works!$B$124&gt;=DataDisplay!V3,1,0)</f>
        <v>0</v>
      </c>
      <c r="W2" s="668">
        <f>IF(uxb_works!$B$124&gt;=DataDisplay!W3,1,0)</f>
        <v>0</v>
      </c>
      <c r="X2" s="668">
        <f>IF(uxb_works!$B$124&gt;=DataDisplay!X3,1,0)</f>
        <v>0</v>
      </c>
      <c r="Y2" s="668">
        <f>IF(uxb_works!$B$124&gt;=DataDisplay!Y3,1,0)</f>
        <v>0</v>
      </c>
      <c r="Z2" s="668">
        <f>IF(uxb_works!$B$124&gt;=DataDisplay!Z3,1,0)</f>
        <v>0</v>
      </c>
      <c r="AA2" s="668">
        <f>IF(uxb_works!$B$124&gt;=DataDisplay!AA3,1,0)</f>
        <v>0</v>
      </c>
      <c r="AB2" s="668">
        <f>IF(uxb_works!$B$124&gt;=DataDisplay!AB3,1,0)</f>
        <v>0</v>
      </c>
      <c r="AC2" s="668">
        <f>IF(uxb_works!$B$124&gt;=DataDisplay!AC3,1,0)</f>
        <v>0</v>
      </c>
      <c r="AD2" s="668">
        <f>IF(uxb_works!$B$124&gt;=DataDisplay!AD3,1,0)</f>
        <v>0</v>
      </c>
      <c r="AE2" s="668">
        <f>IF(uxb_works!$B$124&gt;=DataDisplay!AE3,1,0)</f>
        <v>0</v>
      </c>
      <c r="AF2" s="666"/>
      <c r="AG2" s="666"/>
      <c r="AH2" s="666"/>
      <c r="AI2" s="666"/>
      <c r="AJ2" s="666"/>
      <c r="AK2" s="666"/>
      <c r="AL2" s="666"/>
      <c r="AM2" s="666"/>
      <c r="AN2" s="666"/>
      <c r="AO2" s="666"/>
      <c r="AP2" s="666"/>
      <c r="AQ2" s="666"/>
      <c r="AR2" s="666"/>
      <c r="BA2" s="329"/>
      <c r="BB2" s="329"/>
    </row>
    <row r="3" spans="1:74" s="214" customFormat="1" ht="65.099999999999994" customHeight="1">
      <c r="A3" s="215"/>
      <c r="B3" s="215"/>
      <c r="C3" s="215"/>
      <c r="D3" s="215"/>
      <c r="E3" s="215"/>
      <c r="F3" s="215"/>
      <c r="G3" s="215"/>
      <c r="H3" s="215"/>
      <c r="I3" s="662"/>
      <c r="J3" s="669"/>
      <c r="K3" s="669"/>
      <c r="L3" s="669"/>
      <c r="M3" s="667"/>
      <c r="N3" s="667"/>
      <c r="O3" s="667"/>
      <c r="P3" s="669"/>
      <c r="Q3" s="667"/>
      <c r="R3" s="667"/>
      <c r="S3" s="667"/>
      <c r="T3" s="667"/>
      <c r="U3" s="667"/>
      <c r="V3" s="670">
        <v>1</v>
      </c>
      <c r="W3" s="670">
        <v>2</v>
      </c>
      <c r="X3" s="670">
        <v>3</v>
      </c>
      <c r="Y3" s="670">
        <v>4</v>
      </c>
      <c r="Z3" s="670">
        <v>5</v>
      </c>
      <c r="AA3" s="670">
        <v>6</v>
      </c>
      <c r="AB3" s="670">
        <v>7</v>
      </c>
      <c r="AC3" s="670">
        <v>8</v>
      </c>
      <c r="AD3" s="670">
        <v>9</v>
      </c>
      <c r="AE3" s="670">
        <v>10</v>
      </c>
      <c r="AF3" s="667"/>
      <c r="AG3" s="667"/>
      <c r="AH3" s="667"/>
      <c r="AI3" s="667"/>
      <c r="AJ3" s="667"/>
      <c r="AK3" s="667"/>
      <c r="AL3" s="667"/>
      <c r="AM3" s="667"/>
      <c r="AN3" s="667"/>
      <c r="AO3" s="667"/>
      <c r="AP3" s="667"/>
      <c r="AQ3" s="667"/>
      <c r="AR3" s="667"/>
    </row>
    <row r="4" spans="1:74" ht="15" hidden="1" customHeight="1">
      <c r="H4" s="368"/>
      <c r="I4" s="552">
        <v>0</v>
      </c>
      <c r="J4" s="671">
        <f>I4+1</f>
        <v>1</v>
      </c>
      <c r="K4" s="671">
        <f t="shared" ref="K4:U4" si="0">J4+1</f>
        <v>2</v>
      </c>
      <c r="L4" s="671">
        <f t="shared" si="0"/>
        <v>3</v>
      </c>
      <c r="M4" s="671">
        <f t="shared" si="0"/>
        <v>4</v>
      </c>
      <c r="N4" s="671">
        <f t="shared" si="0"/>
        <v>5</v>
      </c>
      <c r="O4" s="671">
        <f t="shared" si="0"/>
        <v>6</v>
      </c>
      <c r="P4" s="671">
        <f t="shared" si="0"/>
        <v>7</v>
      </c>
      <c r="Q4" s="671">
        <f t="shared" si="0"/>
        <v>8</v>
      </c>
      <c r="R4" s="671">
        <f t="shared" si="0"/>
        <v>9</v>
      </c>
      <c r="S4" s="671">
        <f t="shared" si="0"/>
        <v>10</v>
      </c>
      <c r="T4" s="671">
        <f t="shared" si="0"/>
        <v>11</v>
      </c>
      <c r="U4" s="671">
        <f t="shared" si="0"/>
        <v>12</v>
      </c>
      <c r="V4" s="671">
        <f t="shared" ref="V4" si="1">U4+1</f>
        <v>13</v>
      </c>
      <c r="W4" s="671">
        <f t="shared" ref="W4" si="2">V4+1</f>
        <v>14</v>
      </c>
      <c r="X4" s="671">
        <f t="shared" ref="X4" si="3">W4+1</f>
        <v>15</v>
      </c>
      <c r="Y4" s="671">
        <f t="shared" ref="Y4" si="4">X4+1</f>
        <v>16</v>
      </c>
      <c r="Z4" s="671">
        <f t="shared" ref="Z4" si="5">Y4+1</f>
        <v>17</v>
      </c>
      <c r="AA4" s="671">
        <f t="shared" ref="AA4" si="6">Z4+1</f>
        <v>18</v>
      </c>
      <c r="AB4" s="671">
        <f t="shared" ref="AB4" si="7">AA4+1</f>
        <v>19</v>
      </c>
      <c r="AC4" s="671">
        <f t="shared" ref="AC4" si="8">AB4+1</f>
        <v>20</v>
      </c>
      <c r="AD4" s="671">
        <f t="shared" ref="AD4" si="9">AC4+1</f>
        <v>21</v>
      </c>
      <c r="AE4" s="671">
        <f t="shared" ref="AE4" si="10">AD4+1</f>
        <v>22</v>
      </c>
      <c r="AF4" s="672"/>
      <c r="AG4" s="672"/>
      <c r="AH4" s="672"/>
      <c r="AI4" s="672"/>
      <c r="AJ4" s="672"/>
      <c r="AK4" s="672"/>
      <c r="AL4" s="672"/>
      <c r="AM4" s="672"/>
      <c r="AN4" s="672"/>
      <c r="AO4" s="672"/>
      <c r="AP4" s="672"/>
      <c r="AQ4" s="672"/>
      <c r="AR4" s="672"/>
      <c r="AS4" s="342"/>
      <c r="AT4" s="342"/>
      <c r="AU4" s="342"/>
      <c r="AV4" s="342"/>
      <c r="AW4" s="342"/>
      <c r="AX4" s="342"/>
      <c r="AY4" s="342"/>
      <c r="AZ4" s="342"/>
      <c r="BA4" s="342"/>
      <c r="BB4" s="342"/>
      <c r="BC4" s="342"/>
      <c r="BD4" s="342"/>
      <c r="BE4" s="342"/>
      <c r="BF4" s="342"/>
      <c r="BG4" s="342"/>
      <c r="BH4" s="342"/>
      <c r="BI4" s="342"/>
      <c r="BJ4" s="342"/>
      <c r="BK4" s="342"/>
      <c r="BL4" s="342"/>
      <c r="BM4" s="342"/>
      <c r="BN4" s="342"/>
      <c r="BO4" s="342"/>
      <c r="BP4" s="342"/>
    </row>
    <row r="5" spans="1:74" s="379" customFormat="1" ht="49.5" customHeight="1">
      <c r="A5" s="594"/>
      <c r="B5" s="595" t="str">
        <f>tblIndicators!A1</f>
        <v>ID</v>
      </c>
      <c r="C5" s="595" t="str">
        <f>tblIndicators!B1</f>
        <v>IS_BG</v>
      </c>
      <c r="D5" s="595" t="s">
        <v>312</v>
      </c>
      <c r="E5" s="596" t="str">
        <f>tblIndicators!C1</f>
        <v>Question_Number</v>
      </c>
      <c r="F5" s="596" t="s">
        <v>21</v>
      </c>
      <c r="G5" s="596" t="str">
        <f>tblIndicators!Z1</f>
        <v>NORM_ID (1=sumproduct, 3=min max set by data values, 3=min max set by user here)</v>
      </c>
      <c r="H5" s="734" t="str">
        <f>lang!C80</f>
        <v>Indicadores</v>
      </c>
      <c r="I5" s="553" t="str">
        <f>lang!C82</f>
        <v>Unidades</v>
      </c>
      <c r="J5" s="604" t="str">
        <f>INDEX(tblTerritories!$C$3:$C$24,J4)</f>
        <v>Asunción</v>
      </c>
      <c r="K5" s="604" t="str">
        <f>INDEX(tblTerritories!$C$3:$C$24,K4)</f>
        <v>Bogotá</v>
      </c>
      <c r="L5" s="604" t="str">
        <f>INDEX(tblTerritories!$C$3:$C$24,L4)</f>
        <v>Buenos Aires</v>
      </c>
      <c r="M5" s="604" t="str">
        <f>INDEX(tblTerritories!$C$3:$C$24,M4)</f>
        <v>Ciudad de Belice</v>
      </c>
      <c r="N5" s="604" t="str">
        <f>INDEX(tblTerritories!$C$3:$C$24,N4)</f>
        <v>Ciudad de México</v>
      </c>
      <c r="O5" s="604" t="str">
        <f>INDEX(tblTerritories!$C$3:$C$24,O4)</f>
        <v>Lima</v>
      </c>
      <c r="P5" s="604" t="str">
        <f>INDEX(tblTerritories!$C$3:$C$24,P4)</f>
        <v>Montevideo</v>
      </c>
      <c r="Q5" s="604" t="str">
        <f>INDEX(tblTerritories!$C$3:$C$24,Q4)</f>
        <v>Quito</v>
      </c>
      <c r="R5" s="604" t="str">
        <f>INDEX(tblTerritories!$C$3:$C$24,R4)</f>
        <v>San José</v>
      </c>
      <c r="S5" s="604" t="str">
        <f>INDEX(tblTerritories!$C$3:$C$24,S4)</f>
        <v>San Pablo</v>
      </c>
      <c r="T5" s="604" t="str">
        <f>INDEX(tblTerritories!$C$3:$C$24,T4)</f>
        <v>Santa Cruz</v>
      </c>
      <c r="U5" s="604" t="str">
        <f>INDEX(tblTerritories!$C$3:$C$24,U4)</f>
        <v>Santiago de Chile</v>
      </c>
      <c r="V5" s="604" t="str">
        <f>INDEX(tblTerritories!$C$3:$C$24,V4)</f>
        <v>Escriba el nombre de la ciudad: incompleto</v>
      </c>
      <c r="W5" s="604" t="str">
        <f>INDEX(tblTerritories!$C$3:$C$24,W4)</f>
        <v>Ciudad_02: incompleto</v>
      </c>
      <c r="X5" s="605" t="str">
        <f>INDEX(tblTerritories!$C$3:$C$24,X4)</f>
        <v>Ciudad_03: incompleto</v>
      </c>
      <c r="Y5" s="376" t="str">
        <f>INDEX(tblTerritories!$C$3:$C$24,Y4)</f>
        <v>Ciudad_04: incompleto</v>
      </c>
      <c r="Z5" s="376" t="str">
        <f>INDEX(tblTerritories!$C$3:$C$24,Z4)</f>
        <v>Ciudad_05: incompleto</v>
      </c>
      <c r="AA5" s="376" t="str">
        <f>INDEX(tblTerritories!$C$3:$C$24,AA4)</f>
        <v>Ciudad_06: incompleto</v>
      </c>
      <c r="AB5" s="376" t="str">
        <f>INDEX(tblTerritories!$C$3:$C$24,AB4)</f>
        <v>Ciudad_07: incompleto</v>
      </c>
      <c r="AC5" s="376" t="str">
        <f>INDEX(tblTerritories!$C$3:$C$24,AC4)</f>
        <v>Ciudad_08: incompleto</v>
      </c>
      <c r="AD5" s="376" t="str">
        <f>INDEX(tblTerritories!$C$3:$C$24,AD4)</f>
        <v>Ciudad_09: incompleto</v>
      </c>
      <c r="AE5" s="376" t="str">
        <f>INDEX(tblTerritories!$C$3:$C$24,AE4)</f>
        <v>Ciudad_10: incompleto</v>
      </c>
      <c r="AF5" s="710"/>
      <c r="AG5" s="673"/>
      <c r="AH5" s="673"/>
      <c r="AI5" s="673"/>
      <c r="AJ5" s="673"/>
      <c r="AK5" s="673"/>
      <c r="AL5" s="673"/>
      <c r="AM5" s="673"/>
      <c r="AN5" s="673"/>
      <c r="AO5" s="673"/>
      <c r="AP5" s="673"/>
      <c r="AQ5" s="673"/>
      <c r="AR5" s="673"/>
      <c r="AS5" s="377"/>
      <c r="AT5" s="377"/>
      <c r="AU5" s="377"/>
      <c r="AV5" s="377"/>
      <c r="AW5" s="377"/>
      <c r="AX5" s="377"/>
      <c r="AY5" s="377"/>
      <c r="AZ5" s="377"/>
      <c r="BA5" s="377"/>
      <c r="BB5" s="377"/>
      <c r="BC5" s="377"/>
      <c r="BD5" s="377"/>
      <c r="BE5" s="377"/>
      <c r="BF5" s="377"/>
      <c r="BG5" s="377"/>
      <c r="BH5" s="377"/>
      <c r="BI5" s="377"/>
      <c r="BJ5" s="377"/>
      <c r="BK5" s="377"/>
      <c r="BL5" s="377"/>
      <c r="BM5" s="377"/>
      <c r="BN5" s="377"/>
      <c r="BO5" s="377"/>
      <c r="BP5" s="377"/>
      <c r="BQ5" s="378"/>
      <c r="BR5" s="378"/>
      <c r="BS5" s="378"/>
      <c r="BT5" s="378"/>
      <c r="BU5" s="378"/>
      <c r="BV5" s="378"/>
    </row>
    <row r="6" spans="1:74" s="383" customFormat="1" ht="22.5" hidden="1" customHeight="1">
      <c r="A6" s="380"/>
      <c r="B6" s="381">
        <f>tblIndicators!A2</f>
        <v>1</v>
      </c>
      <c r="C6" s="381">
        <f>tblIndicators!B2</f>
        <v>0</v>
      </c>
      <c r="D6" s="381">
        <f>tblIndicators!F2</f>
        <v>0</v>
      </c>
      <c r="E6" s="381">
        <f>tblIndicators!C2</f>
        <v>0</v>
      </c>
      <c r="F6" s="381" t="str">
        <f>tblIndicators!H2</f>
        <v>CATEGORÍA</v>
      </c>
      <c r="G6" s="381">
        <f>tblIndicators!Z2</f>
        <v>1</v>
      </c>
      <c r="H6" s="558" t="str">
        <f>REPT(" ",D6)&amp;tblIndicators!AE2</f>
        <v>CATEGORÍA</v>
      </c>
      <c r="I6" s="554"/>
      <c r="J6" s="674"/>
      <c r="K6" s="675"/>
      <c r="L6" s="674"/>
      <c r="M6" s="675"/>
      <c r="N6" s="674"/>
      <c r="O6" s="675"/>
      <c r="P6" s="674"/>
      <c r="Q6" s="675"/>
      <c r="R6" s="674"/>
      <c r="S6" s="675"/>
      <c r="T6" s="674"/>
      <c r="U6" s="675"/>
      <c r="V6" s="674"/>
      <c r="W6" s="675"/>
      <c r="X6" s="676"/>
      <c r="Y6" s="677"/>
      <c r="Z6" s="674"/>
      <c r="AA6" s="675"/>
      <c r="AB6" s="674"/>
      <c r="AC6" s="675"/>
      <c r="AD6" s="674"/>
      <c r="AE6" s="675"/>
      <c r="AF6" s="678"/>
      <c r="AG6" s="678"/>
      <c r="AH6" s="678"/>
      <c r="AI6" s="678"/>
      <c r="AJ6" s="678"/>
      <c r="AK6" s="678"/>
      <c r="AL6" s="678"/>
      <c r="AM6" s="678"/>
      <c r="AN6" s="678"/>
      <c r="AO6" s="678"/>
      <c r="AP6" s="678"/>
      <c r="AQ6" s="678"/>
      <c r="AR6" s="678"/>
    </row>
    <row r="7" spans="1:74" s="634" customFormat="1" ht="39.950000000000003" customHeight="1">
      <c r="A7" s="628"/>
      <c r="B7" s="629">
        <f>tblIndicators!A3</f>
        <v>2</v>
      </c>
      <c r="C7" s="629">
        <f>tblIndicators!B3</f>
        <v>0</v>
      </c>
      <c r="D7" s="629">
        <f>tblIndicators!F3</f>
        <v>1</v>
      </c>
      <c r="E7" s="629">
        <f>tblIndicators!C3</f>
        <v>0</v>
      </c>
      <c r="F7" s="629" t="str">
        <f>tblIndicators!H3</f>
        <v>Normativa</v>
      </c>
      <c r="G7" s="629">
        <f>tblIndicators!Z3</f>
        <v>1</v>
      </c>
      <c r="H7" s="640" t="str">
        <f>REPT(" ",(D7-1)*2)&amp;tblIndicators!AE3</f>
        <v>1) NORMATIVA</v>
      </c>
      <c r="I7" s="641">
        <f>IF(uxb_works!$B$122=1,IF(Data!I6="","",Data!I6),Scores!O6)</f>
        <v>0.33333333333333331</v>
      </c>
      <c r="J7" s="679">
        <f ca="1">IF(uxb_works!$B$122=1,IF(Data!J6="","",Data!J6),Scores!P6)</f>
        <v>32.8125</v>
      </c>
      <c r="K7" s="680">
        <f ca="1">IF(uxb_works!$B$122=1,IF(Data!K6="","",Data!K6),Scores!Q6)</f>
        <v>62.5</v>
      </c>
      <c r="L7" s="679">
        <f ca="1">IF(uxb_works!$B$122=1,IF(Data!L6="","",Data!L6),Scores!R6)</f>
        <v>65.104166666666657</v>
      </c>
      <c r="M7" s="680">
        <f ca="1">IF(uxb_works!$B$122=1,IF(Data!M6="","",Data!M6),Scores!S6)</f>
        <v>15.625</v>
      </c>
      <c r="N7" s="679">
        <f ca="1">IF(uxb_works!$B$122=1,IF(Data!N6="","",Data!N6),Scores!T6)</f>
        <v>33.854166666666664</v>
      </c>
      <c r="O7" s="680">
        <f ca="1">IF(uxb_works!$B$122=1,IF(Data!O6="","",Data!O6),Scores!U6)</f>
        <v>62.5</v>
      </c>
      <c r="P7" s="679">
        <f ca="1">IF(uxb_works!$B$122=1,IF(Data!P6="","",Data!P6),Scores!V6)</f>
        <v>43.229166666666664</v>
      </c>
      <c r="Q7" s="680">
        <f ca="1">IF(uxb_works!$B$122=1,IF(Data!Q6="","",Data!Q6),Scores!W6)</f>
        <v>42.1875</v>
      </c>
      <c r="R7" s="679">
        <f ca="1">IF(uxb_works!$B$122=1,IF(Data!R6="","",Data!R6),Scores!X6)</f>
        <v>26.041666666666664</v>
      </c>
      <c r="S7" s="680">
        <f ca="1">IF(uxb_works!$B$122=1,IF(Data!S6="","",Data!S6),Scores!Y6)</f>
        <v>70.3125</v>
      </c>
      <c r="T7" s="679">
        <f ca="1">IF(uxb_works!$B$122=1,IF(Data!T6="","",Data!T6),Scores!Z6)</f>
        <v>52.083333333333329</v>
      </c>
      <c r="U7" s="681">
        <f ca="1">IF(uxb_works!$B$122=1,IF(Data!U6="","",Data!U6),Scores!AA6)</f>
        <v>39.0625</v>
      </c>
      <c r="V7" s="682">
        <f ca="1">IF(uxb_works!$B$122=1,IF(Data!V6="","",Data!V6),Scores!AB6)</f>
        <v>4.6875</v>
      </c>
      <c r="W7" s="681">
        <f>IF(uxb_works!$B$122=1,IF(Data!W6="","",Data!W6),Scores!AC6)</f>
        <v>0</v>
      </c>
      <c r="X7" s="682">
        <f>IF(uxb_works!$B$122=1,IF(Data!X6="","",Data!X6),Scores!AD6)</f>
        <v>0</v>
      </c>
      <c r="Y7" s="681">
        <f>IF(uxb_works!$B$122=1,IF(Data!Y6="","",Data!Y6),Scores!AE6)</f>
        <v>0</v>
      </c>
      <c r="Z7" s="682">
        <f>IF(uxb_works!$B$122=1,IF(Data!Z6="","",Data!Z6),Scores!AF6)</f>
        <v>0</v>
      </c>
      <c r="AA7" s="681">
        <f>IF(uxb_works!$B$122=1,IF(Data!AA6="","",Data!AA6),Scores!AG6)</f>
        <v>0</v>
      </c>
      <c r="AB7" s="682">
        <f>IF(uxb_works!$B$122=1,IF(Data!AB6="","",Data!AB6),Scores!AH6)</f>
        <v>0</v>
      </c>
      <c r="AC7" s="681">
        <f>IF(uxb_works!$B$122=1,IF(Data!AC6="","",Data!AC6),Scores!AI6)</f>
        <v>0</v>
      </c>
      <c r="AD7" s="682">
        <f>IF(uxb_works!$B$122=1,IF(Data!AD6="","",Data!AD6),Scores!AJ6)</f>
        <v>0</v>
      </c>
      <c r="AE7" s="681">
        <f>IF(uxb_works!$B$122=1,IF(Data!AE6="","",Data!AE6),Scores!AK6)</f>
        <v>0</v>
      </c>
      <c r="AF7" s="683"/>
      <c r="AG7" s="683"/>
      <c r="AH7" s="683"/>
      <c r="AI7" s="683"/>
      <c r="AJ7" s="683"/>
      <c r="AK7" s="683"/>
      <c r="AL7" s="683"/>
      <c r="AM7" s="683"/>
      <c r="AN7" s="683"/>
      <c r="AO7" s="683"/>
      <c r="AP7" s="683"/>
      <c r="AQ7" s="683"/>
      <c r="AR7" s="683"/>
    </row>
    <row r="8" spans="1:74" s="627" customFormat="1" ht="24.95" customHeight="1">
      <c r="A8" s="621"/>
      <c r="B8" s="622">
        <f>tblIndicators!A4</f>
        <v>3</v>
      </c>
      <c r="C8" s="622">
        <f>tblIndicators!B4</f>
        <v>0</v>
      </c>
      <c r="D8" s="622">
        <f>tblIndicators!F4</f>
        <v>2</v>
      </c>
      <c r="E8" s="622">
        <f>tblIndicators!C4</f>
        <v>0</v>
      </c>
      <c r="F8" s="622" t="str">
        <f>tblIndicators!H4</f>
        <v>Normativa sobre gestión de residuos</v>
      </c>
      <c r="G8" s="622">
        <f>tblIndicators!Z4</f>
        <v>1</v>
      </c>
      <c r="H8" s="643" t="str">
        <f>REPT(" ",(D8-1)*2)&amp;tblIndicators!AE4</f>
        <v xml:space="preserve">  1.1) Normativa sobre gestión de residuos</v>
      </c>
      <c r="I8" s="642">
        <f>IF(uxb_works!$B$122=1,IF(Data!I7="","",Data!I7),Scores!O7)</f>
        <v>0.25</v>
      </c>
      <c r="J8" s="684">
        <f ca="1">IF(uxb_works!$B$122=1,IF(Data!J7="","",Data!J7),Scores!P7)</f>
        <v>25</v>
      </c>
      <c r="K8" s="685">
        <f ca="1">IF(uxb_works!$B$122=1,IF(Data!K7="","",Data!K7),Scores!Q7)</f>
        <v>75</v>
      </c>
      <c r="L8" s="684">
        <f ca="1">IF(uxb_works!$B$122=1,IF(Data!L7="","",Data!L7),Scores!R7)</f>
        <v>75</v>
      </c>
      <c r="M8" s="685">
        <f ca="1">IF(uxb_works!$B$122=1,IF(Data!M7="","",Data!M7),Scores!S7)</f>
        <v>0</v>
      </c>
      <c r="N8" s="684">
        <f ca="1">IF(uxb_works!$B$122=1,IF(Data!N7="","",Data!N7),Scores!T7)</f>
        <v>0</v>
      </c>
      <c r="O8" s="685">
        <f ca="1">IF(uxb_works!$B$122=1,IF(Data!O7="","",Data!O7),Scores!U7)</f>
        <v>75</v>
      </c>
      <c r="P8" s="684">
        <f ca="1">IF(uxb_works!$B$122=1,IF(Data!P7="","",Data!P7),Scores!V7)</f>
        <v>12.5</v>
      </c>
      <c r="Q8" s="685">
        <f ca="1">IF(uxb_works!$B$122=1,IF(Data!Q7="","",Data!Q7),Scores!W7)</f>
        <v>62.5</v>
      </c>
      <c r="R8" s="684">
        <f ca="1">IF(uxb_works!$B$122=1,IF(Data!R7="","",Data!R7),Scores!X7)</f>
        <v>25</v>
      </c>
      <c r="S8" s="685">
        <f ca="1">IF(uxb_works!$B$122=1,IF(Data!S7="","",Data!S7),Scores!Y7)</f>
        <v>100</v>
      </c>
      <c r="T8" s="684">
        <f ca="1">IF(uxb_works!$B$122=1,IF(Data!T7="","",Data!T7),Scores!Z7)</f>
        <v>25</v>
      </c>
      <c r="U8" s="686">
        <f ca="1">IF(uxb_works!$B$122=1,IF(Data!U7="","",Data!U7),Scores!AA7)</f>
        <v>50</v>
      </c>
      <c r="V8" s="687">
        <f ca="1">IF(uxb_works!$B$122=1,IF(Data!V7="","",Data!V7),Scores!AB7)</f>
        <v>12.5</v>
      </c>
      <c r="W8" s="686">
        <f>IF(uxb_works!$B$122=1,IF(Data!W7="","",Data!W7),Scores!AC7)</f>
        <v>0</v>
      </c>
      <c r="X8" s="687">
        <f>IF(uxb_works!$B$122=1,IF(Data!X7="","",Data!X7),Scores!AD7)</f>
        <v>0</v>
      </c>
      <c r="Y8" s="686">
        <f>IF(uxb_works!$B$122=1,IF(Data!Y7="","",Data!Y7),Scores!AE7)</f>
        <v>0</v>
      </c>
      <c r="Z8" s="687">
        <f>IF(uxb_works!$B$122=1,IF(Data!Z7="","",Data!Z7),Scores!AF7)</f>
        <v>0</v>
      </c>
      <c r="AA8" s="686">
        <f>IF(uxb_works!$B$122=1,IF(Data!AA7="","",Data!AA7),Scores!AG7)</f>
        <v>0</v>
      </c>
      <c r="AB8" s="687">
        <f>IF(uxb_works!$B$122=1,IF(Data!AB7="","",Data!AB7),Scores!AH7)</f>
        <v>0</v>
      </c>
      <c r="AC8" s="686">
        <f>IF(uxb_works!$B$122=1,IF(Data!AC7="","",Data!AC7),Scores!AI7)</f>
        <v>0</v>
      </c>
      <c r="AD8" s="687">
        <f>IF(uxb_works!$B$122=1,IF(Data!AD7="","",Data!AD7),Scores!AJ7)</f>
        <v>0</v>
      </c>
      <c r="AE8" s="686">
        <f>IF(uxb_works!$B$122=1,IF(Data!AE7="","",Data!AE7),Scores!AK7)</f>
        <v>0</v>
      </c>
      <c r="AF8" s="688"/>
      <c r="AG8" s="688"/>
      <c r="AH8" s="688"/>
      <c r="AI8" s="688"/>
      <c r="AJ8" s="688"/>
      <c r="AK8" s="688"/>
      <c r="AL8" s="688"/>
      <c r="AM8" s="688"/>
      <c r="AN8" s="688"/>
      <c r="AO8" s="688"/>
      <c r="AP8" s="688"/>
      <c r="AQ8" s="688"/>
      <c r="AR8" s="688"/>
    </row>
    <row r="9" spans="1:74" s="646" customFormat="1" ht="30" customHeight="1">
      <c r="A9" s="644"/>
      <c r="B9" s="645">
        <f>tblIndicators!A5</f>
        <v>4</v>
      </c>
      <c r="C9" s="645">
        <f>tblIndicators!B5</f>
        <v>0</v>
      </c>
      <c r="D9" s="645">
        <f>tblIndicators!F5</f>
        <v>3</v>
      </c>
      <c r="E9" s="645">
        <f>tblIndicators!C5</f>
        <v>1</v>
      </c>
      <c r="F9" s="645" t="str">
        <f>tblIndicators!H5</f>
        <v>1.¿ Existe un marco legal nacional para la gestión de residuos orientado al reciclaje con la inclusión de actores informales?</v>
      </c>
      <c r="G9" s="645">
        <f>tblIndicators!Z5</f>
        <v>3</v>
      </c>
      <c r="H9" s="559" t="str">
        <f>REPT(" ",(D9-1)*2)&amp;tblIndicators!AE5</f>
        <v xml:space="preserve">    1.1.1) 1.¿ Existe un marco legal nacional para la gestión de residuos orientado al reciclaje con la inclusión de actores informales?</v>
      </c>
      <c r="I9" s="663">
        <f>IF(uxb_works!$B$122=1,IF(Data!I8="","",Data!I8),Scores!O8)</f>
        <v>0.25</v>
      </c>
      <c r="J9" s="689">
        <f ca="1">IF(uxb_works!$B$122=1,IF(Data!J8="","",Data!J8),Scores!P8)</f>
        <v>0</v>
      </c>
      <c r="K9" s="690">
        <f ca="1">IF(uxb_works!$B$122=1,IF(Data!K8="","",Data!K8),Scores!Q8)</f>
        <v>50</v>
      </c>
      <c r="L9" s="689">
        <f ca="1">IF(uxb_works!$B$122=1,IF(Data!L8="","",Data!L8),Scores!R8)</f>
        <v>0</v>
      </c>
      <c r="M9" s="690">
        <f ca="1">IF(uxb_works!$B$122=1,IF(Data!M8="","",Data!M8),Scores!S8)</f>
        <v>0</v>
      </c>
      <c r="N9" s="689">
        <f ca="1">IF(uxb_works!$B$122=1,IF(Data!N8="","",Data!N8),Scores!T8)</f>
        <v>0</v>
      </c>
      <c r="O9" s="690">
        <f ca="1">IF(uxb_works!$B$122=1,IF(Data!O8="","",Data!O8),Scores!U8)</f>
        <v>100</v>
      </c>
      <c r="P9" s="689">
        <f ca="1">IF(uxb_works!$B$122=1,IF(Data!P8="","",Data!P8),Scores!V8)</f>
        <v>50</v>
      </c>
      <c r="Q9" s="690">
        <f ca="1">IF(uxb_works!$B$122=1,IF(Data!Q8="","",Data!Q8),Scores!W8)</f>
        <v>0</v>
      </c>
      <c r="R9" s="689">
        <f ca="1">IF(uxb_works!$B$122=1,IF(Data!R8="","",Data!R8),Scores!X8)</f>
        <v>50</v>
      </c>
      <c r="S9" s="690">
        <f ca="1">IF(uxb_works!$B$122=1,IF(Data!S8="","",Data!S8),Scores!Y8)</f>
        <v>100</v>
      </c>
      <c r="T9" s="689">
        <f ca="1">IF(uxb_works!$B$122=1,IF(Data!T8="","",Data!T8),Scores!Z8)</f>
        <v>50</v>
      </c>
      <c r="U9" s="691">
        <f ca="1">IF(uxb_works!$B$122=1,IF(Data!U8="","",Data!U8),Scores!AA8)</f>
        <v>50</v>
      </c>
      <c r="V9" s="692">
        <f ca="1">IF(uxb_works!$B$122=1,IF(Data!V8="","",Data!V8),Scores!AB8)</f>
        <v>50</v>
      </c>
      <c r="W9" s="691">
        <f>IF(uxb_works!$B$122=1,IF(Data!W8="","",Data!W8),Scores!AC8)</f>
        <v>0</v>
      </c>
      <c r="X9" s="692">
        <f>IF(uxb_works!$B$122=1,IF(Data!X8="","",Data!X8),Scores!AD8)</f>
        <v>0</v>
      </c>
      <c r="Y9" s="691">
        <f>IF(uxb_works!$B$122=1,IF(Data!Y8="","",Data!Y8),Scores!AE8)</f>
        <v>0</v>
      </c>
      <c r="Z9" s="692">
        <f>IF(uxb_works!$B$122=1,IF(Data!Z8="","",Data!Z8),Scores!AF8)</f>
        <v>0</v>
      </c>
      <c r="AA9" s="691">
        <f>IF(uxb_works!$B$122=1,IF(Data!AA8="","",Data!AA8),Scores!AG8)</f>
        <v>0</v>
      </c>
      <c r="AB9" s="692">
        <f>IF(uxb_works!$B$122=1,IF(Data!AB8="","",Data!AB8),Scores!AH8)</f>
        <v>0</v>
      </c>
      <c r="AC9" s="691">
        <f>IF(uxb_works!$B$122=1,IF(Data!AC8="","",Data!AC8),Scores!AI8)</f>
        <v>0</v>
      </c>
      <c r="AD9" s="692">
        <f>IF(uxb_works!$B$122=1,IF(Data!AD8="","",Data!AD8),Scores!AJ8)</f>
        <v>0</v>
      </c>
      <c r="AE9" s="691">
        <f>IF(uxb_works!$B$122=1,IF(Data!AE8="","",Data!AE8),Scores!AK8)</f>
        <v>0</v>
      </c>
      <c r="AF9" s="693"/>
      <c r="AG9" s="693"/>
      <c r="AH9" s="693"/>
      <c r="AI9" s="693"/>
      <c r="AJ9" s="693"/>
      <c r="AK9" s="693"/>
      <c r="AL9" s="693"/>
      <c r="AM9" s="693"/>
      <c r="AN9" s="693"/>
      <c r="AO9" s="693"/>
      <c r="AP9" s="693"/>
      <c r="AQ9" s="693"/>
      <c r="AR9" s="693"/>
    </row>
    <row r="10" spans="1:74" s="646" customFormat="1" ht="30" customHeight="1">
      <c r="A10" s="644"/>
      <c r="B10" s="645">
        <f>tblIndicators!A6</f>
        <v>5</v>
      </c>
      <c r="C10" s="645">
        <f>tblIndicators!B6</f>
        <v>0</v>
      </c>
      <c r="D10" s="645">
        <f>tblIndicators!F6</f>
        <v>3</v>
      </c>
      <c r="E10" s="645">
        <f>tblIndicators!C6</f>
        <v>2</v>
      </c>
      <c r="F10" s="645" t="str">
        <f>tblIndicators!H6</f>
        <v>2.¿Existe un marco legal municipal para la gestión de residuos orientado al reciclaje y la inclusión de actores informales?</v>
      </c>
      <c r="G10" s="645">
        <f>tblIndicators!Z6</f>
        <v>3</v>
      </c>
      <c r="H10" s="559" t="str">
        <f>REPT(" ",(D10-1)*2)&amp;tblIndicators!AE6</f>
        <v xml:space="preserve">    1.1.2) 2.¿Existe un marco legal municipal para la gestión de residuos orientado al reciclaje y la inclusión de actores informales?</v>
      </c>
      <c r="I10" s="663">
        <f>IF(uxb_works!$B$122=1,IF(Data!I9="","",Data!I9),Scores!O9)</f>
        <v>0.25</v>
      </c>
      <c r="J10" s="689">
        <f ca="1">IF(uxb_works!$B$122=1,IF(Data!J9="","",Data!J9),Scores!P9)</f>
        <v>50</v>
      </c>
      <c r="K10" s="690">
        <f ca="1">IF(uxb_works!$B$122=1,IF(Data!K9="","",Data!K9),Scores!Q9)</f>
        <v>100</v>
      </c>
      <c r="L10" s="689">
        <f ca="1">IF(uxb_works!$B$122=1,IF(Data!L9="","",Data!L9),Scores!R9)</f>
        <v>100</v>
      </c>
      <c r="M10" s="690">
        <f ca="1">IF(uxb_works!$B$122=1,IF(Data!M9="","",Data!M9),Scores!S9)</f>
        <v>0</v>
      </c>
      <c r="N10" s="689">
        <f ca="1">IF(uxb_works!$B$122=1,IF(Data!N9="","",Data!N9),Scores!T9)</f>
        <v>0</v>
      </c>
      <c r="O10" s="690">
        <f ca="1">IF(uxb_works!$B$122=1,IF(Data!O9="","",Data!O9),Scores!U9)</f>
        <v>100</v>
      </c>
      <c r="P10" s="689">
        <f ca="1">IF(uxb_works!$B$122=1,IF(Data!P9="","",Data!P9),Scores!V9)</f>
        <v>0</v>
      </c>
      <c r="Q10" s="690">
        <f ca="1">IF(uxb_works!$B$122=1,IF(Data!Q9="","",Data!Q9),Scores!W9)</f>
        <v>100</v>
      </c>
      <c r="R10" s="689">
        <f ca="1">IF(uxb_works!$B$122=1,IF(Data!R9="","",Data!R9),Scores!X9)</f>
        <v>50</v>
      </c>
      <c r="S10" s="690">
        <f ca="1">IF(uxb_works!$B$122=1,IF(Data!S9="","",Data!S9),Scores!Y9)</f>
        <v>100</v>
      </c>
      <c r="T10" s="689">
        <f ca="1">IF(uxb_works!$B$122=1,IF(Data!T9="","",Data!T9),Scores!Z9)</f>
        <v>0</v>
      </c>
      <c r="U10" s="691">
        <f ca="1">IF(uxb_works!$B$122=1,IF(Data!U9="","",Data!U9),Scores!AA9)</f>
        <v>50</v>
      </c>
      <c r="V10" s="692">
        <f ca="1">IF(uxb_works!$B$122=1,IF(Data!V9="","",Data!V9),Scores!AB9)</f>
        <v>0</v>
      </c>
      <c r="W10" s="691">
        <f>IF(uxb_works!$B$122=1,IF(Data!W9="","",Data!W9),Scores!AC9)</f>
        <v>0</v>
      </c>
      <c r="X10" s="692">
        <f>IF(uxb_works!$B$122=1,IF(Data!X9="","",Data!X9),Scores!AD9)</f>
        <v>0</v>
      </c>
      <c r="Y10" s="691">
        <f>IF(uxb_works!$B$122=1,IF(Data!Y9="","",Data!Y9),Scores!AE9)</f>
        <v>0</v>
      </c>
      <c r="Z10" s="692">
        <f>IF(uxb_works!$B$122=1,IF(Data!Z9="","",Data!Z9),Scores!AF9)</f>
        <v>0</v>
      </c>
      <c r="AA10" s="691">
        <f>IF(uxb_works!$B$122=1,IF(Data!AA9="","",Data!AA9),Scores!AG9)</f>
        <v>0</v>
      </c>
      <c r="AB10" s="692">
        <f>IF(uxb_works!$B$122=1,IF(Data!AB9="","",Data!AB9),Scores!AH9)</f>
        <v>0</v>
      </c>
      <c r="AC10" s="691">
        <f>IF(uxb_works!$B$122=1,IF(Data!AC9="","",Data!AC9),Scores!AI9)</f>
        <v>0</v>
      </c>
      <c r="AD10" s="692">
        <f>IF(uxb_works!$B$122=1,IF(Data!AD9="","",Data!AD9),Scores!AJ9)</f>
        <v>0</v>
      </c>
      <c r="AE10" s="691">
        <f>IF(uxb_works!$B$122=1,IF(Data!AE9="","",Data!AE9),Scores!AK9)</f>
        <v>0</v>
      </c>
      <c r="AF10" s="693"/>
      <c r="AG10" s="693"/>
      <c r="AH10" s="693"/>
      <c r="AI10" s="693"/>
      <c r="AJ10" s="693"/>
      <c r="AK10" s="693"/>
      <c r="AL10" s="693"/>
      <c r="AM10" s="693"/>
      <c r="AN10" s="693"/>
      <c r="AO10" s="693"/>
      <c r="AP10" s="693"/>
      <c r="AQ10" s="693"/>
      <c r="AR10" s="693"/>
    </row>
    <row r="11" spans="1:74" s="646" customFormat="1" ht="30" customHeight="1">
      <c r="A11" s="644"/>
      <c r="B11" s="645">
        <f>tblIndicators!A7</f>
        <v>6</v>
      </c>
      <c r="C11" s="645">
        <f>tblIndicators!B7</f>
        <v>0</v>
      </c>
      <c r="D11" s="645">
        <f>tblIndicators!F7</f>
        <v>3</v>
      </c>
      <c r="E11" s="645">
        <f>tblIndicators!C7</f>
        <v>3</v>
      </c>
      <c r="F11" s="645" t="str">
        <f>tblIndicators!H7</f>
        <v>3.¿Son las políticas municipales suficientemente estables para garantizar la continuidad en materia de políticas de reciclaje inclusivo?</v>
      </c>
      <c r="G11" s="645">
        <f>tblIndicators!Z7</f>
        <v>3</v>
      </c>
      <c r="H11" s="559" t="str">
        <f>REPT(" ",(D11-1)*2)&amp;tblIndicators!AE7</f>
        <v xml:space="preserve">    1.1.3) 3.¿Son las políticas municipales suficientemente estables para garantizar la continuidad en materia de políticas de reciclaje inclusivo?</v>
      </c>
      <c r="I11" s="663">
        <f>IF(uxb_works!$B$122=1,IF(Data!I10="","",Data!I10),Scores!O10)</f>
        <v>0.25</v>
      </c>
      <c r="J11" s="689">
        <f ca="1">IF(uxb_works!$B$122=1,IF(Data!J10="","",Data!J10),Scores!P10)</f>
        <v>50</v>
      </c>
      <c r="K11" s="690">
        <f ca="1">IF(uxb_works!$B$122=1,IF(Data!K10="","",Data!K10),Scores!Q10)</f>
        <v>50</v>
      </c>
      <c r="L11" s="689">
        <f ca="1">IF(uxb_works!$B$122=1,IF(Data!L10="","",Data!L10),Scores!R10)</f>
        <v>100</v>
      </c>
      <c r="M11" s="690">
        <f ca="1">IF(uxb_works!$B$122=1,IF(Data!M10="","",Data!M10),Scores!S10)</f>
        <v>0</v>
      </c>
      <c r="N11" s="689">
        <f ca="1">IF(uxb_works!$B$122=1,IF(Data!N10="","",Data!N10),Scores!T10)</f>
        <v>0</v>
      </c>
      <c r="O11" s="690">
        <f ca="1">IF(uxb_works!$B$122=1,IF(Data!O10="","",Data!O10),Scores!U10)</f>
        <v>0</v>
      </c>
      <c r="P11" s="689">
        <f ca="1">IF(uxb_works!$B$122=1,IF(Data!P10="","",Data!P10),Scores!V10)</f>
        <v>0</v>
      </c>
      <c r="Q11" s="690">
        <f ca="1">IF(uxb_works!$B$122=1,IF(Data!Q10="","",Data!Q10),Scores!W10)</f>
        <v>50</v>
      </c>
      <c r="R11" s="689">
        <f ca="1">IF(uxb_works!$B$122=1,IF(Data!R10="","",Data!R10),Scores!X10)</f>
        <v>0</v>
      </c>
      <c r="S11" s="690">
        <f ca="1">IF(uxb_works!$B$122=1,IF(Data!S10="","",Data!S10),Scores!Y10)</f>
        <v>100</v>
      </c>
      <c r="T11" s="689">
        <f ca="1">IF(uxb_works!$B$122=1,IF(Data!T10="","",Data!T10),Scores!Z10)</f>
        <v>50</v>
      </c>
      <c r="U11" s="691">
        <f ca="1">IF(uxb_works!$B$122=1,IF(Data!U10="","",Data!U10),Scores!AA10)</f>
        <v>0</v>
      </c>
      <c r="V11" s="692">
        <f ca="1">IF(uxb_works!$B$122=1,IF(Data!V10="","",Data!V10),Scores!AB10)</f>
        <v>0</v>
      </c>
      <c r="W11" s="691">
        <f>IF(uxb_works!$B$122=1,IF(Data!W10="","",Data!W10),Scores!AC10)</f>
        <v>0</v>
      </c>
      <c r="X11" s="692">
        <f>IF(uxb_works!$B$122=1,IF(Data!X10="","",Data!X10),Scores!AD10)</f>
        <v>0</v>
      </c>
      <c r="Y11" s="691">
        <f>IF(uxb_works!$B$122=1,IF(Data!Y10="","",Data!Y10),Scores!AE10)</f>
        <v>0</v>
      </c>
      <c r="Z11" s="692">
        <f>IF(uxb_works!$B$122=1,IF(Data!Z10="","",Data!Z10),Scores!AF10)</f>
        <v>0</v>
      </c>
      <c r="AA11" s="691">
        <f>IF(uxb_works!$B$122=1,IF(Data!AA10="","",Data!AA10),Scores!AG10)</f>
        <v>0</v>
      </c>
      <c r="AB11" s="692">
        <f>IF(uxb_works!$B$122=1,IF(Data!AB10="","",Data!AB10),Scores!AH10)</f>
        <v>0</v>
      </c>
      <c r="AC11" s="691">
        <f>IF(uxb_works!$B$122=1,IF(Data!AC10="","",Data!AC10),Scores!AI10)</f>
        <v>0</v>
      </c>
      <c r="AD11" s="692">
        <f>IF(uxb_works!$B$122=1,IF(Data!AD10="","",Data!AD10),Scores!AJ10)</f>
        <v>0</v>
      </c>
      <c r="AE11" s="691">
        <f>IF(uxb_works!$B$122=1,IF(Data!AE10="","",Data!AE10),Scores!AK10)</f>
        <v>0</v>
      </c>
      <c r="AF11" s="693"/>
      <c r="AG11" s="693"/>
      <c r="AH11" s="693"/>
      <c r="AI11" s="693"/>
      <c r="AJ11" s="693"/>
      <c r="AK11" s="693"/>
      <c r="AL11" s="693"/>
      <c r="AM11" s="693"/>
      <c r="AN11" s="693"/>
      <c r="AO11" s="693"/>
      <c r="AP11" s="693"/>
      <c r="AQ11" s="693"/>
      <c r="AR11" s="693"/>
    </row>
    <row r="12" spans="1:74" s="646" customFormat="1" ht="30" customHeight="1">
      <c r="A12" s="644"/>
      <c r="B12" s="645">
        <f>tblIndicators!A8</f>
        <v>7</v>
      </c>
      <c r="C12" s="645">
        <f>tblIndicators!B8</f>
        <v>0</v>
      </c>
      <c r="D12" s="645">
        <f>tblIndicators!F8</f>
        <v>3</v>
      </c>
      <c r="E12" s="645">
        <f>tblIndicators!C8</f>
        <v>4</v>
      </c>
      <c r="F12" s="645" t="str">
        <f>tblIndicators!H8</f>
        <v>4.¿Existe un presupuesto (o mecanismo de financiación) municipal asignado para el reciclaje inclusivo?</v>
      </c>
      <c r="G12" s="645">
        <f>tblIndicators!Z8</f>
        <v>3</v>
      </c>
      <c r="H12" s="559" t="str">
        <f>REPT(" ",(D12-1)*2)&amp;tblIndicators!AE8</f>
        <v xml:space="preserve">    1.1.4) 4.¿Existe un presupuesto (o mecanismo de financiación) municipal asignado para el reciclaje inclusivo?</v>
      </c>
      <c r="I12" s="663">
        <f>IF(uxb_works!$B$122=1,IF(Data!I11="","",Data!I11),Scores!O11)</f>
        <v>0.25</v>
      </c>
      <c r="J12" s="689">
        <f ca="1">IF(uxb_works!$B$122=1,IF(Data!J11="","",Data!J11),Scores!P11)</f>
        <v>0</v>
      </c>
      <c r="K12" s="690">
        <f ca="1">IF(uxb_works!$B$122=1,IF(Data!K11="","",Data!K11),Scores!Q11)</f>
        <v>100</v>
      </c>
      <c r="L12" s="689">
        <f ca="1">IF(uxb_works!$B$122=1,IF(Data!L11="","",Data!L11),Scores!R11)</f>
        <v>100</v>
      </c>
      <c r="M12" s="690">
        <f ca="1">IF(uxb_works!$B$122=1,IF(Data!M11="","",Data!M11),Scores!S11)</f>
        <v>0</v>
      </c>
      <c r="N12" s="689">
        <f ca="1">IF(uxb_works!$B$122=1,IF(Data!N11="","",Data!N11),Scores!T11)</f>
        <v>0</v>
      </c>
      <c r="O12" s="690">
        <f ca="1">IF(uxb_works!$B$122=1,IF(Data!O11="","",Data!O11),Scores!U11)</f>
        <v>100</v>
      </c>
      <c r="P12" s="689">
        <f ca="1">IF(uxb_works!$B$122=1,IF(Data!P11="","",Data!P11),Scores!V11)</f>
        <v>0</v>
      </c>
      <c r="Q12" s="690">
        <f ca="1">IF(uxb_works!$B$122=1,IF(Data!Q11="","",Data!Q11),Scores!W11)</f>
        <v>100</v>
      </c>
      <c r="R12" s="689">
        <f ca="1">IF(uxb_works!$B$122=1,IF(Data!R11="","",Data!R11),Scores!X11)</f>
        <v>0</v>
      </c>
      <c r="S12" s="690">
        <f ca="1">IF(uxb_works!$B$122=1,IF(Data!S11="","",Data!S11),Scores!Y11)</f>
        <v>100</v>
      </c>
      <c r="T12" s="689">
        <f ca="1">IF(uxb_works!$B$122=1,IF(Data!T11="","",Data!T11),Scores!Z11)</f>
        <v>0</v>
      </c>
      <c r="U12" s="691">
        <f ca="1">IF(uxb_works!$B$122=1,IF(Data!U11="","",Data!U11),Scores!AA11)</f>
        <v>100</v>
      </c>
      <c r="V12" s="692">
        <f>IF(uxb_works!$B$122=1,IF(Data!V11="","",Data!V11),Scores!AB11)</f>
        <v>0</v>
      </c>
      <c r="W12" s="691">
        <f>IF(uxb_works!$B$122=1,IF(Data!W11="","",Data!W11),Scores!AC11)</f>
        <v>0</v>
      </c>
      <c r="X12" s="692">
        <f>IF(uxb_works!$B$122=1,IF(Data!X11="","",Data!X11),Scores!AD11)</f>
        <v>0</v>
      </c>
      <c r="Y12" s="691">
        <f>IF(uxb_works!$B$122=1,IF(Data!Y11="","",Data!Y11),Scores!AE11)</f>
        <v>0</v>
      </c>
      <c r="Z12" s="692">
        <f>IF(uxb_works!$B$122=1,IF(Data!Z11="","",Data!Z11),Scores!AF11)</f>
        <v>0</v>
      </c>
      <c r="AA12" s="691">
        <f>IF(uxb_works!$B$122=1,IF(Data!AA11="","",Data!AA11),Scores!AG11)</f>
        <v>0</v>
      </c>
      <c r="AB12" s="692">
        <f>IF(uxb_works!$B$122=1,IF(Data!AB11="","",Data!AB11),Scores!AH11)</f>
        <v>0</v>
      </c>
      <c r="AC12" s="691">
        <f>IF(uxb_works!$B$122=1,IF(Data!AC11="","",Data!AC11),Scores!AI11)</f>
        <v>0</v>
      </c>
      <c r="AD12" s="692">
        <f>IF(uxb_works!$B$122=1,IF(Data!AD11="","",Data!AD11),Scores!AJ11)</f>
        <v>0</v>
      </c>
      <c r="AE12" s="691">
        <f>IF(uxb_works!$B$122=1,IF(Data!AE11="","",Data!AE11),Scores!AK11)</f>
        <v>0</v>
      </c>
      <c r="AF12" s="693"/>
      <c r="AG12" s="693"/>
      <c r="AH12" s="693"/>
      <c r="AI12" s="693"/>
      <c r="AJ12" s="693"/>
      <c r="AK12" s="693"/>
      <c r="AL12" s="693"/>
      <c r="AM12" s="693"/>
      <c r="AN12" s="693"/>
      <c r="AO12" s="693"/>
      <c r="AP12" s="693"/>
      <c r="AQ12" s="693"/>
      <c r="AR12" s="693"/>
    </row>
    <row r="13" spans="1:74" s="627" customFormat="1" ht="24.95" customHeight="1">
      <c r="A13" s="621"/>
      <c r="B13" s="622">
        <f>tblIndicators!A9</f>
        <v>8</v>
      </c>
      <c r="C13" s="622">
        <f>tblIndicators!B9</f>
        <v>0</v>
      </c>
      <c r="D13" s="622">
        <f>tblIndicators!F9</f>
        <v>2</v>
      </c>
      <c r="E13" s="622">
        <f>tblIndicators!C9</f>
        <v>0</v>
      </c>
      <c r="F13" s="622" t="str">
        <f>tblIndicators!H9</f>
        <v>Integración del reciclador de base</v>
      </c>
      <c r="G13" s="622">
        <f>tblIndicators!Z9</f>
        <v>1</v>
      </c>
      <c r="H13" s="643" t="str">
        <f>REPT(" ",(D13-1)*2)&amp;tblIndicators!AE9</f>
        <v xml:space="preserve">  1.2) Integración del reciclador de base</v>
      </c>
      <c r="I13" s="642">
        <f>IF(uxb_works!$B$122=1,IF(Data!I12="","",Data!I12),Scores!O12)</f>
        <v>0.25</v>
      </c>
      <c r="J13" s="684">
        <f ca="1">IF(uxb_works!$B$122=1,IF(Data!J12="","",Data!J12),Scores!P12)</f>
        <v>31.25</v>
      </c>
      <c r="K13" s="685">
        <f ca="1">IF(uxb_works!$B$122=1,IF(Data!K12="","",Data!K12),Scores!Q12)</f>
        <v>75</v>
      </c>
      <c r="L13" s="684">
        <f ca="1">IF(uxb_works!$B$122=1,IF(Data!L12="","",Data!L12),Scores!R12)</f>
        <v>60.416666666666664</v>
      </c>
      <c r="M13" s="685">
        <f ca="1">IF(uxb_works!$B$122=1,IF(Data!M12="","",Data!M12),Scores!S12)</f>
        <v>12.5</v>
      </c>
      <c r="N13" s="684">
        <f ca="1">IF(uxb_works!$B$122=1,IF(Data!N12="","",Data!N12),Scores!T12)</f>
        <v>10.416666666666666</v>
      </c>
      <c r="O13" s="685">
        <f ca="1">IF(uxb_works!$B$122=1,IF(Data!O12="","",Data!O12),Scores!U12)</f>
        <v>75</v>
      </c>
      <c r="P13" s="684">
        <f ca="1">IF(uxb_works!$B$122=1,IF(Data!P12="","",Data!P12),Scores!V12)</f>
        <v>35.416666666666664</v>
      </c>
      <c r="Q13" s="685">
        <f ca="1">IF(uxb_works!$B$122=1,IF(Data!Q12="","",Data!Q12),Scores!W12)</f>
        <v>31.25</v>
      </c>
      <c r="R13" s="684">
        <f ca="1">IF(uxb_works!$B$122=1,IF(Data!R12="","",Data!R12),Scores!X12)</f>
        <v>4.1666666666666661</v>
      </c>
      <c r="S13" s="685">
        <f ca="1">IF(uxb_works!$B$122=1,IF(Data!S12="","",Data!S12),Scores!Y12)</f>
        <v>81.25</v>
      </c>
      <c r="T13" s="684">
        <f ca="1">IF(uxb_works!$B$122=1,IF(Data!T12="","",Data!T12),Scores!Z12)</f>
        <v>33.333333333333329</v>
      </c>
      <c r="U13" s="686">
        <f ca="1">IF(uxb_works!$B$122=1,IF(Data!U12="","",Data!U12),Scores!AA12)</f>
        <v>31.25</v>
      </c>
      <c r="V13" s="687">
        <f ca="1">IF(uxb_works!$B$122=1,IF(Data!V12="","",Data!V12),Scores!AB12)</f>
        <v>6.25</v>
      </c>
      <c r="W13" s="686">
        <f>IF(uxb_works!$B$122=1,IF(Data!W12="","",Data!W12),Scores!AC12)</f>
        <v>0</v>
      </c>
      <c r="X13" s="687">
        <f>IF(uxb_works!$B$122=1,IF(Data!X12="","",Data!X12),Scores!AD12)</f>
        <v>0</v>
      </c>
      <c r="Y13" s="686">
        <f>IF(uxb_works!$B$122=1,IF(Data!Y12="","",Data!Y12),Scores!AE12)</f>
        <v>0</v>
      </c>
      <c r="Z13" s="687">
        <f>IF(uxb_works!$B$122=1,IF(Data!Z12="","",Data!Z12),Scores!AF12)</f>
        <v>0</v>
      </c>
      <c r="AA13" s="686">
        <f>IF(uxb_works!$B$122=1,IF(Data!AA12="","",Data!AA12),Scores!AG12)</f>
        <v>0</v>
      </c>
      <c r="AB13" s="687">
        <f>IF(uxb_works!$B$122=1,IF(Data!AB12="","",Data!AB12),Scores!AH12)</f>
        <v>0</v>
      </c>
      <c r="AC13" s="686">
        <f>IF(uxb_works!$B$122=1,IF(Data!AC12="","",Data!AC12),Scores!AI12)</f>
        <v>0</v>
      </c>
      <c r="AD13" s="687">
        <f>IF(uxb_works!$B$122=1,IF(Data!AD12="","",Data!AD12),Scores!AJ12)</f>
        <v>0</v>
      </c>
      <c r="AE13" s="686">
        <f>IF(uxb_works!$B$122=1,IF(Data!AE12="","",Data!AE12),Scores!AK12)</f>
        <v>0</v>
      </c>
      <c r="AF13" s="688"/>
      <c r="AG13" s="688"/>
      <c r="AH13" s="688"/>
      <c r="AI13" s="688"/>
      <c r="AJ13" s="688"/>
      <c r="AK13" s="688"/>
      <c r="AL13" s="688"/>
      <c r="AM13" s="688"/>
      <c r="AN13" s="688"/>
      <c r="AO13" s="688"/>
      <c r="AP13" s="688"/>
      <c r="AQ13" s="688"/>
      <c r="AR13" s="688"/>
    </row>
    <row r="14" spans="1:74" s="646" customFormat="1" ht="30" customHeight="1">
      <c r="A14" s="644"/>
      <c r="B14" s="645">
        <f>tblIndicators!A10</f>
        <v>9</v>
      </c>
      <c r="C14" s="645">
        <f>tblIndicators!B10</f>
        <v>0</v>
      </c>
      <c r="D14" s="645">
        <f>tblIndicators!F10</f>
        <v>3</v>
      </c>
      <c r="E14" s="645">
        <f>tblIndicators!C10</f>
        <v>5</v>
      </c>
      <c r="F14" s="645" t="str">
        <f>tblIndicators!H10</f>
        <v>5.¿Existe reconocimiento legal de la ocupación de reciclador de base?</v>
      </c>
      <c r="G14" s="645">
        <f>tblIndicators!Z10</f>
        <v>3</v>
      </c>
      <c r="H14" s="559" t="str">
        <f>REPT(" ",(D14-1)*2)&amp;tblIndicators!AE10</f>
        <v xml:space="preserve">    1.2.1) 5.¿Existe reconocimiento legal de la ocupación de reciclador de base?</v>
      </c>
      <c r="I14" s="663">
        <f>IF(uxb_works!$B$122=1,IF(Data!I13="","",Data!I13),Scores!O13)</f>
        <v>0.125</v>
      </c>
      <c r="J14" s="689">
        <f ca="1">IF(uxb_works!$B$122=1,IF(Data!J13="","",Data!J13),Scores!P13)</f>
        <v>0</v>
      </c>
      <c r="K14" s="690">
        <f ca="1">IF(uxb_works!$B$122=1,IF(Data!K13="","",Data!K13),Scores!Q13)</f>
        <v>100</v>
      </c>
      <c r="L14" s="689">
        <f ca="1">IF(uxb_works!$B$122=1,IF(Data!L13="","",Data!L13),Scores!R13)</f>
        <v>100</v>
      </c>
      <c r="M14" s="690">
        <f ca="1">IF(uxb_works!$B$122=1,IF(Data!M13="","",Data!M13),Scores!S13)</f>
        <v>0</v>
      </c>
      <c r="N14" s="689">
        <f ca="1">IF(uxb_works!$B$122=1,IF(Data!N13="","",Data!N13),Scores!T13)</f>
        <v>0</v>
      </c>
      <c r="O14" s="690">
        <f ca="1">IF(uxb_works!$B$122=1,IF(Data!O13="","",Data!O13),Scores!U13)</f>
        <v>100</v>
      </c>
      <c r="P14" s="689">
        <f ca="1">IF(uxb_works!$B$122=1,IF(Data!P13="","",Data!P13),Scores!V13)</f>
        <v>0</v>
      </c>
      <c r="Q14" s="690">
        <f ca="1">IF(uxb_works!$B$122=1,IF(Data!Q13="","",Data!Q13),Scores!W13)</f>
        <v>0</v>
      </c>
      <c r="R14" s="689">
        <f ca="1">IF(uxb_works!$B$122=1,IF(Data!R13="","",Data!R13),Scores!X13)</f>
        <v>0</v>
      </c>
      <c r="S14" s="690">
        <f ca="1">IF(uxb_works!$B$122=1,IF(Data!S13="","",Data!S13),Scores!Y13)</f>
        <v>100</v>
      </c>
      <c r="T14" s="689">
        <f ca="1">IF(uxb_works!$B$122=1,IF(Data!T13="","",Data!T13),Scores!Z13)</f>
        <v>0</v>
      </c>
      <c r="U14" s="691">
        <f ca="1">IF(uxb_works!$B$122=1,IF(Data!U13="","",Data!U13),Scores!AA13)</f>
        <v>0</v>
      </c>
      <c r="V14" s="692">
        <f ca="1">IF(uxb_works!$B$122=1,IF(Data!V13="","",Data!V13),Scores!AB13)</f>
        <v>0</v>
      </c>
      <c r="W14" s="691">
        <f>IF(uxb_works!$B$122=1,IF(Data!W13="","",Data!W13),Scores!AC13)</f>
        <v>0</v>
      </c>
      <c r="X14" s="692">
        <f>IF(uxb_works!$B$122=1,IF(Data!X13="","",Data!X13),Scores!AD13)</f>
        <v>0</v>
      </c>
      <c r="Y14" s="691">
        <f>IF(uxb_works!$B$122=1,IF(Data!Y13="","",Data!Y13),Scores!AE13)</f>
        <v>0</v>
      </c>
      <c r="Z14" s="692">
        <f>IF(uxb_works!$B$122=1,IF(Data!Z13="","",Data!Z13),Scores!AF13)</f>
        <v>0</v>
      </c>
      <c r="AA14" s="691">
        <f>IF(uxb_works!$B$122=1,IF(Data!AA13="","",Data!AA13),Scores!AG13)</f>
        <v>0</v>
      </c>
      <c r="AB14" s="692">
        <f>IF(uxb_works!$B$122=1,IF(Data!AB13="","",Data!AB13),Scores!AH13)</f>
        <v>0</v>
      </c>
      <c r="AC14" s="691">
        <f>IF(uxb_works!$B$122=1,IF(Data!AC13="","",Data!AC13),Scores!AI13)</f>
        <v>0</v>
      </c>
      <c r="AD14" s="692">
        <f>IF(uxb_works!$B$122=1,IF(Data!AD13="","",Data!AD13),Scores!AJ13)</f>
        <v>0</v>
      </c>
      <c r="AE14" s="691">
        <f>IF(uxb_works!$B$122=1,IF(Data!AE13="","",Data!AE13),Scores!AK13)</f>
        <v>0</v>
      </c>
      <c r="AF14" s="693"/>
      <c r="AG14" s="693"/>
      <c r="AH14" s="693"/>
      <c r="AI14" s="693"/>
      <c r="AJ14" s="693"/>
      <c r="AK14" s="693"/>
      <c r="AL14" s="693"/>
      <c r="AM14" s="693"/>
      <c r="AN14" s="693"/>
      <c r="AO14" s="693"/>
      <c r="AP14" s="693"/>
      <c r="AQ14" s="693"/>
      <c r="AR14" s="693"/>
    </row>
    <row r="15" spans="1:74" s="646" customFormat="1" ht="30" customHeight="1">
      <c r="A15" s="644"/>
      <c r="B15" s="645">
        <f>tblIndicators!A11</f>
        <v>10</v>
      </c>
      <c r="C15" s="645">
        <f>tblIndicators!B11</f>
        <v>0</v>
      </c>
      <c r="D15" s="645">
        <f>tblIndicators!F11</f>
        <v>3</v>
      </c>
      <c r="E15" s="645">
        <f>tblIndicators!C11</f>
        <v>6</v>
      </c>
      <c r="F15" s="645" t="str">
        <f>tblIndicators!H11</f>
        <v>6.¿Se reconoce a los recicladores de base como prestadores de servicio en la gestión de residuos?</v>
      </c>
      <c r="G15" s="645">
        <f>tblIndicators!Z11</f>
        <v>3</v>
      </c>
      <c r="H15" s="559" t="str">
        <f>REPT(" ",(D15-1)*2)&amp;tblIndicators!AE11</f>
        <v xml:space="preserve">    1.2.2) 6.¿Se reconoce a los recicladores de base como prestadores de servicio en la gestión de residuos?</v>
      </c>
      <c r="I15" s="663">
        <f>IF(uxb_works!$B$122=1,IF(Data!I14="","",Data!I14),Scores!O14)</f>
        <v>0.125</v>
      </c>
      <c r="J15" s="689">
        <f ca="1">IF(uxb_works!$B$122=1,IF(Data!J14="","",Data!J14),Scores!P14)</f>
        <v>50</v>
      </c>
      <c r="K15" s="690">
        <f ca="1">IF(uxb_works!$B$122=1,IF(Data!K14="","",Data!K14),Scores!Q14)</f>
        <v>100</v>
      </c>
      <c r="L15" s="689">
        <f ca="1">IF(uxb_works!$B$122=1,IF(Data!L14="","",Data!L14),Scores!R14)</f>
        <v>100</v>
      </c>
      <c r="M15" s="690">
        <f ca="1">IF(uxb_works!$B$122=1,IF(Data!M14="","",Data!M14),Scores!S14)</f>
        <v>0</v>
      </c>
      <c r="N15" s="689">
        <f ca="1">IF(uxb_works!$B$122=1,IF(Data!N14="","",Data!N14),Scores!T14)</f>
        <v>0</v>
      </c>
      <c r="O15" s="690">
        <f ca="1">IF(uxb_works!$B$122=1,IF(Data!O14="","",Data!O14),Scores!U14)</f>
        <v>50</v>
      </c>
      <c r="P15" s="689">
        <f ca="1">IF(uxb_works!$B$122=1,IF(Data!P14="","",Data!P14),Scores!V14)</f>
        <v>50</v>
      </c>
      <c r="Q15" s="690">
        <f ca="1">IF(uxb_works!$B$122=1,IF(Data!Q14="","",Data!Q14),Scores!W14)</f>
        <v>50</v>
      </c>
      <c r="R15" s="689">
        <f ca="1">IF(uxb_works!$B$122=1,IF(Data!R14="","",Data!R14),Scores!X14)</f>
        <v>0</v>
      </c>
      <c r="S15" s="690">
        <f ca="1">IF(uxb_works!$B$122=1,IF(Data!S14="","",Data!S14),Scores!Y14)</f>
        <v>100</v>
      </c>
      <c r="T15" s="689">
        <f ca="1">IF(uxb_works!$B$122=1,IF(Data!T14="","",Data!T14),Scores!Z14)</f>
        <v>50</v>
      </c>
      <c r="U15" s="691">
        <f ca="1">IF(uxb_works!$B$122=1,IF(Data!U14="","",Data!U14),Scores!AA14)</f>
        <v>0</v>
      </c>
      <c r="V15" s="692">
        <f ca="1">IF(uxb_works!$B$122=1,IF(Data!V14="","",Data!V14),Scores!AB14)</f>
        <v>0</v>
      </c>
      <c r="W15" s="691">
        <f>IF(uxb_works!$B$122=1,IF(Data!W14="","",Data!W14),Scores!AC14)</f>
        <v>0</v>
      </c>
      <c r="X15" s="692">
        <f>IF(uxb_works!$B$122=1,IF(Data!X14="","",Data!X14),Scores!AD14)</f>
        <v>0</v>
      </c>
      <c r="Y15" s="691">
        <f>IF(uxb_works!$B$122=1,IF(Data!Y14="","",Data!Y14),Scores!AE14)</f>
        <v>0</v>
      </c>
      <c r="Z15" s="692">
        <f>IF(uxb_works!$B$122=1,IF(Data!Z14="","",Data!Z14),Scores!AF14)</f>
        <v>0</v>
      </c>
      <c r="AA15" s="691">
        <f>IF(uxb_works!$B$122=1,IF(Data!AA14="","",Data!AA14),Scores!AG14)</f>
        <v>0</v>
      </c>
      <c r="AB15" s="692">
        <f>IF(uxb_works!$B$122=1,IF(Data!AB14="","",Data!AB14),Scores!AH14)</f>
        <v>0</v>
      </c>
      <c r="AC15" s="691">
        <f>IF(uxb_works!$B$122=1,IF(Data!AC14="","",Data!AC14),Scores!AI14)</f>
        <v>0</v>
      </c>
      <c r="AD15" s="692">
        <f>IF(uxb_works!$B$122=1,IF(Data!AD14="","",Data!AD14),Scores!AJ14)</f>
        <v>0</v>
      </c>
      <c r="AE15" s="691">
        <f>IF(uxb_works!$B$122=1,IF(Data!AE14="","",Data!AE14),Scores!AK14)</f>
        <v>0</v>
      </c>
      <c r="AF15" s="693"/>
      <c r="AG15" s="693"/>
      <c r="AH15" s="693"/>
      <c r="AI15" s="693"/>
      <c r="AJ15" s="693"/>
      <c r="AK15" s="693"/>
      <c r="AL15" s="693"/>
      <c r="AM15" s="693"/>
      <c r="AN15" s="693"/>
      <c r="AO15" s="693"/>
      <c r="AP15" s="693"/>
      <c r="AQ15" s="693"/>
      <c r="AR15" s="693"/>
    </row>
    <row r="16" spans="1:74" s="646" customFormat="1" ht="30" customHeight="1">
      <c r="A16" s="644"/>
      <c r="B16" s="645">
        <f>tblIndicators!A12</f>
        <v>11</v>
      </c>
      <c r="C16" s="645">
        <f>tblIndicators!B12</f>
        <v>0</v>
      </c>
      <c r="D16" s="645">
        <f>tblIndicators!F12</f>
        <v>3</v>
      </c>
      <c r="E16" s="645">
        <f>tblIndicators!C12</f>
        <v>7</v>
      </c>
      <c r="F16" s="645" t="str">
        <f>tblIndicators!H12</f>
        <v>7.¿Se ha identificado la población de recicladores de base a través de un censo?</v>
      </c>
      <c r="G16" s="645">
        <f>tblIndicators!Z12</f>
        <v>3</v>
      </c>
      <c r="H16" s="559" t="str">
        <f>REPT(" ",(D16-1)*2)&amp;tblIndicators!AE12</f>
        <v xml:space="preserve">    1.2.3) 7.¿Se ha identificado la población de recicladores de base a través de un censo?</v>
      </c>
      <c r="I16" s="663">
        <f>IF(uxb_works!$B$122=1,IF(Data!I15="","",Data!I15),Scores!O15)</f>
        <v>0.125</v>
      </c>
      <c r="J16" s="689">
        <f ca="1">IF(uxb_works!$B$122=1,IF(Data!J15="","",Data!J15),Scores!P15)</f>
        <v>0</v>
      </c>
      <c r="K16" s="690">
        <f ca="1">IF(uxb_works!$B$122=1,IF(Data!K15="","",Data!K15),Scores!Q15)</f>
        <v>100</v>
      </c>
      <c r="L16" s="689">
        <f ca="1">IF(uxb_works!$B$122=1,IF(Data!L15="","",Data!L15),Scores!R15)</f>
        <v>0</v>
      </c>
      <c r="M16" s="690">
        <f ca="1">IF(uxb_works!$B$122=1,IF(Data!M15="","",Data!M15),Scores!S15)</f>
        <v>0</v>
      </c>
      <c r="N16" s="689">
        <f ca="1">IF(uxb_works!$B$122=1,IF(Data!N15="","",Data!N15),Scores!T15)</f>
        <v>0</v>
      </c>
      <c r="O16" s="690">
        <f ca="1">IF(uxb_works!$B$122=1,IF(Data!O15="","",Data!O15),Scores!U15)</f>
        <v>100</v>
      </c>
      <c r="P16" s="689">
        <f ca="1">IF(uxb_works!$B$122=1,IF(Data!P15="","",Data!P15),Scores!V15)</f>
        <v>100</v>
      </c>
      <c r="Q16" s="690">
        <f ca="1">IF(uxb_works!$B$122=1,IF(Data!Q15="","",Data!Q15),Scores!W15)</f>
        <v>100</v>
      </c>
      <c r="R16" s="689">
        <f ca="1">IF(uxb_works!$B$122=1,IF(Data!R15="","",Data!R15),Scores!X15)</f>
        <v>0</v>
      </c>
      <c r="S16" s="690">
        <f ca="1">IF(uxb_works!$B$122=1,IF(Data!S15="","",Data!S15),Scores!Y15)</f>
        <v>100</v>
      </c>
      <c r="T16" s="689">
        <f ca="1">IF(uxb_works!$B$122=1,IF(Data!T15="","",Data!T15),Scores!Z15)</f>
        <v>0</v>
      </c>
      <c r="U16" s="691">
        <f ca="1">IF(uxb_works!$B$122=1,IF(Data!U15="","",Data!U15),Scores!AA15)</f>
        <v>0</v>
      </c>
      <c r="V16" s="692">
        <f ca="1">IF(uxb_works!$B$122=1,IF(Data!V15="","",Data!V15),Scores!AB15)</f>
        <v>0</v>
      </c>
      <c r="W16" s="691">
        <f>IF(uxb_works!$B$122=1,IF(Data!W15="","",Data!W15),Scores!AC15)</f>
        <v>0</v>
      </c>
      <c r="X16" s="692">
        <f>IF(uxb_works!$B$122=1,IF(Data!X15="","",Data!X15),Scores!AD15)</f>
        <v>0</v>
      </c>
      <c r="Y16" s="691">
        <f>IF(uxb_works!$B$122=1,IF(Data!Y15="","",Data!Y15),Scores!AE15)</f>
        <v>0</v>
      </c>
      <c r="Z16" s="692">
        <f>IF(uxb_works!$B$122=1,IF(Data!Z15="","",Data!Z15),Scores!AF15)</f>
        <v>0</v>
      </c>
      <c r="AA16" s="691">
        <f>IF(uxb_works!$B$122=1,IF(Data!AA15="","",Data!AA15),Scores!AG15)</f>
        <v>0</v>
      </c>
      <c r="AB16" s="692">
        <f>IF(uxb_works!$B$122=1,IF(Data!AB15="","",Data!AB15),Scores!AH15)</f>
        <v>0</v>
      </c>
      <c r="AC16" s="691">
        <f>IF(uxb_works!$B$122=1,IF(Data!AC15="","",Data!AC15),Scores!AI15)</f>
        <v>0</v>
      </c>
      <c r="AD16" s="692">
        <f>IF(uxb_works!$B$122=1,IF(Data!AD15="","",Data!AD15),Scores!AJ15)</f>
        <v>0</v>
      </c>
      <c r="AE16" s="691">
        <f>IF(uxb_works!$B$122=1,IF(Data!AE15="","",Data!AE15),Scores!AK15)</f>
        <v>0</v>
      </c>
      <c r="AF16" s="693"/>
      <c r="AG16" s="693"/>
      <c r="AH16" s="693"/>
      <c r="AI16" s="693"/>
      <c r="AJ16" s="693"/>
      <c r="AK16" s="693"/>
      <c r="AL16" s="693"/>
      <c r="AM16" s="693"/>
      <c r="AN16" s="693"/>
      <c r="AO16" s="693"/>
      <c r="AP16" s="693"/>
      <c r="AQ16" s="693"/>
      <c r="AR16" s="693"/>
    </row>
    <row r="17" spans="1:44" s="646" customFormat="1" ht="30" customHeight="1">
      <c r="A17" s="644"/>
      <c r="B17" s="645">
        <f>tblIndicators!A13</f>
        <v>12</v>
      </c>
      <c r="C17" s="645">
        <f>tblIndicators!B13</f>
        <v>0</v>
      </c>
      <c r="D17" s="645">
        <f>tblIndicators!F13</f>
        <v>3</v>
      </c>
      <c r="E17" s="645">
        <f>tblIndicators!C13</f>
        <v>8</v>
      </c>
      <c r="F17" s="645" t="str">
        <f>tblIndicators!H13</f>
        <v>8.¿Cuál es el grado de transparencia e inclusión en los procesos de licitación para el reciclaje?</v>
      </c>
      <c r="G17" s="645">
        <f>tblIndicators!Z13</f>
        <v>3</v>
      </c>
      <c r="H17" s="559" t="str">
        <f>REPT(" ",(D17-1)*2)&amp;tblIndicators!AE13</f>
        <v xml:space="preserve">    1.2.4) 8.¿Cuál es el grado de transparencia e inclusión en los procesos de licitación para el reciclaje?</v>
      </c>
      <c r="I17" s="663">
        <f>IF(uxb_works!$B$122=1,IF(Data!I16="","",Data!I16),Scores!O16)</f>
        <v>0.125</v>
      </c>
      <c r="J17" s="689">
        <f ca="1">IF(uxb_works!$B$122=1,IF(Data!J16="","",Data!J16),Scores!P16)</f>
        <v>50</v>
      </c>
      <c r="K17" s="690">
        <f ca="1">IF(uxb_works!$B$122=1,IF(Data!K16="","",Data!K16),Scores!Q16)</f>
        <v>50</v>
      </c>
      <c r="L17" s="689">
        <f ca="1">IF(uxb_works!$B$122=1,IF(Data!L16="","",Data!L16),Scores!R16)</f>
        <v>50</v>
      </c>
      <c r="M17" s="690">
        <f ca="1">IF(uxb_works!$B$122=1,IF(Data!M16="","",Data!M16),Scores!S16)</f>
        <v>0</v>
      </c>
      <c r="N17" s="689">
        <f ca="1">IF(uxb_works!$B$122=1,IF(Data!N16="","",Data!N16),Scores!T16)</f>
        <v>0</v>
      </c>
      <c r="O17" s="690">
        <f ca="1">IF(uxb_works!$B$122=1,IF(Data!O16="","",Data!O16),Scores!U16)</f>
        <v>50</v>
      </c>
      <c r="P17" s="689">
        <f ca="1">IF(uxb_works!$B$122=1,IF(Data!P16="","",Data!P16),Scores!V16)</f>
        <v>0</v>
      </c>
      <c r="Q17" s="690">
        <f ca="1">IF(uxb_works!$B$122=1,IF(Data!Q16="","",Data!Q16),Scores!W16)</f>
        <v>0</v>
      </c>
      <c r="R17" s="689">
        <f ca="1">IF(uxb_works!$B$122=1,IF(Data!R16="","",Data!R16),Scores!X16)</f>
        <v>0</v>
      </c>
      <c r="S17" s="690">
        <f ca="1">IF(uxb_works!$B$122=1,IF(Data!S16="","",Data!S16),Scores!Y16)</f>
        <v>50</v>
      </c>
      <c r="T17" s="689">
        <f ca="1">IF(uxb_works!$B$122=1,IF(Data!T16="","",Data!T16),Scores!Z16)</f>
        <v>50</v>
      </c>
      <c r="U17" s="691">
        <f ca="1">IF(uxb_works!$B$122=1,IF(Data!U16="","",Data!U16),Scores!AA16)</f>
        <v>0</v>
      </c>
      <c r="V17" s="692">
        <f ca="1">IF(uxb_works!$B$122=1,IF(Data!V16="","",Data!V16),Scores!AB16)</f>
        <v>50</v>
      </c>
      <c r="W17" s="691">
        <f>IF(uxb_works!$B$122=1,IF(Data!W16="","",Data!W16),Scores!AC16)</f>
        <v>0</v>
      </c>
      <c r="X17" s="692">
        <f>IF(uxb_works!$B$122=1,IF(Data!X16="","",Data!X16),Scores!AD16)</f>
        <v>0</v>
      </c>
      <c r="Y17" s="691">
        <f>IF(uxb_works!$B$122=1,IF(Data!Y16="","",Data!Y16),Scores!AE16)</f>
        <v>0</v>
      </c>
      <c r="Z17" s="692">
        <f>IF(uxb_works!$B$122=1,IF(Data!Z16="","",Data!Z16),Scores!AF16)</f>
        <v>0</v>
      </c>
      <c r="AA17" s="691">
        <f>IF(uxb_works!$B$122=1,IF(Data!AA16="","",Data!AA16),Scores!AG16)</f>
        <v>0</v>
      </c>
      <c r="AB17" s="692">
        <f>IF(uxb_works!$B$122=1,IF(Data!AB16="","",Data!AB16),Scores!AH16)</f>
        <v>0</v>
      </c>
      <c r="AC17" s="691">
        <f>IF(uxb_works!$B$122=1,IF(Data!AC16="","",Data!AC16),Scores!AI16)</f>
        <v>0</v>
      </c>
      <c r="AD17" s="692">
        <f>IF(uxb_works!$B$122=1,IF(Data!AD16="","",Data!AD16),Scores!AJ16)</f>
        <v>0</v>
      </c>
      <c r="AE17" s="691">
        <f>IF(uxb_works!$B$122=1,IF(Data!AE16="","",Data!AE16),Scores!AK16)</f>
        <v>0</v>
      </c>
      <c r="AF17" s="693"/>
      <c r="AG17" s="693"/>
      <c r="AH17" s="693"/>
      <c r="AI17" s="693"/>
      <c r="AJ17" s="693"/>
      <c r="AK17" s="693"/>
      <c r="AL17" s="693"/>
      <c r="AM17" s="693"/>
      <c r="AN17" s="693"/>
      <c r="AO17" s="693"/>
      <c r="AP17" s="693"/>
      <c r="AQ17" s="693"/>
      <c r="AR17" s="693"/>
    </row>
    <row r="18" spans="1:44" s="646" customFormat="1" ht="30" customHeight="1">
      <c r="A18" s="644"/>
      <c r="B18" s="645">
        <f>tblIndicators!A14</f>
        <v>13</v>
      </c>
      <c r="C18" s="645">
        <f>tblIndicators!B14</f>
        <v>0</v>
      </c>
      <c r="D18" s="645">
        <f>tblIndicators!F14</f>
        <v>3</v>
      </c>
      <c r="E18" s="645">
        <f>tblIndicators!C14</f>
        <v>9</v>
      </c>
      <c r="F18" s="645" t="str">
        <f>tblIndicators!H14</f>
        <v>9.¿La normativa/ estrategia municipal de residuos sólidos: fue desarrollada de manera participativa?</v>
      </c>
      <c r="G18" s="645">
        <f>tblIndicators!Z14</f>
        <v>3</v>
      </c>
      <c r="H18" s="559" t="str">
        <f>REPT(" ",(D18-1)*2)&amp;tblIndicators!AE14</f>
        <v xml:space="preserve">    1.2.5) 9.¿La normativa/ estrategia municipal de residuos sólidos: fue desarrollada de manera participativa?</v>
      </c>
      <c r="I18" s="663">
        <f>IF(uxb_works!$B$122=1,IF(Data!I17="","",Data!I17),Scores!O17)</f>
        <v>0.125</v>
      </c>
      <c r="J18" s="689">
        <f ca="1">IF(uxb_works!$B$122=1,IF(Data!J17="","",Data!J17),Scores!P17)</f>
        <v>100</v>
      </c>
      <c r="K18" s="690">
        <f ca="1">IF(uxb_works!$B$122=1,IF(Data!K17="","",Data!K17),Scores!Q17)</f>
        <v>50</v>
      </c>
      <c r="L18" s="689">
        <f ca="1">IF(uxb_works!$B$122=1,IF(Data!L17="","",Data!L17),Scores!R17)</f>
        <v>100</v>
      </c>
      <c r="M18" s="690">
        <f ca="1">IF(uxb_works!$B$122=1,IF(Data!M17="","",Data!M17),Scores!S17)</f>
        <v>0</v>
      </c>
      <c r="N18" s="689">
        <f ca="1">IF(uxb_works!$B$122=1,IF(Data!N17="","",Data!N17),Scores!T17)</f>
        <v>0</v>
      </c>
      <c r="O18" s="690">
        <f ca="1">IF(uxb_works!$B$122=1,IF(Data!O17="","",Data!O17),Scores!U17)</f>
        <v>50</v>
      </c>
      <c r="P18" s="689">
        <f ca="1">IF(uxb_works!$B$122=1,IF(Data!P17="","",Data!P17),Scores!V17)</f>
        <v>50</v>
      </c>
      <c r="Q18" s="690">
        <f ca="1">IF(uxb_works!$B$122=1,IF(Data!Q17="","",Data!Q17),Scores!W17)</f>
        <v>50</v>
      </c>
      <c r="R18" s="689">
        <f ca="1">IF(uxb_works!$B$122=1,IF(Data!R17="","",Data!R17),Scores!X17)</f>
        <v>0</v>
      </c>
      <c r="S18" s="690">
        <f ca="1">IF(uxb_works!$B$122=1,IF(Data!S17="","",Data!S17),Scores!Y17)</f>
        <v>100</v>
      </c>
      <c r="T18" s="689">
        <f ca="1">IF(uxb_works!$B$122=1,IF(Data!T17="","",Data!T17),Scores!Z17)</f>
        <v>0</v>
      </c>
      <c r="U18" s="691">
        <f ca="1">IF(uxb_works!$B$122=1,IF(Data!U17="","",Data!U17),Scores!AA17)</f>
        <v>50</v>
      </c>
      <c r="V18" s="692">
        <f ca="1">IF(uxb_works!$B$122=1,IF(Data!V17="","",Data!V17),Scores!AB17)</f>
        <v>0</v>
      </c>
      <c r="W18" s="691">
        <f>IF(uxb_works!$B$122=1,IF(Data!W17="","",Data!W17),Scores!AC17)</f>
        <v>0</v>
      </c>
      <c r="X18" s="692">
        <f>IF(uxb_works!$B$122=1,IF(Data!X17="","",Data!X17),Scores!AD17)</f>
        <v>0</v>
      </c>
      <c r="Y18" s="691">
        <f>IF(uxb_works!$B$122=1,IF(Data!Y17="","",Data!Y17),Scores!AE17)</f>
        <v>0</v>
      </c>
      <c r="Z18" s="692">
        <f>IF(uxb_works!$B$122=1,IF(Data!Z17="","",Data!Z17),Scores!AF17)</f>
        <v>0</v>
      </c>
      <c r="AA18" s="691">
        <f>IF(uxb_works!$B$122=1,IF(Data!AA17="","",Data!AA17),Scores!AG17)</f>
        <v>0</v>
      </c>
      <c r="AB18" s="692">
        <f>IF(uxb_works!$B$122=1,IF(Data!AB17="","",Data!AB17),Scores!AH17)</f>
        <v>0</v>
      </c>
      <c r="AC18" s="691">
        <f>IF(uxb_works!$B$122=1,IF(Data!AC17="","",Data!AC17),Scores!AI17)</f>
        <v>0</v>
      </c>
      <c r="AD18" s="692">
        <f>IF(uxb_works!$B$122=1,IF(Data!AD17="","",Data!AD17),Scores!AJ17)</f>
        <v>0</v>
      </c>
      <c r="AE18" s="691">
        <f>IF(uxb_works!$B$122=1,IF(Data!AE17="","",Data!AE17),Scores!AK17)</f>
        <v>0</v>
      </c>
      <c r="AF18" s="693"/>
      <c r="AG18" s="693"/>
      <c r="AH18" s="693"/>
      <c r="AI18" s="693"/>
      <c r="AJ18" s="693"/>
      <c r="AK18" s="693"/>
      <c r="AL18" s="693"/>
      <c r="AM18" s="693"/>
      <c r="AN18" s="693"/>
      <c r="AO18" s="693"/>
      <c r="AP18" s="693"/>
      <c r="AQ18" s="693"/>
      <c r="AR18" s="693"/>
    </row>
    <row r="19" spans="1:44" s="646" customFormat="1" ht="30" customHeight="1">
      <c r="A19" s="644"/>
      <c r="B19" s="645">
        <f>tblIndicators!A15</f>
        <v>14</v>
      </c>
      <c r="C19" s="645">
        <f>tblIndicators!B15</f>
        <v>0</v>
      </c>
      <c r="D19" s="645">
        <f>tblIndicators!F15</f>
        <v>3</v>
      </c>
      <c r="E19" s="645">
        <f>tblIndicators!C15</f>
        <v>10</v>
      </c>
      <c r="F19" s="645" t="str">
        <f>tblIndicators!H15</f>
        <v>10.¿Hay programas de formación/capacitación a nivel municipal?</v>
      </c>
      <c r="G19" s="645">
        <f>tblIndicators!Z15</f>
        <v>3</v>
      </c>
      <c r="H19" s="559" t="str">
        <f>REPT(" ",(D19-1)*2)&amp;tblIndicators!AE15</f>
        <v xml:space="preserve">    1.2.6) 10.¿Hay programas de formación/capacitación a nivel municipal?</v>
      </c>
      <c r="I19" s="663">
        <f>IF(uxb_works!$B$122=1,IF(Data!I18="","",Data!I18),Scores!O18)</f>
        <v>0.125</v>
      </c>
      <c r="J19" s="689">
        <f ca="1">IF(uxb_works!$B$122=1,IF(Data!J18="","",Data!J18),Scores!P18)</f>
        <v>0</v>
      </c>
      <c r="K19" s="690">
        <f ca="1">IF(uxb_works!$B$122=1,IF(Data!K18="","",Data!K18),Scores!Q18)</f>
        <v>100</v>
      </c>
      <c r="L19" s="689">
        <f ca="1">IF(uxb_works!$B$122=1,IF(Data!L18="","",Data!L18),Scores!R18)</f>
        <v>33.333333333333329</v>
      </c>
      <c r="M19" s="690">
        <f ca="1">IF(uxb_works!$B$122=1,IF(Data!M18="","",Data!M18),Scores!S18)</f>
        <v>0</v>
      </c>
      <c r="N19" s="689">
        <f ca="1">IF(uxb_works!$B$122=1,IF(Data!N18="","",Data!N18),Scores!T18)</f>
        <v>33.333333333333329</v>
      </c>
      <c r="O19" s="690">
        <f ca="1">IF(uxb_works!$B$122=1,IF(Data!O18="","",Data!O18),Scores!U18)</f>
        <v>100</v>
      </c>
      <c r="P19" s="689">
        <f ca="1">IF(uxb_works!$B$122=1,IF(Data!P18="","",Data!P18),Scores!V18)</f>
        <v>33.333333333333329</v>
      </c>
      <c r="Q19" s="690">
        <f ca="1">IF(uxb_works!$B$122=1,IF(Data!Q18="","",Data!Q18),Scores!W18)</f>
        <v>0</v>
      </c>
      <c r="R19" s="689">
        <f ca="1">IF(uxb_works!$B$122=1,IF(Data!R18="","",Data!R18),Scores!X18)</f>
        <v>33.333333333333329</v>
      </c>
      <c r="S19" s="690">
        <f ca="1">IF(uxb_works!$B$122=1,IF(Data!S18="","",Data!S18),Scores!Y18)</f>
        <v>100</v>
      </c>
      <c r="T19" s="689">
        <f ca="1">IF(uxb_works!$B$122=1,IF(Data!T18="","",Data!T18),Scores!Z18)</f>
        <v>66.666666666666657</v>
      </c>
      <c r="U19" s="691">
        <f ca="1">IF(uxb_works!$B$122=1,IF(Data!U18="","",Data!U18),Scores!AA18)</f>
        <v>100</v>
      </c>
      <c r="V19" s="692">
        <f ca="1">IF(uxb_works!$B$122=1,IF(Data!V18="","",Data!V18),Scores!AB18)</f>
        <v>0</v>
      </c>
      <c r="W19" s="691">
        <f>IF(uxb_works!$B$122=1,IF(Data!W18="","",Data!W18),Scores!AC18)</f>
        <v>0</v>
      </c>
      <c r="X19" s="692">
        <f>IF(uxb_works!$B$122=1,IF(Data!X18="","",Data!X18),Scores!AD18)</f>
        <v>0</v>
      </c>
      <c r="Y19" s="691">
        <f>IF(uxb_works!$B$122=1,IF(Data!Y18="","",Data!Y18),Scores!AE18)</f>
        <v>0</v>
      </c>
      <c r="Z19" s="692">
        <f>IF(uxb_works!$B$122=1,IF(Data!Z18="","",Data!Z18),Scores!AF18)</f>
        <v>0</v>
      </c>
      <c r="AA19" s="691">
        <f>IF(uxb_works!$B$122=1,IF(Data!AA18="","",Data!AA18),Scores!AG18)</f>
        <v>0</v>
      </c>
      <c r="AB19" s="692">
        <f>IF(uxb_works!$B$122=1,IF(Data!AB18="","",Data!AB18),Scores!AH18)</f>
        <v>0</v>
      </c>
      <c r="AC19" s="691">
        <f>IF(uxb_works!$B$122=1,IF(Data!AC18="","",Data!AC18),Scores!AI18)</f>
        <v>0</v>
      </c>
      <c r="AD19" s="692">
        <f>IF(uxb_works!$B$122=1,IF(Data!AD18="","",Data!AD18),Scores!AJ18)</f>
        <v>0</v>
      </c>
      <c r="AE19" s="691">
        <f>IF(uxb_works!$B$122=1,IF(Data!AE18="","",Data!AE18),Scores!AK18)</f>
        <v>0</v>
      </c>
      <c r="AF19" s="693"/>
      <c r="AG19" s="693"/>
      <c r="AH19" s="693"/>
      <c r="AI19" s="693"/>
      <c r="AJ19" s="693"/>
      <c r="AK19" s="693"/>
      <c r="AL19" s="693"/>
      <c r="AM19" s="693"/>
      <c r="AN19" s="693"/>
      <c r="AO19" s="693"/>
      <c r="AP19" s="693"/>
      <c r="AQ19" s="693"/>
      <c r="AR19" s="693"/>
    </row>
    <row r="20" spans="1:44" s="646" customFormat="1" ht="30" customHeight="1">
      <c r="A20" s="644"/>
      <c r="B20" s="645">
        <f>tblIndicators!A16</f>
        <v>15</v>
      </c>
      <c r="C20" s="645">
        <f>tblIndicators!B16</f>
        <v>0</v>
      </c>
      <c r="D20" s="645">
        <f>tblIndicators!F16</f>
        <v>3</v>
      </c>
      <c r="E20" s="645">
        <f>tblIndicators!C16</f>
        <v>11</v>
      </c>
      <c r="F20" s="645" t="str">
        <f>tblIndicators!H16</f>
        <v>11.¿Existen incentivos, programas y/o acciones concretas para el fortalecimiento de la ocupación del reciclador de base?</v>
      </c>
      <c r="G20" s="645">
        <f>tblIndicators!Z16</f>
        <v>3</v>
      </c>
      <c r="H20" s="559" t="str">
        <f>REPT(" ",(D20-1)*2)&amp;tblIndicators!AE16</f>
        <v xml:space="preserve">    1.2.7) 11.¿Existen incentivos, programas y/o acciones concretas para el fortalecimiento de la ocupación del reciclador de base?</v>
      </c>
      <c r="I20" s="663">
        <f>IF(uxb_works!$B$122=1,IF(Data!I19="","",Data!I19),Scores!O19)</f>
        <v>0.125</v>
      </c>
      <c r="J20" s="689">
        <f ca="1">IF(uxb_works!$B$122=1,IF(Data!J19="","",Data!J19),Scores!P19)</f>
        <v>50</v>
      </c>
      <c r="K20" s="690">
        <f ca="1">IF(uxb_works!$B$122=1,IF(Data!K19="","",Data!K19),Scores!Q19)</f>
        <v>50</v>
      </c>
      <c r="L20" s="689">
        <f ca="1">IF(uxb_works!$B$122=1,IF(Data!L19="","",Data!L19),Scores!R19)</f>
        <v>100</v>
      </c>
      <c r="M20" s="690">
        <f ca="1">IF(uxb_works!$B$122=1,IF(Data!M19="","",Data!M19),Scores!S19)</f>
        <v>50</v>
      </c>
      <c r="N20" s="689">
        <f ca="1">IF(uxb_works!$B$122=1,IF(Data!N19="","",Data!N19),Scores!T19)</f>
        <v>0</v>
      </c>
      <c r="O20" s="690">
        <f ca="1">IF(uxb_works!$B$122=1,IF(Data!O19="","",Data!O19),Scores!U19)</f>
        <v>100</v>
      </c>
      <c r="P20" s="689">
        <f ca="1">IF(uxb_works!$B$122=1,IF(Data!P19="","",Data!P19),Scores!V19)</f>
        <v>50</v>
      </c>
      <c r="Q20" s="690">
        <f ca="1">IF(uxb_works!$B$122=1,IF(Data!Q19="","",Data!Q19),Scores!W19)</f>
        <v>50</v>
      </c>
      <c r="R20" s="689">
        <f ca="1">IF(uxb_works!$B$122=1,IF(Data!R19="","",Data!R19),Scores!X19)</f>
        <v>0</v>
      </c>
      <c r="S20" s="690">
        <f ca="1">IF(uxb_works!$B$122=1,IF(Data!S19="","",Data!S19),Scores!Y19)</f>
        <v>100</v>
      </c>
      <c r="T20" s="689">
        <f ca="1">IF(uxb_works!$B$122=1,IF(Data!T19="","",Data!T19),Scores!Z19)</f>
        <v>100</v>
      </c>
      <c r="U20" s="691">
        <f ca="1">IF(uxb_works!$B$122=1,IF(Data!U19="","",Data!U19),Scores!AA19)</f>
        <v>50</v>
      </c>
      <c r="V20" s="692">
        <f ca="1">IF(uxb_works!$B$122=1,IF(Data!V19="","",Data!V19),Scores!AB19)</f>
        <v>0</v>
      </c>
      <c r="W20" s="691">
        <f>IF(uxb_works!$B$122=1,IF(Data!W19="","",Data!W19),Scores!AC19)</f>
        <v>0</v>
      </c>
      <c r="X20" s="692">
        <f>IF(uxb_works!$B$122=1,IF(Data!X19="","",Data!X19),Scores!AD19)</f>
        <v>0</v>
      </c>
      <c r="Y20" s="691">
        <f>IF(uxb_works!$B$122=1,IF(Data!Y19="","",Data!Y19),Scores!AE19)</f>
        <v>0</v>
      </c>
      <c r="Z20" s="692">
        <f>IF(uxb_works!$B$122=1,IF(Data!Z19="","",Data!Z19),Scores!AF19)</f>
        <v>0</v>
      </c>
      <c r="AA20" s="691">
        <f>IF(uxb_works!$B$122=1,IF(Data!AA19="","",Data!AA19),Scores!AG19)</f>
        <v>0</v>
      </c>
      <c r="AB20" s="692">
        <f>IF(uxb_works!$B$122=1,IF(Data!AB19="","",Data!AB19),Scores!AH19)</f>
        <v>0</v>
      </c>
      <c r="AC20" s="691">
        <f>IF(uxb_works!$B$122=1,IF(Data!AC19="","",Data!AC19),Scores!AI19)</f>
        <v>0</v>
      </c>
      <c r="AD20" s="692">
        <f>IF(uxb_works!$B$122=1,IF(Data!AD19="","",Data!AD19),Scores!AJ19)</f>
        <v>0</v>
      </c>
      <c r="AE20" s="691">
        <f>IF(uxb_works!$B$122=1,IF(Data!AE19="","",Data!AE19),Scores!AK19)</f>
        <v>0</v>
      </c>
      <c r="AF20" s="693"/>
      <c r="AG20" s="693"/>
      <c r="AH20" s="693"/>
      <c r="AI20" s="693"/>
      <c r="AJ20" s="693"/>
      <c r="AK20" s="693"/>
      <c r="AL20" s="693"/>
      <c r="AM20" s="693"/>
      <c r="AN20" s="693"/>
      <c r="AO20" s="693"/>
      <c r="AP20" s="693"/>
      <c r="AQ20" s="693"/>
      <c r="AR20" s="693"/>
    </row>
    <row r="21" spans="1:44" s="646" customFormat="1" ht="30" customHeight="1">
      <c r="A21" s="644"/>
      <c r="B21" s="645">
        <f>tblIndicators!A17</f>
        <v>16</v>
      </c>
      <c r="C21" s="645">
        <f>tblIndicators!B17</f>
        <v>0</v>
      </c>
      <c r="D21" s="645">
        <f>tblIndicators!F17</f>
        <v>3</v>
      </c>
      <c r="E21" s="645">
        <f>tblIndicators!C17</f>
        <v>12</v>
      </c>
      <c r="F21" s="645" t="str">
        <f>tblIndicators!H17</f>
        <v xml:space="preserve">12.¿Existen incentivos de reciclaje para los usuarios? </v>
      </c>
      <c r="G21" s="645">
        <f>tblIndicators!Z17</f>
        <v>3</v>
      </c>
      <c r="H21" s="559" t="str">
        <f>REPT(" ",(D21-1)*2)&amp;tblIndicators!AE17</f>
        <v xml:space="preserve">    1.2.8) 12.¿Existen incentivos de reciclaje para los usuarios? </v>
      </c>
      <c r="I21" s="663">
        <f>IF(uxb_works!$B$122=1,IF(Data!I20="","",Data!I20),Scores!O20)</f>
        <v>0.125</v>
      </c>
      <c r="J21" s="689">
        <f ca="1">IF(uxb_works!$B$122=1,IF(Data!J20="","",Data!J20),Scores!P20)</f>
        <v>0</v>
      </c>
      <c r="K21" s="690">
        <f ca="1">IF(uxb_works!$B$122=1,IF(Data!K20="","",Data!K20),Scores!Q20)</f>
        <v>50</v>
      </c>
      <c r="L21" s="689">
        <f ca="1">IF(uxb_works!$B$122=1,IF(Data!L20="","",Data!L20),Scores!R20)</f>
        <v>0</v>
      </c>
      <c r="M21" s="690">
        <f ca="1">IF(uxb_works!$B$122=1,IF(Data!M20="","",Data!M20),Scores!S20)</f>
        <v>50</v>
      </c>
      <c r="N21" s="689">
        <f ca="1">IF(uxb_works!$B$122=1,IF(Data!N20="","",Data!N20),Scores!T20)</f>
        <v>50</v>
      </c>
      <c r="O21" s="690">
        <f ca="1">IF(uxb_works!$B$122=1,IF(Data!O20="","",Data!O20),Scores!U20)</f>
        <v>50</v>
      </c>
      <c r="P21" s="689">
        <f ca="1">IF(uxb_works!$B$122=1,IF(Data!P20="","",Data!P20),Scores!V20)</f>
        <v>0</v>
      </c>
      <c r="Q21" s="690">
        <f ca="1">IF(uxb_works!$B$122=1,IF(Data!Q20="","",Data!Q20),Scores!W20)</f>
        <v>0</v>
      </c>
      <c r="R21" s="689">
        <f ca="1">IF(uxb_works!$B$122=1,IF(Data!R20="","",Data!R20),Scores!X20)</f>
        <v>0</v>
      </c>
      <c r="S21" s="690">
        <f ca="1">IF(uxb_works!$B$122=1,IF(Data!S20="","",Data!S20),Scores!Y20)</f>
        <v>0</v>
      </c>
      <c r="T21" s="689">
        <f ca="1">IF(uxb_works!$B$122=1,IF(Data!T20="","",Data!T20),Scores!Z20)</f>
        <v>0</v>
      </c>
      <c r="U21" s="691">
        <f ca="1">IF(uxb_works!$B$122=1,IF(Data!U20="","",Data!U20),Scores!AA20)</f>
        <v>50</v>
      </c>
      <c r="V21" s="692">
        <f ca="1">IF(uxb_works!$B$122=1,IF(Data!V20="","",Data!V20),Scores!AB20)</f>
        <v>0</v>
      </c>
      <c r="W21" s="691">
        <f>IF(uxb_works!$B$122=1,IF(Data!W20="","",Data!W20),Scores!AC20)</f>
        <v>0</v>
      </c>
      <c r="X21" s="692">
        <f>IF(uxb_works!$B$122=1,IF(Data!X20="","",Data!X20),Scores!AD20)</f>
        <v>0</v>
      </c>
      <c r="Y21" s="691">
        <f>IF(uxb_works!$B$122=1,IF(Data!Y20="","",Data!Y20),Scores!AE20)</f>
        <v>0</v>
      </c>
      <c r="Z21" s="692">
        <f>IF(uxb_works!$B$122=1,IF(Data!Z20="","",Data!Z20),Scores!AF20)</f>
        <v>0</v>
      </c>
      <c r="AA21" s="691">
        <f>IF(uxb_works!$B$122=1,IF(Data!AA20="","",Data!AA20),Scores!AG20)</f>
        <v>0</v>
      </c>
      <c r="AB21" s="692">
        <f>IF(uxb_works!$B$122=1,IF(Data!AB20="","",Data!AB20),Scores!AH20)</f>
        <v>0</v>
      </c>
      <c r="AC21" s="691">
        <f>IF(uxb_works!$B$122=1,IF(Data!AC20="","",Data!AC20),Scores!AI20)</f>
        <v>0</v>
      </c>
      <c r="AD21" s="692">
        <f>IF(uxb_works!$B$122=1,IF(Data!AD20="","",Data!AD20),Scores!AJ20)</f>
        <v>0</v>
      </c>
      <c r="AE21" s="691">
        <f>IF(uxb_works!$B$122=1,IF(Data!AE20="","",Data!AE20),Scores!AK20)</f>
        <v>0</v>
      </c>
      <c r="AF21" s="693"/>
      <c r="AG21" s="693"/>
      <c r="AH21" s="693"/>
      <c r="AI21" s="693"/>
      <c r="AJ21" s="693"/>
      <c r="AK21" s="693"/>
      <c r="AL21" s="693"/>
      <c r="AM21" s="693"/>
      <c r="AN21" s="693"/>
      <c r="AO21" s="693"/>
      <c r="AP21" s="693"/>
      <c r="AQ21" s="693"/>
      <c r="AR21" s="693"/>
    </row>
    <row r="22" spans="1:44" s="627" customFormat="1" ht="24.95" customHeight="1">
      <c r="A22" s="621"/>
      <c r="B22" s="622">
        <f>tblIndicators!A18</f>
        <v>17</v>
      </c>
      <c r="C22" s="622">
        <f>tblIndicators!B18</f>
        <v>0</v>
      </c>
      <c r="D22" s="622">
        <f>tblIndicators!F18</f>
        <v>2</v>
      </c>
      <c r="E22" s="622">
        <f>tblIndicators!C18</f>
        <v>0</v>
      </c>
      <c r="F22" s="622" t="str">
        <f>tblIndicators!H18</f>
        <v>Generación de información</v>
      </c>
      <c r="G22" s="622">
        <f>tblIndicators!Z18</f>
        <v>1</v>
      </c>
      <c r="H22" s="643" t="str">
        <f>REPT(" ",(D22-1)*2)&amp;tblIndicators!AE18</f>
        <v xml:space="preserve">  1.3) Generación de información</v>
      </c>
      <c r="I22" s="642">
        <f>IF(uxb_works!$B$122=1,IF(Data!I21="","",Data!I21),Scores!O21)</f>
        <v>0.25</v>
      </c>
      <c r="J22" s="684">
        <f ca="1">IF(uxb_works!$B$122=1,IF(Data!J21="","",Data!J21),Scores!P21)</f>
        <v>25</v>
      </c>
      <c r="K22" s="685">
        <f ca="1">IF(uxb_works!$B$122=1,IF(Data!K21="","",Data!K21),Scores!Q21)</f>
        <v>50</v>
      </c>
      <c r="L22" s="684">
        <f ca="1">IF(uxb_works!$B$122=1,IF(Data!L21="","",Data!L21),Scores!R21)</f>
        <v>25</v>
      </c>
      <c r="M22" s="685">
        <f ca="1">IF(uxb_works!$B$122=1,IF(Data!M21="","",Data!M21),Scores!S21)</f>
        <v>0</v>
      </c>
      <c r="N22" s="684">
        <f ca="1">IF(uxb_works!$B$122=1,IF(Data!N21="","",Data!N21),Scores!T21)</f>
        <v>25</v>
      </c>
      <c r="O22" s="685">
        <f ca="1">IF(uxb_works!$B$122=1,IF(Data!O21="","",Data!O21),Scores!U21)</f>
        <v>50</v>
      </c>
      <c r="P22" s="684">
        <f ca="1">IF(uxb_works!$B$122=1,IF(Data!P21="","",Data!P21),Scores!V21)</f>
        <v>25</v>
      </c>
      <c r="Q22" s="685">
        <f ca="1">IF(uxb_works!$B$122=1,IF(Data!Q21="","",Data!Q21),Scores!W21)</f>
        <v>25</v>
      </c>
      <c r="R22" s="684">
        <f ca="1">IF(uxb_works!$B$122=1,IF(Data!R21="","",Data!R21),Scores!X21)</f>
        <v>25</v>
      </c>
      <c r="S22" s="685">
        <f ca="1">IF(uxb_works!$B$122=1,IF(Data!S21="","",Data!S21),Scores!Y21)</f>
        <v>50</v>
      </c>
      <c r="T22" s="684">
        <f ca="1">IF(uxb_works!$B$122=1,IF(Data!T21="","",Data!T21),Scores!Z21)</f>
        <v>50</v>
      </c>
      <c r="U22" s="686">
        <f ca="1">IF(uxb_works!$B$122=1,IF(Data!U21="","",Data!U21),Scores!AA21)</f>
        <v>25</v>
      </c>
      <c r="V22" s="687">
        <f ca="1">IF(uxb_works!$B$122=1,IF(Data!V21="","",Data!V21),Scores!AB21)</f>
        <v>0</v>
      </c>
      <c r="W22" s="686">
        <f>IF(uxb_works!$B$122=1,IF(Data!W21="","",Data!W21),Scores!AC21)</f>
        <v>0</v>
      </c>
      <c r="X22" s="687">
        <f>IF(uxb_works!$B$122=1,IF(Data!X21="","",Data!X21),Scores!AD21)</f>
        <v>0</v>
      </c>
      <c r="Y22" s="686">
        <f>IF(uxb_works!$B$122=1,IF(Data!Y21="","",Data!Y21),Scores!AE21)</f>
        <v>0</v>
      </c>
      <c r="Z22" s="687">
        <f>IF(uxb_works!$B$122=1,IF(Data!Z21="","",Data!Z21),Scores!AF21)</f>
        <v>0</v>
      </c>
      <c r="AA22" s="686">
        <f>IF(uxb_works!$B$122=1,IF(Data!AA21="","",Data!AA21),Scores!AG21)</f>
        <v>0</v>
      </c>
      <c r="AB22" s="687">
        <f>IF(uxb_works!$B$122=1,IF(Data!AB21="","",Data!AB21),Scores!AH21)</f>
        <v>0</v>
      </c>
      <c r="AC22" s="686">
        <f>IF(uxb_works!$B$122=1,IF(Data!AC21="","",Data!AC21),Scores!AI21)</f>
        <v>0</v>
      </c>
      <c r="AD22" s="687">
        <f>IF(uxb_works!$B$122=1,IF(Data!AD21="","",Data!AD21),Scores!AJ21)</f>
        <v>0</v>
      </c>
      <c r="AE22" s="686">
        <f>IF(uxb_works!$B$122=1,IF(Data!AE21="","",Data!AE21),Scores!AK21)</f>
        <v>0</v>
      </c>
      <c r="AF22" s="688"/>
      <c r="AG22" s="688"/>
      <c r="AH22" s="688"/>
      <c r="AI22" s="688"/>
      <c r="AJ22" s="688"/>
      <c r="AK22" s="688"/>
      <c r="AL22" s="688"/>
      <c r="AM22" s="688"/>
      <c r="AN22" s="688"/>
      <c r="AO22" s="688"/>
      <c r="AP22" s="688"/>
      <c r="AQ22" s="688"/>
      <c r="AR22" s="688"/>
    </row>
    <row r="23" spans="1:44" s="646" customFormat="1" ht="30" customHeight="1">
      <c r="A23" s="644"/>
      <c r="B23" s="645">
        <f>tblIndicators!A19</f>
        <v>18</v>
      </c>
      <c r="C23" s="645">
        <f>tblIndicators!B19</f>
        <v>0</v>
      </c>
      <c r="D23" s="645">
        <f>tblIndicators!F19</f>
        <v>3</v>
      </c>
      <c r="E23" s="645">
        <f>tblIndicators!C19</f>
        <v>13</v>
      </c>
      <c r="F23" s="645" t="str">
        <f>tblIndicators!H19</f>
        <v>13.¿Hay un sistema municipal de recolección de información de reciclaje inclusivo?</v>
      </c>
      <c r="G23" s="645">
        <f>tblIndicators!Z19</f>
        <v>3</v>
      </c>
      <c r="H23" s="559" t="str">
        <f>REPT(" ",(D23-1)*2)&amp;tblIndicators!AE19</f>
        <v xml:space="preserve">    1.3.1) 13.¿Hay un sistema municipal de recolección de información de reciclaje inclusivo?</v>
      </c>
      <c r="I23" s="663">
        <f>IF(uxb_works!$B$122=1,IF(Data!I22="","",Data!I22),Scores!O22)</f>
        <v>0.5</v>
      </c>
      <c r="J23" s="689">
        <f ca="1">IF(uxb_works!$B$122=1,IF(Data!J22="","",Data!J22),Scores!P22)</f>
        <v>0</v>
      </c>
      <c r="K23" s="690">
        <f ca="1">IF(uxb_works!$B$122=1,IF(Data!K22="","",Data!K22),Scores!Q22)</f>
        <v>50</v>
      </c>
      <c r="L23" s="689">
        <f ca="1">IF(uxb_works!$B$122=1,IF(Data!L22="","",Data!L22),Scores!R22)</f>
        <v>0</v>
      </c>
      <c r="M23" s="690">
        <f ca="1">IF(uxb_works!$B$122=1,IF(Data!M22="","",Data!M22),Scores!S22)</f>
        <v>0</v>
      </c>
      <c r="N23" s="689">
        <f ca="1">IF(uxb_works!$B$122=1,IF(Data!N22="","",Data!N22),Scores!T22)</f>
        <v>0</v>
      </c>
      <c r="O23" s="690">
        <f ca="1">IF(uxb_works!$B$122=1,IF(Data!O22="","",Data!O22),Scores!U22)</f>
        <v>50</v>
      </c>
      <c r="P23" s="689">
        <f ca="1">IF(uxb_works!$B$122=1,IF(Data!P22="","",Data!P22),Scores!V22)</f>
        <v>0</v>
      </c>
      <c r="Q23" s="690">
        <f ca="1">IF(uxb_works!$B$122=1,IF(Data!Q22="","",Data!Q22),Scores!W22)</f>
        <v>0</v>
      </c>
      <c r="R23" s="689">
        <f ca="1">IF(uxb_works!$B$122=1,IF(Data!R22="","",Data!R22),Scores!X22)</f>
        <v>0</v>
      </c>
      <c r="S23" s="690">
        <f ca="1">IF(uxb_works!$B$122=1,IF(Data!S22="","",Data!S22),Scores!Y22)</f>
        <v>50</v>
      </c>
      <c r="T23" s="689">
        <f ca="1">IF(uxb_works!$B$122=1,IF(Data!T22="","",Data!T22),Scores!Z22)</f>
        <v>0</v>
      </c>
      <c r="U23" s="691">
        <f ca="1">IF(uxb_works!$B$122=1,IF(Data!U22="","",Data!U22),Scores!AA22)</f>
        <v>0</v>
      </c>
      <c r="V23" s="692">
        <f ca="1">IF(uxb_works!$B$122=1,IF(Data!V22="","",Data!V22),Scores!AB22)</f>
        <v>0</v>
      </c>
      <c r="W23" s="691">
        <f>IF(uxb_works!$B$122=1,IF(Data!W22="","",Data!W22),Scores!AC22)</f>
        <v>0</v>
      </c>
      <c r="X23" s="692">
        <f>IF(uxb_works!$B$122=1,IF(Data!X22="","",Data!X22),Scores!AD22)</f>
        <v>0</v>
      </c>
      <c r="Y23" s="691">
        <f>IF(uxb_works!$B$122=1,IF(Data!Y22="","",Data!Y22),Scores!AE22)</f>
        <v>0</v>
      </c>
      <c r="Z23" s="692">
        <f>IF(uxb_works!$B$122=1,IF(Data!Z22="","",Data!Z22),Scores!AF22)</f>
        <v>0</v>
      </c>
      <c r="AA23" s="691">
        <f>IF(uxb_works!$B$122=1,IF(Data!AA22="","",Data!AA22),Scores!AG22)</f>
        <v>0</v>
      </c>
      <c r="AB23" s="692">
        <f>IF(uxb_works!$B$122=1,IF(Data!AB22="","",Data!AB22),Scores!AH22)</f>
        <v>0</v>
      </c>
      <c r="AC23" s="691">
        <f>IF(uxb_works!$B$122=1,IF(Data!AC22="","",Data!AC22),Scores!AI22)</f>
        <v>0</v>
      </c>
      <c r="AD23" s="692">
        <f>IF(uxb_works!$B$122=1,IF(Data!AD22="","",Data!AD22),Scores!AJ22)</f>
        <v>0</v>
      </c>
      <c r="AE23" s="691">
        <f>IF(uxb_works!$B$122=1,IF(Data!AE22="","",Data!AE22),Scores!AK22)</f>
        <v>0</v>
      </c>
      <c r="AF23" s="693"/>
      <c r="AG23" s="693"/>
      <c r="AH23" s="693"/>
      <c r="AI23" s="693"/>
      <c r="AJ23" s="693"/>
      <c r="AK23" s="693"/>
      <c r="AL23" s="693"/>
      <c r="AM23" s="693"/>
      <c r="AN23" s="693"/>
      <c r="AO23" s="693"/>
      <c r="AP23" s="693"/>
      <c r="AQ23" s="693"/>
      <c r="AR23" s="693"/>
    </row>
    <row r="24" spans="1:44" s="646" customFormat="1" ht="30" customHeight="1">
      <c r="A24" s="644"/>
      <c r="B24" s="645">
        <f>tblIndicators!A20</f>
        <v>19</v>
      </c>
      <c r="C24" s="645">
        <f>tblIndicators!B20</f>
        <v>0</v>
      </c>
      <c r="D24" s="645">
        <f>tblIndicators!F20</f>
        <v>3</v>
      </c>
      <c r="E24" s="645">
        <f>tblIndicators!C20</f>
        <v>14</v>
      </c>
      <c r="F24" s="645" t="str">
        <f>tblIndicators!H20</f>
        <v>14.¿Hay campañas de comunicación para fomentar el reciclaje inclusivo con difusión en el municipio?</v>
      </c>
      <c r="G24" s="645">
        <f>tblIndicators!Z20</f>
        <v>3</v>
      </c>
      <c r="H24" s="559" t="str">
        <f>REPT(" ",(D24-1)*2)&amp;tblIndicators!AE20</f>
        <v xml:space="preserve">    1.3.2) 14.¿Hay campañas de comunicación para fomentar el reciclaje inclusivo con difusión en el municipio?</v>
      </c>
      <c r="I24" s="663">
        <f>IF(uxb_works!$B$122=1,IF(Data!I23="","",Data!I23),Scores!O23)</f>
        <v>0.5</v>
      </c>
      <c r="J24" s="689">
        <f ca="1">IF(uxb_works!$B$122=1,IF(Data!J23="","",Data!J23),Scores!P23)</f>
        <v>50</v>
      </c>
      <c r="K24" s="690">
        <f ca="1">IF(uxb_works!$B$122=1,IF(Data!K23="","",Data!K23),Scores!Q23)</f>
        <v>50</v>
      </c>
      <c r="L24" s="689">
        <f ca="1">IF(uxb_works!$B$122=1,IF(Data!L23="","",Data!L23),Scores!R23)</f>
        <v>50</v>
      </c>
      <c r="M24" s="690">
        <f ca="1">IF(uxb_works!$B$122=1,IF(Data!M23="","",Data!M23),Scores!S23)</f>
        <v>0</v>
      </c>
      <c r="N24" s="689">
        <f ca="1">IF(uxb_works!$B$122=1,IF(Data!N23="","",Data!N23),Scores!T23)</f>
        <v>50</v>
      </c>
      <c r="O24" s="690">
        <f ca="1">IF(uxb_works!$B$122=1,IF(Data!O23="","",Data!O23),Scores!U23)</f>
        <v>50</v>
      </c>
      <c r="P24" s="689">
        <f ca="1">IF(uxb_works!$B$122=1,IF(Data!P23="","",Data!P23),Scores!V23)</f>
        <v>50</v>
      </c>
      <c r="Q24" s="690">
        <f ca="1">IF(uxb_works!$B$122=1,IF(Data!Q23="","",Data!Q23),Scores!W23)</f>
        <v>50</v>
      </c>
      <c r="R24" s="689">
        <f ca="1">IF(uxb_works!$B$122=1,IF(Data!R23="","",Data!R23),Scores!X23)</f>
        <v>50</v>
      </c>
      <c r="S24" s="690">
        <f ca="1">IF(uxb_works!$B$122=1,IF(Data!S23="","",Data!S23),Scores!Y23)</f>
        <v>50</v>
      </c>
      <c r="T24" s="689">
        <f ca="1">IF(uxb_works!$B$122=1,IF(Data!T23="","",Data!T23),Scores!Z23)</f>
        <v>100</v>
      </c>
      <c r="U24" s="691">
        <f ca="1">IF(uxb_works!$B$122=1,IF(Data!U23="","",Data!U23),Scores!AA23)</f>
        <v>50</v>
      </c>
      <c r="V24" s="692">
        <f ca="1">IF(uxb_works!$B$122=1,IF(Data!V23="","",Data!V23),Scores!AB23)</f>
        <v>0</v>
      </c>
      <c r="W24" s="691">
        <f>IF(uxb_works!$B$122=1,IF(Data!W23="","",Data!W23),Scores!AC23)</f>
        <v>0</v>
      </c>
      <c r="X24" s="692">
        <f>IF(uxb_works!$B$122=1,IF(Data!X23="","",Data!X23),Scores!AD23)</f>
        <v>0</v>
      </c>
      <c r="Y24" s="691">
        <f>IF(uxb_works!$B$122=1,IF(Data!Y23="","",Data!Y23),Scores!AE23)</f>
        <v>0</v>
      </c>
      <c r="Z24" s="692">
        <f>IF(uxb_works!$B$122=1,IF(Data!Z23="","",Data!Z23),Scores!AF23)</f>
        <v>0</v>
      </c>
      <c r="AA24" s="691">
        <f>IF(uxb_works!$B$122=1,IF(Data!AA23="","",Data!AA23),Scores!AG23)</f>
        <v>0</v>
      </c>
      <c r="AB24" s="692">
        <f>IF(uxb_works!$B$122=1,IF(Data!AB23="","",Data!AB23),Scores!AH23)</f>
        <v>0</v>
      </c>
      <c r="AC24" s="691">
        <f>IF(uxb_works!$B$122=1,IF(Data!AC23="","",Data!AC23),Scores!AI23)</f>
        <v>0</v>
      </c>
      <c r="AD24" s="692">
        <f>IF(uxb_works!$B$122=1,IF(Data!AD23="","",Data!AD23),Scores!AJ23)</f>
        <v>0</v>
      </c>
      <c r="AE24" s="691">
        <f>IF(uxb_works!$B$122=1,IF(Data!AE23="","",Data!AE23),Scores!AK23)</f>
        <v>0</v>
      </c>
      <c r="AF24" s="693"/>
      <c r="AG24" s="693"/>
      <c r="AH24" s="693"/>
      <c r="AI24" s="693"/>
      <c r="AJ24" s="693"/>
      <c r="AK24" s="693"/>
      <c r="AL24" s="693"/>
      <c r="AM24" s="693"/>
      <c r="AN24" s="693"/>
      <c r="AO24" s="693"/>
      <c r="AP24" s="693"/>
      <c r="AQ24" s="693"/>
      <c r="AR24" s="693"/>
    </row>
    <row r="25" spans="1:44" s="627" customFormat="1" ht="24.95" customHeight="1">
      <c r="A25" s="621"/>
      <c r="B25" s="622">
        <f>tblIndicators!A21</f>
        <v>20</v>
      </c>
      <c r="C25" s="622">
        <f>tblIndicators!B21</f>
        <v>0</v>
      </c>
      <c r="D25" s="622">
        <f>tblIndicators!F21</f>
        <v>2</v>
      </c>
      <c r="E25" s="622">
        <f>tblIndicators!C21</f>
        <v>0</v>
      </c>
      <c r="F25" s="622" t="str">
        <f>tblIndicators!H21</f>
        <v>Salud pública y el medioambiente</v>
      </c>
      <c r="G25" s="622">
        <f>tblIndicators!Z21</f>
        <v>1</v>
      </c>
      <c r="H25" s="643" t="str">
        <f>REPT(" ",(D25-1)*2)&amp;tblIndicators!AE21</f>
        <v xml:space="preserve">  1.4) Salud pública y el medioambiente</v>
      </c>
      <c r="I25" s="642">
        <f>IF(uxb_works!$B$122=1,IF(Data!I24="","",Data!I24),Scores!O24)</f>
        <v>0.25</v>
      </c>
      <c r="J25" s="684">
        <f ca="1">IF(uxb_works!$B$122=1,IF(Data!J24="","",Data!J24),Scores!P24)</f>
        <v>50</v>
      </c>
      <c r="K25" s="685">
        <f ca="1">IF(uxb_works!$B$122=1,IF(Data!K24="","",Data!K24),Scores!Q24)</f>
        <v>50</v>
      </c>
      <c r="L25" s="684">
        <f ca="1">IF(uxb_works!$B$122=1,IF(Data!L24="","",Data!L24),Scores!R24)</f>
        <v>100</v>
      </c>
      <c r="M25" s="685">
        <f ca="1">IF(uxb_works!$B$122=1,IF(Data!M24="","",Data!M24),Scores!S24)</f>
        <v>50</v>
      </c>
      <c r="N25" s="684">
        <f ca="1">IF(uxb_works!$B$122=1,IF(Data!N24="","",Data!N24),Scores!T24)</f>
        <v>100</v>
      </c>
      <c r="O25" s="685">
        <f ca="1">IF(uxb_works!$B$122=1,IF(Data!O24="","",Data!O24),Scores!U24)</f>
        <v>50</v>
      </c>
      <c r="P25" s="684">
        <f ca="1">IF(uxb_works!$B$122=1,IF(Data!P24="","",Data!P24),Scores!V24)</f>
        <v>100</v>
      </c>
      <c r="Q25" s="685">
        <f ca="1">IF(uxb_works!$B$122=1,IF(Data!Q24="","",Data!Q24),Scores!W24)</f>
        <v>50</v>
      </c>
      <c r="R25" s="684">
        <f ca="1">IF(uxb_works!$B$122=1,IF(Data!R24="","",Data!R24),Scores!X24)</f>
        <v>50</v>
      </c>
      <c r="S25" s="685">
        <f ca="1">IF(uxb_works!$B$122=1,IF(Data!S24="","",Data!S24),Scores!Y24)</f>
        <v>50</v>
      </c>
      <c r="T25" s="684">
        <f ca="1">IF(uxb_works!$B$122=1,IF(Data!T24="","",Data!T24),Scores!Z24)</f>
        <v>100</v>
      </c>
      <c r="U25" s="686">
        <f ca="1">IF(uxb_works!$B$122=1,IF(Data!U24="","",Data!U24),Scores!AA24)</f>
        <v>50</v>
      </c>
      <c r="V25" s="687">
        <f ca="1">IF(uxb_works!$B$122=1,IF(Data!V24="","",Data!V24),Scores!AB24)</f>
        <v>0</v>
      </c>
      <c r="W25" s="686">
        <f>IF(uxb_works!$B$122=1,IF(Data!W24="","",Data!W24),Scores!AC24)</f>
        <v>0</v>
      </c>
      <c r="X25" s="687">
        <f>IF(uxb_works!$B$122=1,IF(Data!X24="","",Data!X24),Scores!AD24)</f>
        <v>0</v>
      </c>
      <c r="Y25" s="686">
        <f>IF(uxb_works!$B$122=1,IF(Data!Y24="","",Data!Y24),Scores!AE24)</f>
        <v>0</v>
      </c>
      <c r="Z25" s="687">
        <f>IF(uxb_works!$B$122=1,IF(Data!Z24="","",Data!Z24),Scores!AF24)</f>
        <v>0</v>
      </c>
      <c r="AA25" s="686">
        <f>IF(uxb_works!$B$122=1,IF(Data!AA24="","",Data!AA24),Scores!AG24)</f>
        <v>0</v>
      </c>
      <c r="AB25" s="687">
        <f>IF(uxb_works!$B$122=1,IF(Data!AB24="","",Data!AB24),Scores!AH24)</f>
        <v>0</v>
      </c>
      <c r="AC25" s="686">
        <f>IF(uxb_works!$B$122=1,IF(Data!AC24="","",Data!AC24),Scores!AI24)</f>
        <v>0</v>
      </c>
      <c r="AD25" s="687">
        <f>IF(uxb_works!$B$122=1,IF(Data!AD24="","",Data!AD24),Scores!AJ24)</f>
        <v>0</v>
      </c>
      <c r="AE25" s="686">
        <f>IF(uxb_works!$B$122=1,IF(Data!AE24="","",Data!AE24),Scores!AK24)</f>
        <v>0</v>
      </c>
      <c r="AF25" s="688"/>
      <c r="AG25" s="688"/>
      <c r="AH25" s="688"/>
      <c r="AI25" s="688"/>
      <c r="AJ25" s="688"/>
      <c r="AK25" s="688"/>
      <c r="AL25" s="688"/>
      <c r="AM25" s="688"/>
      <c r="AN25" s="688"/>
      <c r="AO25" s="688"/>
      <c r="AP25" s="688"/>
      <c r="AQ25" s="688"/>
      <c r="AR25" s="688"/>
    </row>
    <row r="26" spans="1:44" s="646" customFormat="1" ht="30" customHeight="1">
      <c r="A26" s="644"/>
      <c r="B26" s="645">
        <f>tblIndicators!A22</f>
        <v>21</v>
      </c>
      <c r="C26" s="645">
        <f>tblIndicators!B22</f>
        <v>0</v>
      </c>
      <c r="D26" s="645">
        <f>tblIndicators!F22</f>
        <v>3</v>
      </c>
      <c r="E26" s="645">
        <f>tblIndicators!C22</f>
        <v>15</v>
      </c>
      <c r="F26" s="645" t="str">
        <f>tblIndicators!H22</f>
        <v>15.¿Existe adecuada regulación y control sobre clasificación y manejo de desechos especiales y/o  peligrosos y sobre clasificación en la calle?</v>
      </c>
      <c r="G26" s="645">
        <f>tblIndicators!Z22</f>
        <v>3</v>
      </c>
      <c r="H26" s="559" t="str">
        <f>REPT(" ",(D26-1)*2)&amp;tblIndicators!AE22</f>
        <v xml:space="preserve">    1.4.1) 15.¿Existe adecuada regulación y control sobre clasificación y manejo de desechos especiales y/o  peligrosos y sobre clasificación en la calle?</v>
      </c>
      <c r="I26" s="663">
        <f>IF(uxb_works!$B$122=1,IF(Data!I25="","",Data!I25),Scores!O25)</f>
        <v>1</v>
      </c>
      <c r="J26" s="689">
        <f ca="1">IF(uxb_works!$B$122=1,IF(Data!J25="","",Data!J25),Scores!P25)</f>
        <v>50</v>
      </c>
      <c r="K26" s="690">
        <f ca="1">IF(uxb_works!$B$122=1,IF(Data!K25="","",Data!K25),Scores!Q25)</f>
        <v>50</v>
      </c>
      <c r="L26" s="689">
        <f ca="1">IF(uxb_works!$B$122=1,IF(Data!L25="","",Data!L25),Scores!R25)</f>
        <v>100</v>
      </c>
      <c r="M26" s="690">
        <f ca="1">IF(uxb_works!$B$122=1,IF(Data!M25="","",Data!M25),Scores!S25)</f>
        <v>50</v>
      </c>
      <c r="N26" s="689">
        <f ca="1">IF(uxb_works!$B$122=1,IF(Data!N25="","",Data!N25),Scores!T25)</f>
        <v>100</v>
      </c>
      <c r="O26" s="690">
        <f ca="1">IF(uxb_works!$B$122=1,IF(Data!O25="","",Data!O25),Scores!U25)</f>
        <v>50</v>
      </c>
      <c r="P26" s="689">
        <f ca="1">IF(uxb_works!$B$122=1,IF(Data!P25="","",Data!P25),Scores!V25)</f>
        <v>100</v>
      </c>
      <c r="Q26" s="690">
        <f ca="1">IF(uxb_works!$B$122=1,IF(Data!Q25="","",Data!Q25),Scores!W25)</f>
        <v>50</v>
      </c>
      <c r="R26" s="689">
        <f ca="1">IF(uxb_works!$B$122=1,IF(Data!R25="","",Data!R25),Scores!X25)</f>
        <v>50</v>
      </c>
      <c r="S26" s="690">
        <f ca="1">IF(uxb_works!$B$122=1,IF(Data!S25="","",Data!S25),Scores!Y25)</f>
        <v>50</v>
      </c>
      <c r="T26" s="689">
        <f ca="1">IF(uxb_works!$B$122=1,IF(Data!T25="","",Data!T25),Scores!Z25)</f>
        <v>100</v>
      </c>
      <c r="U26" s="691">
        <f ca="1">IF(uxb_works!$B$122=1,IF(Data!U25="","",Data!U25),Scores!AA25)</f>
        <v>50</v>
      </c>
      <c r="V26" s="692">
        <f ca="1">IF(uxb_works!$B$122=1,IF(Data!V25="","",Data!V25),Scores!AB25)</f>
        <v>0</v>
      </c>
      <c r="W26" s="691">
        <f>IF(uxb_works!$B$122=1,IF(Data!W25="","",Data!W25),Scores!AC25)</f>
        <v>0</v>
      </c>
      <c r="X26" s="692">
        <f>IF(uxb_works!$B$122=1,IF(Data!X25="","",Data!X25),Scores!AD25)</f>
        <v>0</v>
      </c>
      <c r="Y26" s="691">
        <f>IF(uxb_works!$B$122=1,IF(Data!Y25="","",Data!Y25),Scores!AE25)</f>
        <v>0</v>
      </c>
      <c r="Z26" s="692">
        <f>IF(uxb_works!$B$122=1,IF(Data!Z25="","",Data!Z25),Scores!AF25)</f>
        <v>0</v>
      </c>
      <c r="AA26" s="691">
        <f>IF(uxb_works!$B$122=1,IF(Data!AA25="","",Data!AA25),Scores!AG25)</f>
        <v>0</v>
      </c>
      <c r="AB26" s="692">
        <f>IF(uxb_works!$B$122=1,IF(Data!AB25="","",Data!AB25),Scores!AH25)</f>
        <v>0</v>
      </c>
      <c r="AC26" s="691">
        <f>IF(uxb_works!$B$122=1,IF(Data!AC25="","",Data!AC25),Scores!AI25)</f>
        <v>0</v>
      </c>
      <c r="AD26" s="692">
        <f>IF(uxb_works!$B$122=1,IF(Data!AD25="","",Data!AD25),Scores!AJ25)</f>
        <v>0</v>
      </c>
      <c r="AE26" s="691">
        <f>IF(uxb_works!$B$122=1,IF(Data!AE25="","",Data!AE25),Scores!AK25)</f>
        <v>0</v>
      </c>
      <c r="AF26" s="693"/>
      <c r="AG26" s="693"/>
      <c r="AH26" s="693"/>
      <c r="AI26" s="693"/>
      <c r="AJ26" s="693"/>
      <c r="AK26" s="693"/>
      <c r="AL26" s="693"/>
      <c r="AM26" s="693"/>
      <c r="AN26" s="693"/>
      <c r="AO26" s="693"/>
      <c r="AP26" s="693"/>
      <c r="AQ26" s="693"/>
      <c r="AR26" s="693"/>
    </row>
    <row r="27" spans="1:44" s="634" customFormat="1" ht="39.950000000000003" customHeight="1">
      <c r="A27" s="628"/>
      <c r="B27" s="629">
        <f>tblIndicators!A23</f>
        <v>22</v>
      </c>
      <c r="C27" s="629">
        <f>tblIndicators!B23</f>
        <v>0</v>
      </c>
      <c r="D27" s="629">
        <f>tblIndicators!F23</f>
        <v>1</v>
      </c>
      <c r="E27" s="629">
        <f>tblIndicators!C23</f>
        <v>0</v>
      </c>
      <c r="F27" s="629" t="str">
        <f>tblIndicators!H23</f>
        <v>Organizativa</v>
      </c>
      <c r="G27" s="629">
        <f>tblIndicators!Z23</f>
        <v>1</v>
      </c>
      <c r="H27" s="640" t="str">
        <f>REPT(" ",(D27-1)*2)&amp;tblIndicators!AE23</f>
        <v>2) ORGANIZATIVA</v>
      </c>
      <c r="I27" s="641">
        <f>IF(uxb_works!$B$122=1,IF(Data!I26="","",Data!I26),Scores!O26)</f>
        <v>0.33333333333333331</v>
      </c>
      <c r="J27" s="679">
        <f ca="1">IF(uxb_works!$B$122=1,IF(Data!J26="","",Data!J26),Scores!P26)</f>
        <v>28.333333333333332</v>
      </c>
      <c r="K27" s="680">
        <f ca="1">IF(uxb_works!$B$122=1,IF(Data!K26="","",Data!K26),Scores!Q26)</f>
        <v>70</v>
      </c>
      <c r="L27" s="679">
        <f ca="1">IF(uxb_works!$B$122=1,IF(Data!L26="","",Data!L26),Scores!R26)</f>
        <v>79.444444444444429</v>
      </c>
      <c r="M27" s="680">
        <f ca="1">IF(uxb_works!$B$122=1,IF(Data!M26="","",Data!M26),Scores!S26)</f>
        <v>0</v>
      </c>
      <c r="N27" s="679">
        <f ca="1">IF(uxb_works!$B$122=1,IF(Data!N26="","",Data!N26),Scores!T26)</f>
        <v>51.666666666666664</v>
      </c>
      <c r="O27" s="680">
        <f ca="1">IF(uxb_works!$B$122=1,IF(Data!O26="","",Data!O26),Scores!U26)</f>
        <v>46.666666666666664</v>
      </c>
      <c r="P27" s="679">
        <f ca="1">IF(uxb_works!$B$122=1,IF(Data!P26="","",Data!P26),Scores!V26)</f>
        <v>33.333333333333329</v>
      </c>
      <c r="Q27" s="680">
        <f ca="1">IF(uxb_works!$B$122=1,IF(Data!Q26="","",Data!Q26),Scores!W26)</f>
        <v>46.666666666666664</v>
      </c>
      <c r="R27" s="679">
        <f ca="1">IF(uxb_works!$B$122=1,IF(Data!R26="","",Data!R26),Scores!X26)</f>
        <v>0</v>
      </c>
      <c r="S27" s="680">
        <f ca="1">IF(uxb_works!$B$122=1,IF(Data!S26="","",Data!S26),Scores!Y26)</f>
        <v>68.888888888888886</v>
      </c>
      <c r="T27" s="679">
        <f ca="1">IF(uxb_works!$B$122=1,IF(Data!T26="","",Data!T26),Scores!Z26)</f>
        <v>46.666666666666664</v>
      </c>
      <c r="U27" s="681">
        <f ca="1">IF(uxb_works!$B$122=1,IF(Data!U26="","",Data!U26),Scores!AA26)</f>
        <v>34.444444444444443</v>
      </c>
      <c r="V27" s="682">
        <f ca="1">IF(uxb_works!$B$122=1,IF(Data!V26="","",Data!V26),Scores!AB26)</f>
        <v>0</v>
      </c>
      <c r="W27" s="681">
        <f>IF(uxb_works!$B$122=1,IF(Data!W26="","",Data!W26),Scores!AC26)</f>
        <v>0</v>
      </c>
      <c r="X27" s="682">
        <f>IF(uxb_works!$B$122=1,IF(Data!X26="","",Data!X26),Scores!AD26)</f>
        <v>0</v>
      </c>
      <c r="Y27" s="681">
        <f>IF(uxb_works!$B$122=1,IF(Data!Y26="","",Data!Y26),Scores!AE26)</f>
        <v>0</v>
      </c>
      <c r="Z27" s="682">
        <f>IF(uxb_works!$B$122=1,IF(Data!Z26="","",Data!Z26),Scores!AF26)</f>
        <v>0</v>
      </c>
      <c r="AA27" s="681">
        <f>IF(uxb_works!$B$122=1,IF(Data!AA26="","",Data!AA26),Scores!AG26)</f>
        <v>0</v>
      </c>
      <c r="AB27" s="682">
        <f>IF(uxb_works!$B$122=1,IF(Data!AB26="","",Data!AB26),Scores!AH26)</f>
        <v>0</v>
      </c>
      <c r="AC27" s="681">
        <f>IF(uxb_works!$B$122=1,IF(Data!AC26="","",Data!AC26),Scores!AI26)</f>
        <v>0</v>
      </c>
      <c r="AD27" s="682">
        <f>IF(uxb_works!$B$122=1,IF(Data!AD26="","",Data!AD26),Scores!AJ26)</f>
        <v>0</v>
      </c>
      <c r="AE27" s="681">
        <f>IF(uxb_works!$B$122=1,IF(Data!AE26="","",Data!AE26),Scores!AK26)</f>
        <v>0</v>
      </c>
      <c r="AF27" s="683"/>
      <c r="AG27" s="683"/>
      <c r="AH27" s="683"/>
      <c r="AI27" s="683"/>
      <c r="AJ27" s="683"/>
      <c r="AK27" s="683"/>
      <c r="AL27" s="683"/>
      <c r="AM27" s="683"/>
      <c r="AN27" s="683"/>
      <c r="AO27" s="683"/>
      <c r="AP27" s="683"/>
      <c r="AQ27" s="683"/>
      <c r="AR27" s="683"/>
    </row>
    <row r="28" spans="1:44" s="627" customFormat="1" ht="24.95" customHeight="1">
      <c r="A28" s="621"/>
      <c r="B28" s="622">
        <f>tblIndicators!A24</f>
        <v>23</v>
      </c>
      <c r="C28" s="622">
        <f>tblIndicators!B24</f>
        <v>0</v>
      </c>
      <c r="D28" s="622">
        <f>tblIndicators!F24</f>
        <v>2</v>
      </c>
      <c r="E28" s="622">
        <f>tblIndicators!C24</f>
        <v>0</v>
      </c>
      <c r="F28" s="622" t="str">
        <f>tblIndicators!H24</f>
        <v>Asociatividad</v>
      </c>
      <c r="G28" s="622">
        <f>tblIndicators!Z24</f>
        <v>1</v>
      </c>
      <c r="H28" s="643" t="str">
        <f>REPT(" ",(D28-1)*2)&amp;tblIndicators!AE24</f>
        <v xml:space="preserve">  2.1) Asociatividad</v>
      </c>
      <c r="I28" s="642">
        <f>IF(uxb_works!$B$122=1,IF(Data!I27="","",Data!I27),Scores!O27)</f>
        <v>0.5</v>
      </c>
      <c r="J28" s="684">
        <f ca="1">IF(uxb_works!$B$122=1,IF(Data!J27="","",Data!J27),Scores!P27)</f>
        <v>40</v>
      </c>
      <c r="K28" s="685">
        <f ca="1">IF(uxb_works!$B$122=1,IF(Data!K27="","",Data!K27),Scores!Q27)</f>
        <v>90</v>
      </c>
      <c r="L28" s="684">
        <f ca="1">IF(uxb_works!$B$122=1,IF(Data!L27="","",Data!L27),Scores!R27)</f>
        <v>70</v>
      </c>
      <c r="M28" s="685">
        <f ca="1">IF(uxb_works!$B$122=1,IF(Data!M27="","",Data!M27),Scores!S27)</f>
        <v>0</v>
      </c>
      <c r="N28" s="684">
        <f ca="1">IF(uxb_works!$B$122=1,IF(Data!N27="","",Data!N27),Scores!T27)</f>
        <v>70</v>
      </c>
      <c r="O28" s="685">
        <f ca="1">IF(uxb_works!$B$122=1,IF(Data!O27="","",Data!O27),Scores!U27)</f>
        <v>60</v>
      </c>
      <c r="P28" s="684">
        <f ca="1">IF(uxb_works!$B$122=1,IF(Data!P27="","",Data!P27),Scores!V27)</f>
        <v>50</v>
      </c>
      <c r="Q28" s="685">
        <f ca="1">IF(uxb_works!$B$122=1,IF(Data!Q27="","",Data!Q27),Scores!W27)</f>
        <v>60</v>
      </c>
      <c r="R28" s="684">
        <f ca="1">IF(uxb_works!$B$122=1,IF(Data!R27="","",Data!R27),Scores!X27)</f>
        <v>0</v>
      </c>
      <c r="S28" s="685">
        <f ca="1">IF(uxb_works!$B$122=1,IF(Data!S27="","",Data!S27),Scores!Y27)</f>
        <v>60</v>
      </c>
      <c r="T28" s="684">
        <f ca="1">IF(uxb_works!$B$122=1,IF(Data!T27="","",Data!T27),Scores!Z27)</f>
        <v>60</v>
      </c>
      <c r="U28" s="686">
        <f ca="1">IF(uxb_works!$B$122=1,IF(Data!U27="","",Data!U27),Scores!AA27)</f>
        <v>30</v>
      </c>
      <c r="V28" s="687">
        <f ca="1">IF(uxb_works!$B$122=1,IF(Data!V27="","",Data!V27),Scores!AB27)</f>
        <v>0</v>
      </c>
      <c r="W28" s="686">
        <f>IF(uxb_works!$B$122=1,IF(Data!W27="","",Data!W27),Scores!AC27)</f>
        <v>0</v>
      </c>
      <c r="X28" s="687">
        <f>IF(uxb_works!$B$122=1,IF(Data!X27="","",Data!X27),Scores!AD27)</f>
        <v>0</v>
      </c>
      <c r="Y28" s="686">
        <f>IF(uxb_works!$B$122=1,IF(Data!Y27="","",Data!Y27),Scores!AE27)</f>
        <v>0</v>
      </c>
      <c r="Z28" s="687">
        <f>IF(uxb_works!$B$122=1,IF(Data!Z27="","",Data!Z27),Scores!AF27)</f>
        <v>0</v>
      </c>
      <c r="AA28" s="686">
        <f>IF(uxb_works!$B$122=1,IF(Data!AA27="","",Data!AA27),Scores!AG27)</f>
        <v>0</v>
      </c>
      <c r="AB28" s="687">
        <f>IF(uxb_works!$B$122=1,IF(Data!AB27="","",Data!AB27),Scores!AH27)</f>
        <v>0</v>
      </c>
      <c r="AC28" s="686">
        <f>IF(uxb_works!$B$122=1,IF(Data!AC27="","",Data!AC27),Scores!AI27)</f>
        <v>0</v>
      </c>
      <c r="AD28" s="687">
        <f>IF(uxb_works!$B$122=1,IF(Data!AD27="","",Data!AD27),Scores!AJ27)</f>
        <v>0</v>
      </c>
      <c r="AE28" s="686">
        <f>IF(uxb_works!$B$122=1,IF(Data!AE27="","",Data!AE27),Scores!AK27)</f>
        <v>0</v>
      </c>
      <c r="AF28" s="688"/>
      <c r="AG28" s="688"/>
      <c r="AH28" s="688"/>
      <c r="AI28" s="688"/>
      <c r="AJ28" s="688"/>
      <c r="AK28" s="688"/>
      <c r="AL28" s="688"/>
      <c r="AM28" s="688"/>
      <c r="AN28" s="688"/>
      <c r="AO28" s="688"/>
      <c r="AP28" s="688"/>
      <c r="AQ28" s="688"/>
      <c r="AR28" s="688"/>
    </row>
    <row r="29" spans="1:44" s="646" customFormat="1" ht="30" customHeight="1">
      <c r="A29" s="647" t="s">
        <v>670</v>
      </c>
      <c r="B29" s="645">
        <f>tblIndicators!A25</f>
        <v>24</v>
      </c>
      <c r="C29" s="645">
        <f>tblIndicators!B25</f>
        <v>0</v>
      </c>
      <c r="D29" s="645">
        <f>tblIndicators!F25</f>
        <v>3</v>
      </c>
      <c r="E29" s="645">
        <f>tblIndicators!C25</f>
        <v>16</v>
      </c>
      <c r="F29" s="645" t="str">
        <f>tblIndicators!H25</f>
        <v>16.¿Cuán dinámicas son las asociaciones?</v>
      </c>
      <c r="G29" s="645">
        <f>tblIndicators!Z25</f>
        <v>3</v>
      </c>
      <c r="H29" s="559" t="str">
        <f>REPT(" ",(D29-1)*2)&amp;tblIndicators!AE25</f>
        <v xml:space="preserve">    2.1.1) 16.¿Cuán dinámicas son las asociaciones?</v>
      </c>
      <c r="I29" s="663">
        <f>IF(uxb_works!$B$122=1,IF(Data!I28="","",Data!I28),Scores!O28)</f>
        <v>0.2</v>
      </c>
      <c r="J29" s="689">
        <f ca="1">IF(uxb_works!$B$122=1,IF(Data!J28="","",Data!J28),Scores!P28)</f>
        <v>100</v>
      </c>
      <c r="K29" s="690">
        <f ca="1">IF(uxb_works!$B$122=1,IF(Data!K28="","",Data!K28),Scores!Q28)</f>
        <v>50</v>
      </c>
      <c r="L29" s="689">
        <f ca="1">IF(uxb_works!$B$122=1,IF(Data!L28="","",Data!L28),Scores!R28)</f>
        <v>50</v>
      </c>
      <c r="M29" s="690">
        <f ca="1">IF(uxb_works!$B$122=1,IF(Data!M28="","",Data!M28),Scores!S28)</f>
        <v>0</v>
      </c>
      <c r="N29" s="689">
        <f ca="1">IF(uxb_works!$B$122=1,IF(Data!N28="","",Data!N28),Scores!T28)</f>
        <v>100</v>
      </c>
      <c r="O29" s="690">
        <f ca="1">IF(uxb_works!$B$122=1,IF(Data!O28="","",Data!O28),Scores!U28)</f>
        <v>50</v>
      </c>
      <c r="P29" s="689">
        <f ca="1">IF(uxb_works!$B$122=1,IF(Data!P28="","",Data!P28),Scores!V28)</f>
        <v>100</v>
      </c>
      <c r="Q29" s="690">
        <f ca="1">IF(uxb_works!$B$122=1,IF(Data!Q28="","",Data!Q28),Scores!W28)</f>
        <v>50</v>
      </c>
      <c r="R29" s="689">
        <f ca="1">IF(uxb_works!$B$122=1,IF(Data!R28="","",Data!R28),Scores!X28)</f>
        <v>0</v>
      </c>
      <c r="S29" s="690">
        <f ca="1">IF(uxb_works!$B$122=1,IF(Data!S28="","",Data!S28),Scores!Y28)</f>
        <v>0</v>
      </c>
      <c r="T29" s="689">
        <f ca="1">IF(uxb_works!$B$122=1,IF(Data!T28="","",Data!T28),Scores!Z28)</f>
        <v>0</v>
      </c>
      <c r="U29" s="691">
        <f ca="1">IF(uxb_works!$B$122=1,IF(Data!U28="","",Data!U28),Scores!AA28)</f>
        <v>0</v>
      </c>
      <c r="V29" s="692">
        <f ca="1">IF(uxb_works!$B$122=1,IF(Data!V28="","",Data!V28),Scores!AB28)</f>
        <v>0</v>
      </c>
      <c r="W29" s="691">
        <f>IF(uxb_works!$B$122=1,IF(Data!W28="","",Data!W28),Scores!AC28)</f>
        <v>0</v>
      </c>
      <c r="X29" s="692">
        <f>IF(uxb_works!$B$122=1,IF(Data!X28="","",Data!X28),Scores!AD28)</f>
        <v>0</v>
      </c>
      <c r="Y29" s="691">
        <f>IF(uxb_works!$B$122=1,IF(Data!Y28="","",Data!Y28),Scores!AE28)</f>
        <v>0</v>
      </c>
      <c r="Z29" s="692">
        <f>IF(uxb_works!$B$122=1,IF(Data!Z28="","",Data!Z28),Scores!AF28)</f>
        <v>0</v>
      </c>
      <c r="AA29" s="691">
        <f>IF(uxb_works!$B$122=1,IF(Data!AA28="","",Data!AA28),Scores!AG28)</f>
        <v>0</v>
      </c>
      <c r="AB29" s="692">
        <f>IF(uxb_works!$B$122=1,IF(Data!AB28="","",Data!AB28),Scores!AH28)</f>
        <v>0</v>
      </c>
      <c r="AC29" s="691">
        <f>IF(uxb_works!$B$122=1,IF(Data!AC28="","",Data!AC28),Scores!AI28)</f>
        <v>0</v>
      </c>
      <c r="AD29" s="692">
        <f>IF(uxb_works!$B$122=1,IF(Data!AD28="","",Data!AD28),Scores!AJ28)</f>
        <v>0</v>
      </c>
      <c r="AE29" s="691">
        <f>IF(uxb_works!$B$122=1,IF(Data!AE28="","",Data!AE28),Scores!AK28)</f>
        <v>0</v>
      </c>
      <c r="AF29" s="693"/>
      <c r="AG29" s="693"/>
      <c r="AH29" s="693"/>
      <c r="AI29" s="693"/>
      <c r="AJ29" s="693"/>
      <c r="AK29" s="693"/>
      <c r="AL29" s="693"/>
      <c r="AM29" s="693"/>
      <c r="AN29" s="693"/>
      <c r="AO29" s="693"/>
      <c r="AP29" s="693"/>
      <c r="AQ29" s="693"/>
      <c r="AR29" s="693"/>
    </row>
    <row r="30" spans="1:44" s="646" customFormat="1" ht="30" customHeight="1">
      <c r="A30" s="644"/>
      <c r="B30" s="645">
        <f>tblIndicators!A26</f>
        <v>25</v>
      </c>
      <c r="C30" s="645">
        <f>tblIndicators!B26</f>
        <v>0</v>
      </c>
      <c r="D30" s="645">
        <f>tblIndicators!F26</f>
        <v>3</v>
      </c>
      <c r="E30" s="645">
        <f>tblIndicators!C26</f>
        <v>17</v>
      </c>
      <c r="F30" s="645" t="str">
        <f>tblIndicators!H26</f>
        <v xml:space="preserve">17.¿Qué nivel de inclusión  presentan estas asociaciones? </v>
      </c>
      <c r="G30" s="645">
        <f>tblIndicators!Z26</f>
        <v>3</v>
      </c>
      <c r="H30" s="559" t="str">
        <f>REPT(" ",(D30-1)*2)&amp;tblIndicators!AE26</f>
        <v xml:space="preserve">    2.1.2) 17.¿Qué nivel de inclusión  presentan estas asociaciones? </v>
      </c>
      <c r="I30" s="663">
        <f>IF(uxb_works!$B$122=1,IF(Data!I29="","",Data!I29),Scores!O29)</f>
        <v>0.2</v>
      </c>
      <c r="J30" s="689">
        <f ca="1">IF(uxb_works!$B$122=1,IF(Data!J29="","",Data!J29),Scores!P29)</f>
        <v>0</v>
      </c>
      <c r="K30" s="690">
        <f ca="1">IF(uxb_works!$B$122=1,IF(Data!K29="","",Data!K29),Scores!Q29)</f>
        <v>100</v>
      </c>
      <c r="L30" s="689">
        <f ca="1">IF(uxb_works!$B$122=1,IF(Data!L29="","",Data!L29),Scores!R29)</f>
        <v>50</v>
      </c>
      <c r="M30" s="690">
        <f ca="1">IF(uxb_works!$B$122=1,IF(Data!M29="","",Data!M29),Scores!S29)</f>
        <v>0</v>
      </c>
      <c r="N30" s="689">
        <f ca="1">IF(uxb_works!$B$122=1,IF(Data!N29="","",Data!N29),Scores!T29)</f>
        <v>50</v>
      </c>
      <c r="O30" s="690">
        <f ca="1">IF(uxb_works!$B$122=1,IF(Data!O29="","",Data!O29),Scores!U29)</f>
        <v>50</v>
      </c>
      <c r="P30" s="689">
        <f ca="1">IF(uxb_works!$B$122=1,IF(Data!P29="","",Data!P29),Scores!V29)</f>
        <v>0</v>
      </c>
      <c r="Q30" s="690">
        <f ca="1">IF(uxb_works!$B$122=1,IF(Data!Q29="","",Data!Q29),Scores!W29)</f>
        <v>50</v>
      </c>
      <c r="R30" s="689">
        <f ca="1">IF(uxb_works!$B$122=1,IF(Data!R29="","",Data!R29),Scores!X29)</f>
        <v>0</v>
      </c>
      <c r="S30" s="690">
        <f ca="1">IF(uxb_works!$B$122=1,IF(Data!S29="","",Data!S29),Scores!Y29)</f>
        <v>100</v>
      </c>
      <c r="T30" s="689">
        <f ca="1">IF(uxb_works!$B$122=1,IF(Data!T29="","",Data!T29),Scores!Z29)</f>
        <v>50</v>
      </c>
      <c r="U30" s="691">
        <f ca="1">IF(uxb_works!$B$122=1,IF(Data!U29="","",Data!U29),Scores!AA29)</f>
        <v>0</v>
      </c>
      <c r="V30" s="692">
        <f ca="1">IF(uxb_works!$B$122=1,IF(Data!V29="","",Data!V29),Scores!AB29)</f>
        <v>0</v>
      </c>
      <c r="W30" s="691">
        <f>IF(uxb_works!$B$122=1,IF(Data!W29="","",Data!W29),Scores!AC29)</f>
        <v>0</v>
      </c>
      <c r="X30" s="692">
        <f>IF(uxb_works!$B$122=1,IF(Data!X29="","",Data!X29),Scores!AD29)</f>
        <v>0</v>
      </c>
      <c r="Y30" s="691">
        <f>IF(uxb_works!$B$122=1,IF(Data!Y29="","",Data!Y29),Scores!AE29)</f>
        <v>0</v>
      </c>
      <c r="Z30" s="692">
        <f>IF(uxb_works!$B$122=1,IF(Data!Z29="","",Data!Z29),Scores!AF29)</f>
        <v>0</v>
      </c>
      <c r="AA30" s="691">
        <f>IF(uxb_works!$B$122=1,IF(Data!AA29="","",Data!AA29),Scores!AG29)</f>
        <v>0</v>
      </c>
      <c r="AB30" s="692">
        <f>IF(uxb_works!$B$122=1,IF(Data!AB29="","",Data!AB29),Scores!AH29)</f>
        <v>0</v>
      </c>
      <c r="AC30" s="691">
        <f>IF(uxb_works!$B$122=1,IF(Data!AC29="","",Data!AC29),Scores!AI29)</f>
        <v>0</v>
      </c>
      <c r="AD30" s="692">
        <f>IF(uxb_works!$B$122=1,IF(Data!AD29="","",Data!AD29),Scores!AJ29)</f>
        <v>0</v>
      </c>
      <c r="AE30" s="691">
        <f>IF(uxb_works!$B$122=1,IF(Data!AE29="","",Data!AE29),Scores!AK29)</f>
        <v>0</v>
      </c>
      <c r="AF30" s="693"/>
      <c r="AG30" s="693"/>
      <c r="AH30" s="693"/>
      <c r="AI30" s="693"/>
      <c r="AJ30" s="693"/>
      <c r="AK30" s="693"/>
      <c r="AL30" s="693"/>
      <c r="AM30" s="693"/>
      <c r="AN30" s="693"/>
      <c r="AO30" s="693"/>
      <c r="AP30" s="693"/>
      <c r="AQ30" s="693"/>
      <c r="AR30" s="693"/>
    </row>
    <row r="31" spans="1:44" s="646" customFormat="1" ht="30" customHeight="1">
      <c r="A31" s="644"/>
      <c r="B31" s="645">
        <f>tblIndicators!A27</f>
        <v>26</v>
      </c>
      <c r="C31" s="645">
        <f>tblIndicators!B27</f>
        <v>0</v>
      </c>
      <c r="D31" s="645">
        <f>tblIndicators!F27</f>
        <v>3</v>
      </c>
      <c r="E31" s="645">
        <f>tblIndicators!C27</f>
        <v>18</v>
      </c>
      <c r="F31" s="645" t="str">
        <f>tblIndicators!H27</f>
        <v>18.¿Las asociaciones: participan en espacios de interlocución o diálogo con pares?</v>
      </c>
      <c r="G31" s="645">
        <f>tblIndicators!Z27</f>
        <v>3</v>
      </c>
      <c r="H31" s="559" t="str">
        <f>REPT(" ",(D31-1)*2)&amp;tblIndicators!AE27</f>
        <v xml:space="preserve">    2.1.3) 18.¿Las asociaciones: participan en espacios de interlocución o diálogo con pares?</v>
      </c>
      <c r="I31" s="663">
        <f>IF(uxb_works!$B$122=1,IF(Data!I30="","",Data!I30),Scores!O30)</f>
        <v>0.2</v>
      </c>
      <c r="J31" s="689">
        <f ca="1">IF(uxb_works!$B$122=1,IF(Data!J30="","",Data!J30),Scores!P30)</f>
        <v>50</v>
      </c>
      <c r="K31" s="690">
        <f ca="1">IF(uxb_works!$B$122=1,IF(Data!K30="","",Data!K30),Scores!Q30)</f>
        <v>100</v>
      </c>
      <c r="L31" s="689">
        <f ca="1">IF(uxb_works!$B$122=1,IF(Data!L30="","",Data!L30),Scores!R30)</f>
        <v>100</v>
      </c>
      <c r="M31" s="690">
        <f ca="1">IF(uxb_works!$B$122=1,IF(Data!M30="","",Data!M30),Scores!S30)</f>
        <v>0</v>
      </c>
      <c r="N31" s="689">
        <f ca="1">IF(uxb_works!$B$122=1,IF(Data!N30="","",Data!N30),Scores!T30)</f>
        <v>50</v>
      </c>
      <c r="O31" s="690">
        <f ca="1">IF(uxb_works!$B$122=1,IF(Data!O30="","",Data!O30),Scores!U30)</f>
        <v>100</v>
      </c>
      <c r="P31" s="689">
        <f ca="1">IF(uxb_works!$B$122=1,IF(Data!P30="","",Data!P30),Scores!V30)</f>
        <v>100</v>
      </c>
      <c r="Q31" s="690">
        <f ca="1">IF(uxb_works!$B$122=1,IF(Data!Q30="","",Data!Q30),Scores!W30)</f>
        <v>100</v>
      </c>
      <c r="R31" s="689">
        <f ca="1">IF(uxb_works!$B$122=1,IF(Data!R30="","",Data!R30),Scores!X30)</f>
        <v>0</v>
      </c>
      <c r="S31" s="690">
        <f ca="1">IF(uxb_works!$B$122=1,IF(Data!S30="","",Data!S30),Scores!Y30)</f>
        <v>100</v>
      </c>
      <c r="T31" s="689">
        <f ca="1">IF(uxb_works!$B$122=1,IF(Data!T30="","",Data!T30),Scores!Z30)</f>
        <v>100</v>
      </c>
      <c r="U31" s="691">
        <f ca="1">IF(uxb_works!$B$122=1,IF(Data!U30="","",Data!U30),Scores!AA30)</f>
        <v>50</v>
      </c>
      <c r="V31" s="692">
        <f ca="1">IF(uxb_works!$B$122=1,IF(Data!V30="","",Data!V30),Scores!AB30)</f>
        <v>0</v>
      </c>
      <c r="W31" s="691">
        <f>IF(uxb_works!$B$122=1,IF(Data!W30="","",Data!W30),Scores!AC30)</f>
        <v>0</v>
      </c>
      <c r="X31" s="692">
        <f>IF(uxb_works!$B$122=1,IF(Data!X30="","",Data!X30),Scores!AD30)</f>
        <v>0</v>
      </c>
      <c r="Y31" s="691">
        <f>IF(uxb_works!$B$122=1,IF(Data!Y30="","",Data!Y30),Scores!AE30)</f>
        <v>0</v>
      </c>
      <c r="Z31" s="692">
        <f>IF(uxb_works!$B$122=1,IF(Data!Z30="","",Data!Z30),Scores!AF30)</f>
        <v>0</v>
      </c>
      <c r="AA31" s="691">
        <f>IF(uxb_works!$B$122=1,IF(Data!AA30="","",Data!AA30),Scores!AG30)</f>
        <v>0</v>
      </c>
      <c r="AB31" s="692">
        <f>IF(uxb_works!$B$122=1,IF(Data!AB30="","",Data!AB30),Scores!AH30)</f>
        <v>0</v>
      </c>
      <c r="AC31" s="691">
        <f>IF(uxb_works!$B$122=1,IF(Data!AC30="","",Data!AC30),Scores!AI30)</f>
        <v>0</v>
      </c>
      <c r="AD31" s="692">
        <f>IF(uxb_works!$B$122=1,IF(Data!AD30="","",Data!AD30),Scores!AJ30)</f>
        <v>0</v>
      </c>
      <c r="AE31" s="691">
        <f>IF(uxb_works!$B$122=1,IF(Data!AE30="","",Data!AE30),Scores!AK30)</f>
        <v>0</v>
      </c>
      <c r="AF31" s="693"/>
      <c r="AG31" s="693"/>
      <c r="AH31" s="693"/>
      <c r="AI31" s="693"/>
      <c r="AJ31" s="693"/>
      <c r="AK31" s="693"/>
      <c r="AL31" s="693"/>
      <c r="AM31" s="693"/>
      <c r="AN31" s="693"/>
      <c r="AO31" s="693"/>
      <c r="AP31" s="693"/>
      <c r="AQ31" s="693"/>
      <c r="AR31" s="693"/>
    </row>
    <row r="32" spans="1:44" s="646" customFormat="1" ht="30" customHeight="1">
      <c r="A32" s="644"/>
      <c r="B32" s="645">
        <f>tblIndicators!A28</f>
        <v>27</v>
      </c>
      <c r="C32" s="645">
        <f>tblIndicators!B28</f>
        <v>0</v>
      </c>
      <c r="D32" s="645">
        <f>tblIndicators!F28</f>
        <v>3</v>
      </c>
      <c r="E32" s="645">
        <f>tblIndicators!C28</f>
        <v>19</v>
      </c>
      <c r="F32" s="645" t="str">
        <f>tblIndicators!H28</f>
        <v>19.¿Existen espacios de diálogo y coordinación entre diferentes actores de la cadena de valor del reciclaje?</v>
      </c>
      <c r="G32" s="645">
        <f>tblIndicators!Z28</f>
        <v>3</v>
      </c>
      <c r="H32" s="559" t="str">
        <f>REPT(" ",(D32-1)*2)&amp;tblIndicators!AE28</f>
        <v xml:space="preserve">    2.1.4) 19.¿Existen espacios de diálogo y coordinación entre diferentes actores de la cadena de valor del reciclaje?</v>
      </c>
      <c r="I32" s="663">
        <f>IF(uxb_works!$B$122=1,IF(Data!I31="","",Data!I31),Scores!O31)</f>
        <v>0.2</v>
      </c>
      <c r="J32" s="689">
        <f ca="1">IF(uxb_works!$B$122=1,IF(Data!J31="","",Data!J31),Scores!P31)</f>
        <v>0</v>
      </c>
      <c r="K32" s="690">
        <f ca="1">IF(uxb_works!$B$122=1,IF(Data!K31="","",Data!K31),Scores!Q31)</f>
        <v>100</v>
      </c>
      <c r="L32" s="689">
        <f ca="1">IF(uxb_works!$B$122=1,IF(Data!L31="","",Data!L31),Scores!R31)</f>
        <v>100</v>
      </c>
      <c r="M32" s="690">
        <f ca="1">IF(uxb_works!$B$122=1,IF(Data!M31="","",Data!M31),Scores!S31)</f>
        <v>0</v>
      </c>
      <c r="N32" s="689">
        <f ca="1">IF(uxb_works!$B$122=1,IF(Data!N31="","",Data!N31),Scores!T31)</f>
        <v>100</v>
      </c>
      <c r="O32" s="690">
        <f ca="1">IF(uxb_works!$B$122=1,IF(Data!O31="","",Data!O31),Scores!U31)</f>
        <v>100</v>
      </c>
      <c r="P32" s="689">
        <f ca="1">IF(uxb_works!$B$122=1,IF(Data!P31="","",Data!P31),Scores!V31)</f>
        <v>0</v>
      </c>
      <c r="Q32" s="690">
        <f ca="1">IF(uxb_works!$B$122=1,IF(Data!Q31="","",Data!Q31),Scores!W31)</f>
        <v>0</v>
      </c>
      <c r="R32" s="689">
        <f ca="1">IF(uxb_works!$B$122=1,IF(Data!R31="","",Data!R31),Scores!X31)</f>
        <v>0</v>
      </c>
      <c r="S32" s="690">
        <f ca="1">IF(uxb_works!$B$122=1,IF(Data!S31="","",Data!S31),Scores!Y31)</f>
        <v>0</v>
      </c>
      <c r="T32" s="689">
        <f ca="1">IF(uxb_works!$B$122=1,IF(Data!T31="","",Data!T31),Scores!Z31)</f>
        <v>50</v>
      </c>
      <c r="U32" s="691">
        <f ca="1">IF(uxb_works!$B$122=1,IF(Data!U31="","",Data!U31),Scores!AA31)</f>
        <v>100</v>
      </c>
      <c r="V32" s="692">
        <f ca="1">IF(uxb_works!$B$122=1,IF(Data!V31="","",Data!V31),Scores!AB31)</f>
        <v>0</v>
      </c>
      <c r="W32" s="691">
        <f>IF(uxb_works!$B$122=1,IF(Data!W31="","",Data!W31),Scores!AC31)</f>
        <v>0</v>
      </c>
      <c r="X32" s="692">
        <f>IF(uxb_works!$B$122=1,IF(Data!X31="","",Data!X31),Scores!AD31)</f>
        <v>0</v>
      </c>
      <c r="Y32" s="691">
        <f>IF(uxb_works!$B$122=1,IF(Data!Y31="","",Data!Y31),Scores!AE31)</f>
        <v>0</v>
      </c>
      <c r="Z32" s="692">
        <f>IF(uxb_works!$B$122=1,IF(Data!Z31="","",Data!Z31),Scores!AF31)</f>
        <v>0</v>
      </c>
      <c r="AA32" s="691">
        <f>IF(uxb_works!$B$122=1,IF(Data!AA31="","",Data!AA31),Scores!AG31)</f>
        <v>0</v>
      </c>
      <c r="AB32" s="692">
        <f>IF(uxb_works!$B$122=1,IF(Data!AB31="","",Data!AB31),Scores!AH31)</f>
        <v>0</v>
      </c>
      <c r="AC32" s="691">
        <f>IF(uxb_works!$B$122=1,IF(Data!AC31="","",Data!AC31),Scores!AI31)</f>
        <v>0</v>
      </c>
      <c r="AD32" s="692">
        <f>IF(uxb_works!$B$122=1,IF(Data!AD31="","",Data!AD31),Scores!AJ31)</f>
        <v>0</v>
      </c>
      <c r="AE32" s="691">
        <f>IF(uxb_works!$B$122=1,IF(Data!AE31="","",Data!AE31),Scores!AK31)</f>
        <v>0</v>
      </c>
      <c r="AF32" s="693"/>
      <c r="AG32" s="693"/>
      <c r="AH32" s="693"/>
      <c r="AI32" s="693"/>
      <c r="AJ32" s="693"/>
      <c r="AK32" s="693"/>
      <c r="AL32" s="693"/>
      <c r="AM32" s="693"/>
      <c r="AN32" s="693"/>
      <c r="AO32" s="693"/>
      <c r="AP32" s="693"/>
      <c r="AQ32" s="693"/>
      <c r="AR32" s="693"/>
    </row>
    <row r="33" spans="1:44" s="646" customFormat="1" ht="30" customHeight="1">
      <c r="A33" s="644"/>
      <c r="B33" s="645">
        <f>tblIndicators!A29</f>
        <v>28</v>
      </c>
      <c r="C33" s="645">
        <f>tblIndicators!B29</f>
        <v>0</v>
      </c>
      <c r="D33" s="645">
        <f>tblIndicators!F29</f>
        <v>3</v>
      </c>
      <c r="E33" s="645">
        <f>tblIndicators!C29</f>
        <v>20</v>
      </c>
      <c r="F33" s="645" t="str">
        <f>tblIndicators!H29</f>
        <v>20.¿Cuál es el nivel de representación de las mujeres en las asociaciones?</v>
      </c>
      <c r="G33" s="645">
        <f>tblIndicators!Z29</f>
        <v>3</v>
      </c>
      <c r="H33" s="559" t="str">
        <f>REPT(" ",(D33-1)*2)&amp;tblIndicators!AE29</f>
        <v xml:space="preserve">    2.1.5) 20.¿Cuál es el nivel de representación de las mujeres en las asociaciones?</v>
      </c>
      <c r="I33" s="663">
        <f>IF(uxb_works!$B$122=1,IF(Data!I32="","",Data!I32),Scores!O32)</f>
        <v>0.2</v>
      </c>
      <c r="J33" s="689">
        <f ca="1">IF(uxb_works!$B$122=1,IF(Data!J32="","",Data!J32),Scores!P32)</f>
        <v>50</v>
      </c>
      <c r="K33" s="690">
        <f ca="1">IF(uxb_works!$B$122=1,IF(Data!K32="","",Data!K32),Scores!Q32)</f>
        <v>100</v>
      </c>
      <c r="L33" s="689">
        <f ca="1">IF(uxb_works!$B$122=1,IF(Data!L32="","",Data!L32),Scores!R32)</f>
        <v>50</v>
      </c>
      <c r="M33" s="690">
        <f ca="1">IF(uxb_works!$B$122=1,IF(Data!M32="","",Data!M32),Scores!S32)</f>
        <v>0</v>
      </c>
      <c r="N33" s="689">
        <f ca="1">IF(uxb_works!$B$122=1,IF(Data!N32="","",Data!N32),Scores!T32)</f>
        <v>50</v>
      </c>
      <c r="O33" s="690">
        <f ca="1">IF(uxb_works!$B$122=1,IF(Data!O32="","",Data!O32),Scores!U32)</f>
        <v>0</v>
      </c>
      <c r="P33" s="689">
        <f ca="1">IF(uxb_works!$B$122=1,IF(Data!P32="","",Data!P32),Scores!V32)</f>
        <v>50</v>
      </c>
      <c r="Q33" s="690">
        <f ca="1">IF(uxb_works!$B$122=1,IF(Data!Q32="","",Data!Q32),Scores!W32)</f>
        <v>100</v>
      </c>
      <c r="R33" s="689">
        <f ca="1">IF(uxb_works!$B$122=1,IF(Data!R32="","",Data!R32),Scores!X32)</f>
        <v>0</v>
      </c>
      <c r="S33" s="690">
        <f ca="1">IF(uxb_works!$B$122=1,IF(Data!S32="","",Data!S32),Scores!Y32)</f>
        <v>100</v>
      </c>
      <c r="T33" s="689">
        <f ca="1">IF(uxb_works!$B$122=1,IF(Data!T32="","",Data!T32),Scores!Z32)</f>
        <v>100</v>
      </c>
      <c r="U33" s="691">
        <f ca="1">IF(uxb_works!$B$122=1,IF(Data!U32="","",Data!U32),Scores!AA32)</f>
        <v>0</v>
      </c>
      <c r="V33" s="692">
        <f ca="1">IF(uxb_works!$B$122=1,IF(Data!V32="","",Data!V32),Scores!AB32)</f>
        <v>0</v>
      </c>
      <c r="W33" s="691">
        <f>IF(uxb_works!$B$122=1,IF(Data!W32="","",Data!W32),Scores!AC32)</f>
        <v>0</v>
      </c>
      <c r="X33" s="692">
        <f>IF(uxb_works!$B$122=1,IF(Data!X32="","",Data!X32),Scores!AD32)</f>
        <v>0</v>
      </c>
      <c r="Y33" s="691">
        <f>IF(uxb_works!$B$122=1,IF(Data!Y32="","",Data!Y32),Scores!AE32)</f>
        <v>0</v>
      </c>
      <c r="Z33" s="692">
        <f>IF(uxb_works!$B$122=1,IF(Data!Z32="","",Data!Z32),Scores!AF32)</f>
        <v>0</v>
      </c>
      <c r="AA33" s="691">
        <f>IF(uxb_works!$B$122=1,IF(Data!AA32="","",Data!AA32),Scores!AG32)</f>
        <v>0</v>
      </c>
      <c r="AB33" s="692">
        <f>IF(uxb_works!$B$122=1,IF(Data!AB32="","",Data!AB32),Scores!AH32)</f>
        <v>0</v>
      </c>
      <c r="AC33" s="691">
        <f>IF(uxb_works!$B$122=1,IF(Data!AC32="","",Data!AC32),Scores!AI32)</f>
        <v>0</v>
      </c>
      <c r="AD33" s="692">
        <f>IF(uxb_works!$B$122=1,IF(Data!AD32="","",Data!AD32),Scores!AJ32)</f>
        <v>0</v>
      </c>
      <c r="AE33" s="691">
        <f>IF(uxb_works!$B$122=1,IF(Data!AE32="","",Data!AE32),Scores!AK32)</f>
        <v>0</v>
      </c>
      <c r="AF33" s="693"/>
      <c r="AG33" s="693"/>
      <c r="AH33" s="693"/>
      <c r="AI33" s="693"/>
      <c r="AJ33" s="693"/>
      <c r="AK33" s="693"/>
      <c r="AL33" s="693"/>
      <c r="AM33" s="693"/>
      <c r="AN33" s="693"/>
      <c r="AO33" s="693"/>
      <c r="AP33" s="693"/>
      <c r="AQ33" s="693"/>
      <c r="AR33" s="693"/>
    </row>
    <row r="34" spans="1:44" s="627" customFormat="1" ht="24.95" customHeight="1">
      <c r="A34" s="621"/>
      <c r="B34" s="622">
        <f>tblIndicators!A30</f>
        <v>29</v>
      </c>
      <c r="C34" s="622">
        <f>tblIndicators!B30</f>
        <v>0</v>
      </c>
      <c r="D34" s="622">
        <f>tblIndicators!F30</f>
        <v>2</v>
      </c>
      <c r="E34" s="622">
        <f>tblIndicators!C30</f>
        <v>0</v>
      </c>
      <c r="F34" s="622" t="str">
        <f>tblIndicators!H30</f>
        <v>Organizaciones comerciales</v>
      </c>
      <c r="G34" s="622">
        <f>tblIndicators!Z30</f>
        <v>1</v>
      </c>
      <c r="H34" s="643" t="str">
        <f>REPT(" ",(D34-1)*2)&amp;tblIndicators!AE30</f>
        <v xml:space="preserve">  2.2) Organizaciones comerciales</v>
      </c>
      <c r="I34" s="642">
        <f>IF(uxb_works!$B$122=1,IF(Data!I33="","",Data!I33),Scores!O33)</f>
        <v>0.5</v>
      </c>
      <c r="J34" s="684">
        <f ca="1">IF(uxb_works!$B$122=1,IF(Data!J33="","",Data!J33),Scores!P33)</f>
        <v>16.666666666666664</v>
      </c>
      <c r="K34" s="685">
        <f ca="1">IF(uxb_works!$B$122=1,IF(Data!K33="","",Data!K33),Scores!Q33)</f>
        <v>49.999999999999993</v>
      </c>
      <c r="L34" s="684">
        <f ca="1">IF(uxb_works!$B$122=1,IF(Data!L33="","",Data!L33),Scores!R33)</f>
        <v>88.888888888888872</v>
      </c>
      <c r="M34" s="685">
        <f ca="1">IF(uxb_works!$B$122=1,IF(Data!M33="","",Data!M33),Scores!S33)</f>
        <v>0</v>
      </c>
      <c r="N34" s="684">
        <f ca="1">IF(uxb_works!$B$122=1,IF(Data!N33="","",Data!N33),Scores!T33)</f>
        <v>33.333333333333329</v>
      </c>
      <c r="O34" s="685">
        <f ca="1">IF(uxb_works!$B$122=1,IF(Data!O33="","",Data!O33),Scores!U33)</f>
        <v>33.333333333333329</v>
      </c>
      <c r="P34" s="684">
        <f ca="1">IF(uxb_works!$B$122=1,IF(Data!P33="","",Data!P33),Scores!V33)</f>
        <v>16.666666666666664</v>
      </c>
      <c r="Q34" s="685">
        <f ca="1">IF(uxb_works!$B$122=1,IF(Data!Q33="","",Data!Q33),Scores!W33)</f>
        <v>33.333333333333329</v>
      </c>
      <c r="R34" s="684">
        <f ca="1">IF(uxb_works!$B$122=1,IF(Data!R33="","",Data!R33),Scores!X33)</f>
        <v>0</v>
      </c>
      <c r="S34" s="685">
        <f ca="1">IF(uxb_works!$B$122=1,IF(Data!S33="","",Data!S33),Scores!Y33)</f>
        <v>77.777777777777771</v>
      </c>
      <c r="T34" s="684">
        <f ca="1">IF(uxb_works!$B$122=1,IF(Data!T33="","",Data!T33),Scores!Z33)</f>
        <v>33.333333333333329</v>
      </c>
      <c r="U34" s="686">
        <f ca="1">IF(uxb_works!$B$122=1,IF(Data!U33="","",Data!U33),Scores!AA33)</f>
        <v>38.888888888888886</v>
      </c>
      <c r="V34" s="687">
        <f ca="1">IF(uxb_works!$B$122=1,IF(Data!V33="","",Data!V33),Scores!AB33)</f>
        <v>0</v>
      </c>
      <c r="W34" s="686">
        <f>IF(uxb_works!$B$122=1,IF(Data!W33="","",Data!W33),Scores!AC33)</f>
        <v>0</v>
      </c>
      <c r="X34" s="687">
        <f>IF(uxb_works!$B$122=1,IF(Data!X33="","",Data!X33),Scores!AD33)</f>
        <v>0</v>
      </c>
      <c r="Y34" s="686">
        <f>IF(uxb_works!$B$122=1,IF(Data!Y33="","",Data!Y33),Scores!AE33)</f>
        <v>0</v>
      </c>
      <c r="Z34" s="687">
        <f>IF(uxb_works!$B$122=1,IF(Data!Z33="","",Data!Z33),Scores!AF33)</f>
        <v>0</v>
      </c>
      <c r="AA34" s="686">
        <f>IF(uxb_works!$B$122=1,IF(Data!AA33="","",Data!AA33),Scores!AG33)</f>
        <v>0</v>
      </c>
      <c r="AB34" s="687">
        <f>IF(uxb_works!$B$122=1,IF(Data!AB33="","",Data!AB33),Scores!AH33)</f>
        <v>0</v>
      </c>
      <c r="AC34" s="686">
        <f>IF(uxb_works!$B$122=1,IF(Data!AC33="","",Data!AC33),Scores!AI33)</f>
        <v>0</v>
      </c>
      <c r="AD34" s="687">
        <f>IF(uxb_works!$B$122=1,IF(Data!AD33="","",Data!AD33),Scores!AJ33)</f>
        <v>0</v>
      </c>
      <c r="AE34" s="686">
        <f>IF(uxb_works!$B$122=1,IF(Data!AE33="","",Data!AE33),Scores!AK33)</f>
        <v>0</v>
      </c>
      <c r="AF34" s="688"/>
      <c r="AG34" s="688"/>
      <c r="AH34" s="688"/>
      <c r="AI34" s="688"/>
      <c r="AJ34" s="688"/>
      <c r="AK34" s="688"/>
      <c r="AL34" s="688"/>
      <c r="AM34" s="688"/>
      <c r="AN34" s="688"/>
      <c r="AO34" s="688"/>
      <c r="AP34" s="688"/>
      <c r="AQ34" s="688"/>
      <c r="AR34" s="688"/>
    </row>
    <row r="35" spans="1:44" s="646" customFormat="1" ht="30" customHeight="1">
      <c r="A35" s="644"/>
      <c r="B35" s="645">
        <f>tblIndicators!A31</f>
        <v>30</v>
      </c>
      <c r="C35" s="645">
        <f>tblIndicators!B31</f>
        <v>0</v>
      </c>
      <c r="D35" s="645">
        <f>tblIndicators!F31</f>
        <v>3</v>
      </c>
      <c r="E35" s="645">
        <f>tblIndicators!C31</f>
        <v>21</v>
      </c>
      <c r="F35" s="645" t="str">
        <f>tblIndicators!H31</f>
        <v xml:space="preserve">21.¿Existen organizaciones de recicladores con actividad comercial en el municipio (cooperativas y/o microempresas)? </v>
      </c>
      <c r="G35" s="645">
        <f>tblIndicators!Z31</f>
        <v>3</v>
      </c>
      <c r="H35" s="559" t="str">
        <f>REPT(" ",(D35-1)*2)&amp;tblIndicators!AE31</f>
        <v xml:space="preserve">    2.2.1) 21.¿Existen organizaciones de recicladores con actividad comercial en el municipio (cooperativas y/o microempresas)? </v>
      </c>
      <c r="I35" s="663">
        <f>IF(uxb_works!$B$122=1,IF(Data!I34="","",Data!I34),Scores!O34)</f>
        <v>0.33333333333333331</v>
      </c>
      <c r="J35" s="689">
        <f ca="1">IF(uxb_works!$B$122=1,IF(Data!J34="","",Data!J34),Scores!P34)</f>
        <v>50</v>
      </c>
      <c r="K35" s="690">
        <f ca="1">IF(uxb_works!$B$122=1,IF(Data!K34="","",Data!K34),Scores!Q34)</f>
        <v>100</v>
      </c>
      <c r="L35" s="689">
        <f ca="1">IF(uxb_works!$B$122=1,IF(Data!L34="","",Data!L34),Scores!R34)</f>
        <v>100</v>
      </c>
      <c r="M35" s="690">
        <f ca="1">IF(uxb_works!$B$122=1,IF(Data!M34="","",Data!M34),Scores!S34)</f>
        <v>0</v>
      </c>
      <c r="N35" s="689">
        <f ca="1">IF(uxb_works!$B$122=1,IF(Data!N34="","",Data!N34),Scores!T34)</f>
        <v>50</v>
      </c>
      <c r="O35" s="690">
        <f ca="1">IF(uxb_works!$B$122=1,IF(Data!O34="","",Data!O34),Scores!U34)</f>
        <v>50</v>
      </c>
      <c r="P35" s="689">
        <f ca="1">IF(uxb_works!$B$122=1,IF(Data!P34="","",Data!P34),Scores!V34)</f>
        <v>50</v>
      </c>
      <c r="Q35" s="690">
        <f ca="1">IF(uxb_works!$B$122=1,IF(Data!Q34="","",Data!Q34),Scores!W34)</f>
        <v>50</v>
      </c>
      <c r="R35" s="689">
        <f ca="1">IF(uxb_works!$B$122=1,IF(Data!R34="","",Data!R34),Scores!X34)</f>
        <v>0</v>
      </c>
      <c r="S35" s="690">
        <f ca="1">IF(uxb_works!$B$122=1,IF(Data!S34="","",Data!S34),Scores!Y34)</f>
        <v>100</v>
      </c>
      <c r="T35" s="689">
        <f ca="1">IF(uxb_works!$B$122=1,IF(Data!T34="","",Data!T34),Scores!Z34)</f>
        <v>50</v>
      </c>
      <c r="U35" s="691">
        <f ca="1">IF(uxb_works!$B$122=1,IF(Data!U34="","",Data!U34),Scores!AA34)</f>
        <v>0</v>
      </c>
      <c r="V35" s="692">
        <f ca="1">IF(uxb_works!$B$122=1,IF(Data!V34="","",Data!V34),Scores!AB34)</f>
        <v>0</v>
      </c>
      <c r="W35" s="691">
        <f>IF(uxb_works!$B$122=1,IF(Data!W34="","",Data!W34),Scores!AC34)</f>
        <v>0</v>
      </c>
      <c r="X35" s="692">
        <f>IF(uxb_works!$B$122=1,IF(Data!X34="","",Data!X34),Scores!AD34)</f>
        <v>0</v>
      </c>
      <c r="Y35" s="691">
        <f>IF(uxb_works!$B$122=1,IF(Data!Y34="","",Data!Y34),Scores!AE34)</f>
        <v>0</v>
      </c>
      <c r="Z35" s="692">
        <f>IF(uxb_works!$B$122=1,IF(Data!Z34="","",Data!Z34),Scores!AF34)</f>
        <v>0</v>
      </c>
      <c r="AA35" s="691">
        <f>IF(uxb_works!$B$122=1,IF(Data!AA34="","",Data!AA34),Scores!AG34)</f>
        <v>0</v>
      </c>
      <c r="AB35" s="692">
        <f>IF(uxb_works!$B$122=1,IF(Data!AB34="","",Data!AB34),Scores!AH34)</f>
        <v>0</v>
      </c>
      <c r="AC35" s="691">
        <f>IF(uxb_works!$B$122=1,IF(Data!AC34="","",Data!AC34),Scores!AI34)</f>
        <v>0</v>
      </c>
      <c r="AD35" s="692">
        <f>IF(uxb_works!$B$122=1,IF(Data!AD34="","",Data!AD34),Scores!AJ34)</f>
        <v>0</v>
      </c>
      <c r="AE35" s="691">
        <f>IF(uxb_works!$B$122=1,IF(Data!AE34="","",Data!AE34),Scores!AK34)</f>
        <v>0</v>
      </c>
      <c r="AF35" s="693"/>
      <c r="AG35" s="693"/>
      <c r="AH35" s="693"/>
      <c r="AI35" s="693"/>
      <c r="AJ35" s="693"/>
      <c r="AK35" s="693"/>
      <c r="AL35" s="693"/>
      <c r="AM35" s="693"/>
      <c r="AN35" s="693"/>
      <c r="AO35" s="693"/>
      <c r="AP35" s="693"/>
      <c r="AQ35" s="693"/>
      <c r="AR35" s="693"/>
    </row>
    <row r="36" spans="1:44" s="646" customFormat="1" ht="30" customHeight="1">
      <c r="A36" s="644"/>
      <c r="B36" s="645">
        <f>tblIndicators!A32</f>
        <v>31</v>
      </c>
      <c r="C36" s="645">
        <f>tblIndicators!B32</f>
        <v>0</v>
      </c>
      <c r="D36" s="645">
        <f>tblIndicators!F32</f>
        <v>3</v>
      </c>
      <c r="E36" s="645">
        <f>tblIndicators!C32</f>
        <v>22</v>
      </c>
      <c r="F36" s="645" t="str">
        <f>tblIndicators!H32</f>
        <v>22.¿Cuál es el nivel de participación de las organizaciones de recicladores en la cadena de valor del reciclaje?</v>
      </c>
      <c r="G36" s="645">
        <f>tblIndicators!Z32</f>
        <v>3</v>
      </c>
      <c r="H36" s="559" t="str">
        <f>REPT(" ",(D36-1)*2)&amp;tblIndicators!AE32</f>
        <v xml:space="preserve">    2.2.2) 22.¿Cuál es el nivel de participación de las organizaciones de recicladores en la cadena de valor del reciclaje?</v>
      </c>
      <c r="I36" s="663">
        <f>IF(uxb_works!$B$122=1,IF(Data!I35="","",Data!I35),Scores!O35)</f>
        <v>0.33333333333333331</v>
      </c>
      <c r="J36" s="689">
        <f ca="1">IF(uxb_works!$B$122=1,IF(Data!J35="","",Data!J35),Scores!P35)</f>
        <v>0</v>
      </c>
      <c r="K36" s="690">
        <f ca="1">IF(uxb_works!$B$122=1,IF(Data!K35="","",Data!K35),Scores!Q35)</f>
        <v>50</v>
      </c>
      <c r="L36" s="689">
        <f ca="1">IF(uxb_works!$B$122=1,IF(Data!L35="","",Data!L35),Scores!R35)</f>
        <v>100</v>
      </c>
      <c r="M36" s="690">
        <f ca="1">IF(uxb_works!$B$122=1,IF(Data!M35="","",Data!M35),Scores!S35)</f>
        <v>0</v>
      </c>
      <c r="N36" s="689">
        <f ca="1">IF(uxb_works!$B$122=1,IF(Data!N35="","",Data!N35),Scores!T35)</f>
        <v>50</v>
      </c>
      <c r="O36" s="690">
        <f ca="1">IF(uxb_works!$B$122=1,IF(Data!O35="","",Data!O35),Scores!U35)</f>
        <v>50</v>
      </c>
      <c r="P36" s="689">
        <f ca="1">IF(uxb_works!$B$122=1,IF(Data!P35="","",Data!P35),Scores!V35)</f>
        <v>0</v>
      </c>
      <c r="Q36" s="690">
        <f ca="1">IF(uxb_works!$B$122=1,IF(Data!Q35="","",Data!Q35),Scores!W35)</f>
        <v>50</v>
      </c>
      <c r="R36" s="689">
        <f ca="1">IF(uxb_works!$B$122=1,IF(Data!R35="","",Data!R35),Scores!X35)</f>
        <v>0</v>
      </c>
      <c r="S36" s="690">
        <f ca="1">IF(uxb_works!$B$122=1,IF(Data!S35="","",Data!S35),Scores!Y35)</f>
        <v>100</v>
      </c>
      <c r="T36" s="689">
        <f ca="1">IF(uxb_works!$B$122=1,IF(Data!T35="","",Data!T35),Scores!Z35)</f>
        <v>50</v>
      </c>
      <c r="U36" s="691">
        <f ca="1">IF(uxb_works!$B$122=1,IF(Data!U35="","",Data!U35),Scores!AA35)</f>
        <v>50</v>
      </c>
      <c r="V36" s="692">
        <f ca="1">IF(uxb_works!$B$122=1,IF(Data!V35="","",Data!V35),Scores!AB35)</f>
        <v>0</v>
      </c>
      <c r="W36" s="691">
        <f>IF(uxb_works!$B$122=1,IF(Data!W35="","",Data!W35),Scores!AC35)</f>
        <v>0</v>
      </c>
      <c r="X36" s="692">
        <f>IF(uxb_works!$B$122=1,IF(Data!X35="","",Data!X35),Scores!AD35)</f>
        <v>0</v>
      </c>
      <c r="Y36" s="691">
        <f>IF(uxb_works!$B$122=1,IF(Data!Y35="","",Data!Y35),Scores!AE35)</f>
        <v>0</v>
      </c>
      <c r="Z36" s="692">
        <f>IF(uxb_works!$B$122=1,IF(Data!Z35="","",Data!Z35),Scores!AF35)</f>
        <v>0</v>
      </c>
      <c r="AA36" s="691">
        <f>IF(uxb_works!$B$122=1,IF(Data!AA35="","",Data!AA35),Scores!AG35)</f>
        <v>0</v>
      </c>
      <c r="AB36" s="692">
        <f>IF(uxb_works!$B$122=1,IF(Data!AB35="","",Data!AB35),Scores!AH35)</f>
        <v>0</v>
      </c>
      <c r="AC36" s="691">
        <f>IF(uxb_works!$B$122=1,IF(Data!AC35="","",Data!AC35),Scores!AI35)</f>
        <v>0</v>
      </c>
      <c r="AD36" s="692">
        <f>IF(uxb_works!$B$122=1,IF(Data!AD35="","",Data!AD35),Scores!AJ35)</f>
        <v>0</v>
      </c>
      <c r="AE36" s="691">
        <f>IF(uxb_works!$B$122=1,IF(Data!AE35="","",Data!AE35),Scores!AK35)</f>
        <v>0</v>
      </c>
      <c r="AF36" s="693"/>
      <c r="AG36" s="693"/>
      <c r="AH36" s="693"/>
      <c r="AI36" s="693"/>
      <c r="AJ36" s="693"/>
      <c r="AK36" s="693"/>
      <c r="AL36" s="693"/>
      <c r="AM36" s="693"/>
      <c r="AN36" s="693"/>
      <c r="AO36" s="693"/>
      <c r="AP36" s="693"/>
      <c r="AQ36" s="693"/>
      <c r="AR36" s="693"/>
    </row>
    <row r="37" spans="1:44" s="646" customFormat="1" ht="30" customHeight="1">
      <c r="A37" s="644"/>
      <c r="B37" s="645">
        <f>tblIndicators!A33</f>
        <v>32</v>
      </c>
      <c r="C37" s="645">
        <f>tblIndicators!B33</f>
        <v>0</v>
      </c>
      <c r="D37" s="645">
        <f>tblIndicators!F33</f>
        <v>3</v>
      </c>
      <c r="E37" s="645">
        <f>tblIndicators!C33</f>
        <v>23</v>
      </c>
      <c r="F37" s="645" t="str">
        <f>tblIndicators!H33</f>
        <v>23. Las organizaciones comerciales de recicladores: ¿Tienen acceso a mecanismos de financiamiento?</v>
      </c>
      <c r="G37" s="645">
        <f>tblIndicators!Z33</f>
        <v>3</v>
      </c>
      <c r="H37" s="559" t="str">
        <f>REPT(" ",(D37-1)*2)&amp;tblIndicators!AE33</f>
        <v xml:space="preserve">    2.2.3) 23. Las organizaciones comerciales de recicladores: ¿Tienen acceso a mecanismos de financiamiento?</v>
      </c>
      <c r="I37" s="663">
        <f>IF(uxb_works!$B$122=1,IF(Data!I36="","",Data!I36),Scores!O36)</f>
        <v>0.33333333333333331</v>
      </c>
      <c r="J37" s="689">
        <f ca="1">IF(uxb_works!$B$122=1,IF(Data!J36="","",Data!J36),Scores!P36)</f>
        <v>0</v>
      </c>
      <c r="K37" s="690">
        <f ca="1">IF(uxb_works!$B$122=1,IF(Data!K36="","",Data!K36),Scores!Q36)</f>
        <v>0</v>
      </c>
      <c r="L37" s="689">
        <f ca="1">IF(uxb_works!$B$122=1,IF(Data!L36="","",Data!L36),Scores!R36)</f>
        <v>66.666666666666657</v>
      </c>
      <c r="M37" s="690">
        <f ca="1">IF(uxb_works!$B$122=1,IF(Data!M36="","",Data!M36),Scores!S36)</f>
        <v>0</v>
      </c>
      <c r="N37" s="689">
        <f ca="1">IF(uxb_works!$B$122=1,IF(Data!N36="","",Data!N36),Scores!T36)</f>
        <v>0</v>
      </c>
      <c r="O37" s="690">
        <f ca="1">IF(uxb_works!$B$122=1,IF(Data!O36="","",Data!O36),Scores!U36)</f>
        <v>0</v>
      </c>
      <c r="P37" s="689">
        <f ca="1">IF(uxb_works!$B$122=1,IF(Data!P36="","",Data!P36),Scores!V36)</f>
        <v>0</v>
      </c>
      <c r="Q37" s="690">
        <f ca="1">IF(uxb_works!$B$122=1,IF(Data!Q36="","",Data!Q36),Scores!W36)</f>
        <v>0</v>
      </c>
      <c r="R37" s="689">
        <f ca="1">IF(uxb_works!$B$122=1,IF(Data!R36="","",Data!R36),Scores!X36)</f>
        <v>0</v>
      </c>
      <c r="S37" s="690">
        <f ca="1">IF(uxb_works!$B$122=1,IF(Data!S36="","",Data!S36),Scores!Y36)</f>
        <v>33.333333333333329</v>
      </c>
      <c r="T37" s="689">
        <f ca="1">IF(uxb_works!$B$122=1,IF(Data!T36="","",Data!T36),Scores!Z36)</f>
        <v>0</v>
      </c>
      <c r="U37" s="691">
        <f ca="1">IF(uxb_works!$B$122=1,IF(Data!U36="","",Data!U36),Scores!AA36)</f>
        <v>66.666666666666657</v>
      </c>
      <c r="V37" s="692">
        <f ca="1">IF(uxb_works!$B$122=1,IF(Data!V36="","",Data!V36),Scores!AB36)</f>
        <v>0</v>
      </c>
      <c r="W37" s="691">
        <f>IF(uxb_works!$B$122=1,IF(Data!W36="","",Data!W36),Scores!AC36)</f>
        <v>0</v>
      </c>
      <c r="X37" s="692">
        <f>IF(uxb_works!$B$122=1,IF(Data!X36="","",Data!X36),Scores!AD36)</f>
        <v>0</v>
      </c>
      <c r="Y37" s="691">
        <f>IF(uxb_works!$B$122=1,IF(Data!Y36="","",Data!Y36),Scores!AE36)</f>
        <v>0</v>
      </c>
      <c r="Z37" s="692">
        <f>IF(uxb_works!$B$122=1,IF(Data!Z36="","",Data!Z36),Scores!AF36)</f>
        <v>0</v>
      </c>
      <c r="AA37" s="691">
        <f>IF(uxb_works!$B$122=1,IF(Data!AA36="","",Data!AA36),Scores!AG36)</f>
        <v>0</v>
      </c>
      <c r="AB37" s="692">
        <f>IF(uxb_works!$B$122=1,IF(Data!AB36="","",Data!AB36),Scores!AH36)</f>
        <v>0</v>
      </c>
      <c r="AC37" s="691">
        <f>IF(uxb_works!$B$122=1,IF(Data!AC36="","",Data!AC36),Scores!AI36)</f>
        <v>0</v>
      </c>
      <c r="AD37" s="692">
        <f>IF(uxb_works!$B$122=1,IF(Data!AD36="","",Data!AD36),Scores!AJ36)</f>
        <v>0</v>
      </c>
      <c r="AE37" s="691">
        <f>IF(uxb_works!$B$122=1,IF(Data!AE36="","",Data!AE36),Scores!AK36)</f>
        <v>0</v>
      </c>
      <c r="AF37" s="693"/>
      <c r="AG37" s="693"/>
      <c r="AH37" s="693"/>
      <c r="AI37" s="693"/>
      <c r="AJ37" s="693"/>
      <c r="AK37" s="693"/>
      <c r="AL37" s="693"/>
      <c r="AM37" s="693"/>
      <c r="AN37" s="693"/>
      <c r="AO37" s="693"/>
      <c r="AP37" s="693"/>
      <c r="AQ37" s="693"/>
      <c r="AR37" s="693"/>
    </row>
    <row r="38" spans="1:44" s="383" customFormat="1" ht="39.950000000000003" customHeight="1">
      <c r="A38" s="384"/>
      <c r="B38" s="385">
        <f>tblIndicators!A34</f>
        <v>33</v>
      </c>
      <c r="C38" s="385">
        <f>tblIndicators!B34</f>
        <v>0</v>
      </c>
      <c r="D38" s="385">
        <f>tblIndicators!F34</f>
        <v>1</v>
      </c>
      <c r="E38" s="385">
        <f>tblIndicators!C34</f>
        <v>0</v>
      </c>
      <c r="F38" s="385" t="str">
        <f>tblIndicators!H34</f>
        <v>Mercado</v>
      </c>
      <c r="G38" s="385">
        <f>tblIndicators!Z34</f>
        <v>1</v>
      </c>
      <c r="H38" s="640" t="str">
        <f>REPT(" ",(D38-1)*2)&amp;tblIndicators!AE34</f>
        <v>3) MERCADO</v>
      </c>
      <c r="I38" s="569">
        <f>IF(uxb_works!$B$122=1,IF(Data!I37="","",Data!I37),Scores!O37)</f>
        <v>0.33333333333333331</v>
      </c>
      <c r="J38" s="694">
        <f ca="1">IF(uxb_works!$B$122=1,IF(Data!J37="","",Data!J37),Scores!P37)</f>
        <v>27.448964052231986</v>
      </c>
      <c r="K38" s="695">
        <f ca="1">IF(uxb_works!$B$122=1,IF(Data!K37="","",Data!K37),Scores!Q37)</f>
        <v>62.932975866615465</v>
      </c>
      <c r="L38" s="694">
        <f ca="1">IF(uxb_works!$B$122=1,IF(Data!L37="","",Data!L37),Scores!R37)</f>
        <v>91.981671779141109</v>
      </c>
      <c r="M38" s="695">
        <f ca="1">IF(uxb_works!$B$122=1,IF(Data!M37="","",Data!M37),Scores!S37)</f>
        <v>36.590144901111159</v>
      </c>
      <c r="N38" s="694">
        <f ca="1">IF(uxb_works!$B$122=1,IF(Data!N37="","",Data!N37),Scores!T37)</f>
        <v>50.503734027986333</v>
      </c>
      <c r="O38" s="695">
        <f ca="1">IF(uxb_works!$B$122=1,IF(Data!O37="","",Data!O37),Scores!U37)</f>
        <v>52.14261120983226</v>
      </c>
      <c r="P38" s="694">
        <f ca="1">IF(uxb_works!$B$122=1,IF(Data!P37="","",Data!P37),Scores!V37)</f>
        <v>41.189746928694348</v>
      </c>
      <c r="Q38" s="695">
        <f ca="1">IF(uxb_works!$B$122=1,IF(Data!Q37="","",Data!Q37),Scores!W37)</f>
        <v>34.863053613053609</v>
      </c>
      <c r="R38" s="694">
        <f ca="1">IF(uxb_works!$B$122=1,IF(Data!R37="","",Data!R37),Scores!X37)</f>
        <v>26.041666666666664</v>
      </c>
      <c r="S38" s="695">
        <f ca="1">IF(uxb_works!$B$122=1,IF(Data!S37="","",Data!S37),Scores!Y37)</f>
        <v>72.149295791585246</v>
      </c>
      <c r="T38" s="694">
        <f ca="1">IF(uxb_works!$B$122=1,IF(Data!T37="","",Data!T37),Scores!Z37)</f>
        <v>47.77740919612085</v>
      </c>
      <c r="U38" s="696">
        <f ca="1">IF(uxb_works!$B$122=1,IF(Data!U37="","",Data!U37),Scores!AA37)</f>
        <v>55.437108967208651</v>
      </c>
      <c r="V38" s="697">
        <f ca="1">IF(uxb_works!$B$122=1,IF(Data!V37="","",Data!V37),Scores!AB37)</f>
        <v>14.607286884894247</v>
      </c>
      <c r="W38" s="696">
        <f>IF(uxb_works!$B$122=1,IF(Data!W37="","",Data!W37),Scores!AC37)</f>
        <v>0</v>
      </c>
      <c r="X38" s="697">
        <f>IF(uxb_works!$B$122=1,IF(Data!X37="","",Data!X37),Scores!AD37)</f>
        <v>0</v>
      </c>
      <c r="Y38" s="696">
        <f>IF(uxb_works!$B$122=1,IF(Data!Y37="","",Data!Y37),Scores!AE37)</f>
        <v>0</v>
      </c>
      <c r="Z38" s="697">
        <f>IF(uxb_works!$B$122=1,IF(Data!Z37="","",Data!Z37),Scores!AF37)</f>
        <v>0</v>
      </c>
      <c r="AA38" s="696">
        <f>IF(uxb_works!$B$122=1,IF(Data!AA37="","",Data!AA37),Scores!AG37)</f>
        <v>0</v>
      </c>
      <c r="AB38" s="697">
        <f>IF(uxb_works!$B$122=1,IF(Data!AB37="","",Data!AB37),Scores!AH37)</f>
        <v>0</v>
      </c>
      <c r="AC38" s="696">
        <f>IF(uxb_works!$B$122=1,IF(Data!AC37="","",Data!AC37),Scores!AI37)</f>
        <v>0</v>
      </c>
      <c r="AD38" s="697">
        <f>IF(uxb_works!$B$122=1,IF(Data!AD37="","",Data!AD37),Scores!AJ37)</f>
        <v>0</v>
      </c>
      <c r="AE38" s="696">
        <f>IF(uxb_works!$B$122=1,IF(Data!AE37="","",Data!AE37),Scores!AK37)</f>
        <v>0</v>
      </c>
      <c r="AF38" s="678"/>
      <c r="AG38" s="678"/>
      <c r="AH38" s="678"/>
      <c r="AI38" s="678"/>
      <c r="AJ38" s="678"/>
      <c r="AK38" s="678"/>
      <c r="AL38" s="678"/>
      <c r="AM38" s="678"/>
      <c r="AN38" s="678"/>
      <c r="AO38" s="678"/>
      <c r="AP38" s="678"/>
      <c r="AQ38" s="678"/>
      <c r="AR38" s="678"/>
    </row>
    <row r="39" spans="1:44" s="627" customFormat="1" ht="24.95" customHeight="1">
      <c r="A39" s="621"/>
      <c r="B39" s="622">
        <f>tblIndicators!A35</f>
        <v>34</v>
      </c>
      <c r="C39" s="622">
        <f>tblIndicators!B35</f>
        <v>0</v>
      </c>
      <c r="D39" s="622">
        <f>tblIndicators!F35</f>
        <v>2</v>
      </c>
      <c r="E39" s="622">
        <f>tblIndicators!C35</f>
        <v>0</v>
      </c>
      <c r="F39" s="622" t="str">
        <f>tblIndicators!H35</f>
        <v>Condiciones de acceso y almacenamiento de residuos</v>
      </c>
      <c r="G39" s="622">
        <f>tblIndicators!Z35</f>
        <v>1</v>
      </c>
      <c r="H39" s="643" t="str">
        <f>REPT(" ",(D39-1)*2)&amp;tblIndicators!AE35</f>
        <v xml:space="preserve">  3.1) Condiciones de acceso y almacenamiento de residuos</v>
      </c>
      <c r="I39" s="642">
        <f>IF(uxb_works!$B$122=1,IF(Data!I38="","",Data!I38),Scores!O38)</f>
        <v>0.25</v>
      </c>
      <c r="J39" s="684">
        <f ca="1">IF(uxb_works!$B$122=1,IF(Data!J38="","",Data!J38),Scores!P38)</f>
        <v>8.3333333333333321</v>
      </c>
      <c r="K39" s="685">
        <f ca="1">IF(uxb_works!$B$122=1,IF(Data!K38="","",Data!K38),Scores!Q38)</f>
        <v>54.166666666666664</v>
      </c>
      <c r="L39" s="684">
        <f ca="1">IF(uxb_works!$B$122=1,IF(Data!L38="","",Data!L38),Scores!R38)</f>
        <v>100</v>
      </c>
      <c r="M39" s="685">
        <f ca="1">IF(uxb_works!$B$122=1,IF(Data!M38="","",Data!M38),Scores!S38)</f>
        <v>20.833333333333332</v>
      </c>
      <c r="N39" s="684">
        <f ca="1">IF(uxb_works!$B$122=1,IF(Data!N38="","",Data!N38),Scores!T38)</f>
        <v>33.333333333333329</v>
      </c>
      <c r="O39" s="685">
        <f ca="1">IF(uxb_works!$B$122=1,IF(Data!O38="","",Data!O38),Scores!U38)</f>
        <v>41.666666666666664</v>
      </c>
      <c r="P39" s="684">
        <f ca="1">IF(uxb_works!$B$122=1,IF(Data!P38="","",Data!P38),Scores!V38)</f>
        <v>45.833333333333329</v>
      </c>
      <c r="Q39" s="685">
        <f ca="1">IF(uxb_works!$B$122=1,IF(Data!Q38="","",Data!Q38),Scores!W38)</f>
        <v>8.3333333333333321</v>
      </c>
      <c r="R39" s="684">
        <f ca="1">IF(uxb_works!$B$122=1,IF(Data!R38="","",Data!R38),Scores!X38)</f>
        <v>20.833333333333332</v>
      </c>
      <c r="S39" s="685">
        <f ca="1">IF(uxb_works!$B$122=1,IF(Data!S38="","",Data!S38),Scores!Y38)</f>
        <v>87.5</v>
      </c>
      <c r="T39" s="684">
        <f ca="1">IF(uxb_works!$B$122=1,IF(Data!T38="","",Data!T38),Scores!Z38)</f>
        <v>45.833333333333329</v>
      </c>
      <c r="U39" s="686">
        <f ca="1">IF(uxb_works!$B$122=1,IF(Data!U38="","",Data!U38),Scores!AA38)</f>
        <v>58.333333333333329</v>
      </c>
      <c r="V39" s="687">
        <f ca="1">IF(uxb_works!$B$122=1,IF(Data!V38="","",Data!V38),Scores!AB38)</f>
        <v>0</v>
      </c>
      <c r="W39" s="686">
        <f>IF(uxb_works!$B$122=1,IF(Data!W38="","",Data!W38),Scores!AC38)</f>
        <v>0</v>
      </c>
      <c r="X39" s="687">
        <f>IF(uxb_works!$B$122=1,IF(Data!X38="","",Data!X38),Scores!AD38)</f>
        <v>0</v>
      </c>
      <c r="Y39" s="686">
        <f>IF(uxb_works!$B$122=1,IF(Data!Y38="","",Data!Y38),Scores!AE38)</f>
        <v>0</v>
      </c>
      <c r="Z39" s="687">
        <f>IF(uxb_works!$B$122=1,IF(Data!Z38="","",Data!Z38),Scores!AF38)</f>
        <v>0</v>
      </c>
      <c r="AA39" s="686">
        <f>IF(uxb_works!$B$122=1,IF(Data!AA38="","",Data!AA38),Scores!AG38)</f>
        <v>0</v>
      </c>
      <c r="AB39" s="687">
        <f>IF(uxb_works!$B$122=1,IF(Data!AB38="","",Data!AB38),Scores!AH38)</f>
        <v>0</v>
      </c>
      <c r="AC39" s="686">
        <f>IF(uxb_works!$B$122=1,IF(Data!AC38="","",Data!AC38),Scores!AI38)</f>
        <v>0</v>
      </c>
      <c r="AD39" s="687">
        <f>IF(uxb_works!$B$122=1,IF(Data!AD38="","",Data!AD38),Scores!AJ38)</f>
        <v>0</v>
      </c>
      <c r="AE39" s="686">
        <f>IF(uxb_works!$B$122=1,IF(Data!AE38="","",Data!AE38),Scores!AK38)</f>
        <v>0</v>
      </c>
      <c r="AF39" s="688"/>
      <c r="AG39" s="688"/>
      <c r="AH39" s="688"/>
      <c r="AI39" s="688"/>
      <c r="AJ39" s="688"/>
      <c r="AK39" s="688"/>
      <c r="AL39" s="688"/>
      <c r="AM39" s="688"/>
      <c r="AN39" s="688"/>
      <c r="AO39" s="688"/>
      <c r="AP39" s="688"/>
      <c r="AQ39" s="688"/>
      <c r="AR39" s="688"/>
    </row>
    <row r="40" spans="1:44" s="646" customFormat="1" ht="30" customHeight="1">
      <c r="A40" s="644"/>
      <c r="B40" s="645">
        <f>tblIndicators!A36</f>
        <v>35</v>
      </c>
      <c r="C40" s="645">
        <f>tblIndicators!B36</f>
        <v>0</v>
      </c>
      <c r="D40" s="645">
        <f>tblIndicators!F36</f>
        <v>3</v>
      </c>
      <c r="E40" s="645">
        <f>tblIndicators!C36</f>
        <v>24</v>
      </c>
      <c r="F40" s="645" t="str">
        <f>tblIndicators!H36</f>
        <v>24.¿Cómo es el acceso del material reciclable?</v>
      </c>
      <c r="G40" s="645">
        <f>tblIndicators!Z36</f>
        <v>3</v>
      </c>
      <c r="H40" s="559" t="str">
        <f>REPT(" ",(D40-1)*2)&amp;tblIndicators!AE36</f>
        <v xml:space="preserve">    3.1.1) 24.¿Cómo es el acceso del material reciclable?</v>
      </c>
      <c r="I40" s="663">
        <f>IF(uxb_works!$B$122=1,IF(Data!I39="","",Data!I39),Scores!O39)</f>
        <v>0.25</v>
      </c>
      <c r="J40" s="689">
        <f ca="1">IF(uxb_works!$B$122=1,IF(Data!J39="","",Data!J39),Scores!P39)</f>
        <v>33.333333333333329</v>
      </c>
      <c r="K40" s="690">
        <f ca="1">IF(uxb_works!$B$122=1,IF(Data!K39="","",Data!K39),Scores!Q39)</f>
        <v>66.666666666666657</v>
      </c>
      <c r="L40" s="689">
        <f ca="1">IF(uxb_works!$B$122=1,IF(Data!L39="","",Data!L39),Scores!R39)</f>
        <v>100</v>
      </c>
      <c r="M40" s="690">
        <f ca="1">IF(uxb_works!$B$122=1,IF(Data!M39="","",Data!M39),Scores!S39)</f>
        <v>33.333333333333329</v>
      </c>
      <c r="N40" s="689">
        <f ca="1">IF(uxb_works!$B$122=1,IF(Data!N39="","",Data!N39),Scores!T39)</f>
        <v>33.333333333333329</v>
      </c>
      <c r="O40" s="690">
        <f ca="1">IF(uxb_works!$B$122=1,IF(Data!O39="","",Data!O39),Scores!U39)</f>
        <v>66.666666666666657</v>
      </c>
      <c r="P40" s="689">
        <f ca="1">IF(uxb_works!$B$122=1,IF(Data!P39="","",Data!P39),Scores!V39)</f>
        <v>33.333333333333329</v>
      </c>
      <c r="Q40" s="690">
        <f ca="1">IF(uxb_works!$B$122=1,IF(Data!Q39="","",Data!Q39),Scores!W39)</f>
        <v>33.333333333333329</v>
      </c>
      <c r="R40" s="689">
        <f ca="1">IF(uxb_works!$B$122=1,IF(Data!R39="","",Data!R39),Scores!X39)</f>
        <v>33.333333333333329</v>
      </c>
      <c r="S40" s="690">
        <f ca="1">IF(uxb_works!$B$122=1,IF(Data!S39="","",Data!S39),Scores!Y39)</f>
        <v>100</v>
      </c>
      <c r="T40" s="689">
        <f ca="1">IF(uxb_works!$B$122=1,IF(Data!T39="","",Data!T39),Scores!Z39)</f>
        <v>33.333333333333329</v>
      </c>
      <c r="U40" s="691">
        <f ca="1">IF(uxb_works!$B$122=1,IF(Data!U39="","",Data!U39),Scores!AA39)</f>
        <v>33.333333333333329</v>
      </c>
      <c r="V40" s="692">
        <f ca="1">IF(uxb_works!$B$122=1,IF(Data!V39="","",Data!V39),Scores!AB39)</f>
        <v>0</v>
      </c>
      <c r="W40" s="691">
        <f>IF(uxb_works!$B$122=1,IF(Data!W39="","",Data!W39),Scores!AC39)</f>
        <v>0</v>
      </c>
      <c r="X40" s="692">
        <f>IF(uxb_works!$B$122=1,IF(Data!X39="","",Data!X39),Scores!AD39)</f>
        <v>0</v>
      </c>
      <c r="Y40" s="691">
        <f>IF(uxb_works!$B$122=1,IF(Data!Y39="","",Data!Y39),Scores!AE39)</f>
        <v>0</v>
      </c>
      <c r="Z40" s="692">
        <f>IF(uxb_works!$B$122=1,IF(Data!Z39="","",Data!Z39),Scores!AF39)</f>
        <v>0</v>
      </c>
      <c r="AA40" s="691">
        <f>IF(uxb_works!$B$122=1,IF(Data!AA39="","",Data!AA39),Scores!AG39)</f>
        <v>0</v>
      </c>
      <c r="AB40" s="692">
        <f>IF(uxb_works!$B$122=1,IF(Data!AB39="","",Data!AB39),Scores!AH39)</f>
        <v>0</v>
      </c>
      <c r="AC40" s="691">
        <f>IF(uxb_works!$B$122=1,IF(Data!AC39="","",Data!AC39),Scores!AI39)</f>
        <v>0</v>
      </c>
      <c r="AD40" s="692">
        <f>IF(uxb_works!$B$122=1,IF(Data!AD39="","",Data!AD39),Scores!AJ39)</f>
        <v>0</v>
      </c>
      <c r="AE40" s="691">
        <f>IF(uxb_works!$B$122=1,IF(Data!AE39="","",Data!AE39),Scores!AK39)</f>
        <v>0</v>
      </c>
      <c r="AF40" s="693"/>
      <c r="AG40" s="693"/>
      <c r="AH40" s="693"/>
      <c r="AI40" s="693"/>
      <c r="AJ40" s="693"/>
      <c r="AK40" s="693"/>
      <c r="AL40" s="693"/>
      <c r="AM40" s="693"/>
      <c r="AN40" s="693"/>
      <c r="AO40" s="693"/>
      <c r="AP40" s="693"/>
      <c r="AQ40" s="693"/>
      <c r="AR40" s="693"/>
    </row>
    <row r="41" spans="1:44" s="646" customFormat="1" ht="30" customHeight="1">
      <c r="A41" s="644"/>
      <c r="B41" s="645">
        <f>tblIndicators!A37</f>
        <v>36</v>
      </c>
      <c r="C41" s="645">
        <f>tblIndicators!B37</f>
        <v>0</v>
      </c>
      <c r="D41" s="645">
        <f>tblIndicators!F37</f>
        <v>3</v>
      </c>
      <c r="E41" s="645">
        <f>tblIndicators!C37</f>
        <v>25</v>
      </c>
      <c r="F41" s="645" t="str">
        <f>tblIndicators!H37</f>
        <v>25.¿Existen esquemas formales de recolección diferenciada de residuos reciclables en el municipio que involucran a recicladores de base?</v>
      </c>
      <c r="G41" s="645">
        <f>tblIndicators!Z37</f>
        <v>3</v>
      </c>
      <c r="H41" s="559" t="str">
        <f>REPT(" ",(D41-1)*2)&amp;tblIndicators!AE37</f>
        <v xml:space="preserve">    3.1.2) 25.¿Existen esquemas formales de recolección diferenciada de residuos reciclables en el municipio que involucran a recicladores de base?</v>
      </c>
      <c r="I41" s="663">
        <f>IF(uxb_works!$B$122=1,IF(Data!I40="","",Data!I40),Scores!O40)</f>
        <v>0.25</v>
      </c>
      <c r="J41" s="689">
        <f ca="1">IF(uxb_works!$B$122=1,IF(Data!J40="","",Data!J40),Scores!P40)</f>
        <v>0</v>
      </c>
      <c r="K41" s="690">
        <f ca="1">IF(uxb_works!$B$122=1,IF(Data!K40="","",Data!K40),Scores!Q40)</f>
        <v>0</v>
      </c>
      <c r="L41" s="689">
        <f ca="1">IF(uxb_works!$B$122=1,IF(Data!L40="","",Data!L40),Scores!R40)</f>
        <v>100</v>
      </c>
      <c r="M41" s="690">
        <f ca="1">IF(uxb_works!$B$122=1,IF(Data!M40="","",Data!M40),Scores!S40)</f>
        <v>0</v>
      </c>
      <c r="N41" s="689">
        <f ca="1">IF(uxb_works!$B$122=1,IF(Data!N40="","",Data!N40),Scores!T40)</f>
        <v>0</v>
      </c>
      <c r="O41" s="690">
        <f ca="1">IF(uxb_works!$B$122=1,IF(Data!O40="","",Data!O40),Scores!U40)</f>
        <v>100</v>
      </c>
      <c r="P41" s="689">
        <f ca="1">IF(uxb_works!$B$122=1,IF(Data!P40="","",Data!P40),Scores!V40)</f>
        <v>50</v>
      </c>
      <c r="Q41" s="690">
        <f ca="1">IF(uxb_works!$B$122=1,IF(Data!Q40="","",Data!Q40),Scores!W40)</f>
        <v>0</v>
      </c>
      <c r="R41" s="689">
        <f ca="1">IF(uxb_works!$B$122=1,IF(Data!R40="","",Data!R40),Scores!X40)</f>
        <v>50</v>
      </c>
      <c r="S41" s="690">
        <f ca="1">IF(uxb_works!$B$122=1,IF(Data!S40="","",Data!S40),Scores!Y40)</f>
        <v>100</v>
      </c>
      <c r="T41" s="689">
        <f ca="1">IF(uxb_works!$B$122=1,IF(Data!T40="","",Data!T40),Scores!Z40)</f>
        <v>50</v>
      </c>
      <c r="U41" s="691">
        <f ca="1">IF(uxb_works!$B$122=1,IF(Data!U40="","",Data!U40),Scores!AA40)</f>
        <v>100</v>
      </c>
      <c r="V41" s="692">
        <f ca="1">IF(uxb_works!$B$122=1,IF(Data!V40="","",Data!V40),Scores!AB40)</f>
        <v>0</v>
      </c>
      <c r="W41" s="691">
        <f>IF(uxb_works!$B$122=1,IF(Data!W40="","",Data!W40),Scores!AC40)</f>
        <v>0</v>
      </c>
      <c r="X41" s="692">
        <f>IF(uxb_works!$B$122=1,IF(Data!X40="","",Data!X40),Scores!AD40)</f>
        <v>0</v>
      </c>
      <c r="Y41" s="691">
        <f>IF(uxb_works!$B$122=1,IF(Data!Y40="","",Data!Y40),Scores!AE40)</f>
        <v>0</v>
      </c>
      <c r="Z41" s="692">
        <f>IF(uxb_works!$B$122=1,IF(Data!Z40="","",Data!Z40),Scores!AF40)</f>
        <v>0</v>
      </c>
      <c r="AA41" s="691">
        <f>IF(uxb_works!$B$122=1,IF(Data!AA40="","",Data!AA40),Scores!AG40)</f>
        <v>0</v>
      </c>
      <c r="AB41" s="692">
        <f>IF(uxb_works!$B$122=1,IF(Data!AB40="","",Data!AB40),Scores!AH40)</f>
        <v>0</v>
      </c>
      <c r="AC41" s="691">
        <f>IF(uxb_works!$B$122=1,IF(Data!AC40="","",Data!AC40),Scores!AI40)</f>
        <v>0</v>
      </c>
      <c r="AD41" s="692">
        <f>IF(uxb_works!$B$122=1,IF(Data!AD40="","",Data!AD40),Scores!AJ40)</f>
        <v>0</v>
      </c>
      <c r="AE41" s="691">
        <f>IF(uxb_works!$B$122=1,IF(Data!AE40="","",Data!AE40),Scores!AK40)</f>
        <v>0</v>
      </c>
      <c r="AF41" s="693"/>
      <c r="AG41" s="693"/>
      <c r="AH41" s="693"/>
      <c r="AI41" s="693"/>
      <c r="AJ41" s="693"/>
      <c r="AK41" s="693"/>
      <c r="AL41" s="693"/>
      <c r="AM41" s="693"/>
      <c r="AN41" s="693"/>
      <c r="AO41" s="693"/>
      <c r="AP41" s="693"/>
      <c r="AQ41" s="693"/>
      <c r="AR41" s="693"/>
    </row>
    <row r="42" spans="1:44" s="646" customFormat="1" ht="30" customHeight="1">
      <c r="A42" s="644"/>
      <c r="B42" s="645">
        <f>tblIndicators!A38</f>
        <v>37</v>
      </c>
      <c r="C42" s="645">
        <f>tblIndicators!B38</f>
        <v>0</v>
      </c>
      <c r="D42" s="645">
        <f>tblIndicators!F38</f>
        <v>3</v>
      </c>
      <c r="E42" s="645">
        <f>tblIndicators!C38</f>
        <v>26</v>
      </c>
      <c r="F42" s="645" t="str">
        <f>tblIndicators!H38</f>
        <v>26.¿Los recicladores tienen acceso a instalaciones para el almacenamiento y la clasificación de materiales?</v>
      </c>
      <c r="G42" s="645">
        <f>tblIndicators!Z38</f>
        <v>3</v>
      </c>
      <c r="H42" s="559" t="str">
        <f>REPT(" ",(D42-1)*2)&amp;tblIndicators!AE38</f>
        <v xml:space="preserve">    3.1.3) 26.¿Los recicladores tienen acceso a instalaciones para el almacenamiento y la clasificación de materiales?</v>
      </c>
      <c r="I42" s="663">
        <f>IF(uxb_works!$B$122=1,IF(Data!I41="","",Data!I41),Scores!O41)</f>
        <v>0.25</v>
      </c>
      <c r="J42" s="689">
        <f ca="1">IF(uxb_works!$B$122=1,IF(Data!J41="","",Data!J41),Scores!P41)</f>
        <v>0</v>
      </c>
      <c r="K42" s="690">
        <f ca="1">IF(uxb_works!$B$122=1,IF(Data!K41="","",Data!K41),Scores!Q41)</f>
        <v>100</v>
      </c>
      <c r="L42" s="689">
        <f ca="1">IF(uxb_works!$B$122=1,IF(Data!L41="","",Data!L41),Scores!R41)</f>
        <v>100</v>
      </c>
      <c r="M42" s="690">
        <f ca="1">IF(uxb_works!$B$122=1,IF(Data!M41="","",Data!M41),Scores!S41)</f>
        <v>0</v>
      </c>
      <c r="N42" s="689">
        <f ca="1">IF(uxb_works!$B$122=1,IF(Data!N41="","",Data!N41),Scores!T41)</f>
        <v>100</v>
      </c>
      <c r="O42" s="690">
        <f ca="1">IF(uxb_works!$B$122=1,IF(Data!O41="","",Data!O41),Scores!U41)</f>
        <v>0</v>
      </c>
      <c r="P42" s="689">
        <f ca="1">IF(uxb_works!$B$122=1,IF(Data!P41="","",Data!P41),Scores!V41)</f>
        <v>100</v>
      </c>
      <c r="Q42" s="690">
        <f ca="1">IF(uxb_works!$B$122=1,IF(Data!Q41="","",Data!Q41),Scores!W41)</f>
        <v>0</v>
      </c>
      <c r="R42" s="689">
        <f ca="1">IF(uxb_works!$B$122=1,IF(Data!R41="","",Data!R41),Scores!X41)</f>
        <v>0</v>
      </c>
      <c r="S42" s="690">
        <f ca="1">IF(uxb_works!$B$122=1,IF(Data!S41="","",Data!S41),Scores!Y41)</f>
        <v>100</v>
      </c>
      <c r="T42" s="689">
        <f ca="1">IF(uxb_works!$B$122=1,IF(Data!T41="","",Data!T41),Scores!Z41)</f>
        <v>100</v>
      </c>
      <c r="U42" s="691">
        <f ca="1">IF(uxb_works!$B$122=1,IF(Data!U41="","",Data!U41),Scores!AA41)</f>
        <v>100</v>
      </c>
      <c r="V42" s="692">
        <f ca="1">IF(uxb_works!$B$122=1,IF(Data!V41="","",Data!V41),Scores!AB41)</f>
        <v>0</v>
      </c>
      <c r="W42" s="691">
        <f>IF(uxb_works!$B$122=1,IF(Data!W41="","",Data!W41),Scores!AC41)</f>
        <v>0</v>
      </c>
      <c r="X42" s="692">
        <f>IF(uxb_works!$B$122=1,IF(Data!X41="","",Data!X41),Scores!AD41)</f>
        <v>0</v>
      </c>
      <c r="Y42" s="691">
        <f>IF(uxb_works!$B$122=1,IF(Data!Y41="","",Data!Y41),Scores!AE41)</f>
        <v>0</v>
      </c>
      <c r="Z42" s="692">
        <f>IF(uxb_works!$B$122=1,IF(Data!Z41="","",Data!Z41),Scores!AF41)</f>
        <v>0</v>
      </c>
      <c r="AA42" s="691">
        <f>IF(uxb_works!$B$122=1,IF(Data!AA41="","",Data!AA41),Scores!AG41)</f>
        <v>0</v>
      </c>
      <c r="AB42" s="692">
        <f>IF(uxb_works!$B$122=1,IF(Data!AB41="","",Data!AB41),Scores!AH41)</f>
        <v>0</v>
      </c>
      <c r="AC42" s="691">
        <f>IF(uxb_works!$B$122=1,IF(Data!AC41="","",Data!AC41),Scores!AI41)</f>
        <v>0</v>
      </c>
      <c r="AD42" s="692">
        <f>IF(uxb_works!$B$122=1,IF(Data!AD41="","",Data!AD41),Scores!AJ41)</f>
        <v>0</v>
      </c>
      <c r="AE42" s="691">
        <f>IF(uxb_works!$B$122=1,IF(Data!AE41="","",Data!AE41),Scores!AK41)</f>
        <v>0</v>
      </c>
      <c r="AF42" s="693"/>
      <c r="AG42" s="693"/>
      <c r="AH42" s="693"/>
      <c r="AI42" s="693"/>
      <c r="AJ42" s="693"/>
      <c r="AK42" s="693"/>
      <c r="AL42" s="693"/>
      <c r="AM42" s="693"/>
      <c r="AN42" s="693"/>
      <c r="AO42" s="693"/>
      <c r="AP42" s="693"/>
      <c r="AQ42" s="693"/>
      <c r="AR42" s="693"/>
    </row>
    <row r="43" spans="1:44" s="646" customFormat="1" ht="30" customHeight="1">
      <c r="A43" s="644"/>
      <c r="B43" s="645">
        <f>tblIndicators!A39</f>
        <v>38</v>
      </c>
      <c r="C43" s="645">
        <f>tblIndicators!B39</f>
        <v>0</v>
      </c>
      <c r="D43" s="645">
        <f>tblIndicators!F39</f>
        <v>3</v>
      </c>
      <c r="E43" s="645">
        <f>tblIndicators!C39</f>
        <v>27</v>
      </c>
      <c r="F43" s="645" t="str">
        <f>tblIndicators!H39</f>
        <v>27.¿Cuál es el nivel de desarrollo técnico alcanzado en la clasificación (o pre-procesamiento) de materiales reciclables por parte de agrupaciones de recicladores?</v>
      </c>
      <c r="G43" s="645">
        <f>tblIndicators!Z39</f>
        <v>3</v>
      </c>
      <c r="H43" s="559" t="str">
        <f>REPT(" ",(D43-1)*2)&amp;tblIndicators!AE39</f>
        <v xml:space="preserve">    3.1.4) 27.¿Cuál es el nivel de desarrollo técnico alcanzado en la clasificación (o pre-procesamiento) de materiales reciclables por parte de agrupaciones de recicladores?</v>
      </c>
      <c r="I43" s="663">
        <f>IF(uxb_works!$B$122=1,IF(Data!I42="","",Data!I42),Scores!O42)</f>
        <v>0.25</v>
      </c>
      <c r="J43" s="689">
        <f ca="1">IF(uxb_works!$B$122=1,IF(Data!J42="","",Data!J42),Scores!P42)</f>
        <v>0</v>
      </c>
      <c r="K43" s="690">
        <f ca="1">IF(uxb_works!$B$122=1,IF(Data!K42="","",Data!K42),Scores!Q42)</f>
        <v>50</v>
      </c>
      <c r="L43" s="689">
        <f ca="1">IF(uxb_works!$B$122=1,IF(Data!L42="","",Data!L42),Scores!R42)</f>
        <v>100</v>
      </c>
      <c r="M43" s="690">
        <f ca="1">IF(uxb_works!$B$122=1,IF(Data!M42="","",Data!M42),Scores!S42)</f>
        <v>50</v>
      </c>
      <c r="N43" s="689">
        <f ca="1">IF(uxb_works!$B$122=1,IF(Data!N42="","",Data!N42),Scores!T42)</f>
        <v>0</v>
      </c>
      <c r="O43" s="690">
        <f ca="1">IF(uxb_works!$B$122=1,IF(Data!O42="","",Data!O42),Scores!U42)</f>
        <v>0</v>
      </c>
      <c r="P43" s="689">
        <f ca="1">IF(uxb_works!$B$122=1,IF(Data!P42="","",Data!P42),Scores!V42)</f>
        <v>0</v>
      </c>
      <c r="Q43" s="690">
        <f ca="1">IF(uxb_works!$B$122=1,IF(Data!Q42="","",Data!Q42),Scores!W42)</f>
        <v>0</v>
      </c>
      <c r="R43" s="689">
        <f ca="1">IF(uxb_works!$B$122=1,IF(Data!R42="","",Data!R42),Scores!X42)</f>
        <v>0</v>
      </c>
      <c r="S43" s="690">
        <f ca="1">IF(uxb_works!$B$122=1,IF(Data!S42="","",Data!S42),Scores!Y42)</f>
        <v>50</v>
      </c>
      <c r="T43" s="689">
        <f ca="1">IF(uxb_works!$B$122=1,IF(Data!T42="","",Data!T42),Scores!Z42)</f>
        <v>0</v>
      </c>
      <c r="U43" s="691">
        <f ca="1">IF(uxb_works!$B$122=1,IF(Data!U42="","",Data!U42),Scores!AA42)</f>
        <v>0</v>
      </c>
      <c r="V43" s="692">
        <f ca="1">IF(uxb_works!$B$122=1,IF(Data!V42="","",Data!V42),Scores!AB42)</f>
        <v>0</v>
      </c>
      <c r="W43" s="691">
        <f>IF(uxb_works!$B$122=1,IF(Data!W42="","",Data!W42),Scores!AC42)</f>
        <v>0</v>
      </c>
      <c r="X43" s="692">
        <f>IF(uxb_works!$B$122=1,IF(Data!X42="","",Data!X42),Scores!AD42)</f>
        <v>0</v>
      </c>
      <c r="Y43" s="691">
        <f>IF(uxb_works!$B$122=1,IF(Data!Y42="","",Data!Y42),Scores!AE42)</f>
        <v>0</v>
      </c>
      <c r="Z43" s="692">
        <f>IF(uxb_works!$B$122=1,IF(Data!Z42="","",Data!Z42),Scores!AF42)</f>
        <v>0</v>
      </c>
      <c r="AA43" s="691">
        <f>IF(uxb_works!$B$122=1,IF(Data!AA42="","",Data!AA42),Scores!AG42)</f>
        <v>0</v>
      </c>
      <c r="AB43" s="692">
        <f>IF(uxb_works!$B$122=1,IF(Data!AB42="","",Data!AB42),Scores!AH42)</f>
        <v>0</v>
      </c>
      <c r="AC43" s="691">
        <f>IF(uxb_works!$B$122=1,IF(Data!AC42="","",Data!AC42),Scores!AI42)</f>
        <v>0</v>
      </c>
      <c r="AD43" s="692">
        <f>IF(uxb_works!$B$122=1,IF(Data!AD42="","",Data!AD42),Scores!AJ42)</f>
        <v>0</v>
      </c>
      <c r="AE43" s="691">
        <f>IF(uxb_works!$B$122=1,IF(Data!AE42="","",Data!AE42),Scores!AK42)</f>
        <v>0</v>
      </c>
      <c r="AF43" s="693"/>
      <c r="AG43" s="693"/>
      <c r="AH43" s="693"/>
      <c r="AI43" s="693"/>
      <c r="AJ43" s="693"/>
      <c r="AK43" s="693"/>
      <c r="AL43" s="693"/>
      <c r="AM43" s="693"/>
      <c r="AN43" s="693"/>
      <c r="AO43" s="693"/>
      <c r="AP43" s="693"/>
      <c r="AQ43" s="693"/>
      <c r="AR43" s="693"/>
    </row>
    <row r="44" spans="1:44" s="627" customFormat="1" ht="24.95" customHeight="1">
      <c r="A44" s="621"/>
      <c r="B44" s="622">
        <f>tblIndicators!A40</f>
        <v>39</v>
      </c>
      <c r="C44" s="622">
        <f>tblIndicators!B40</f>
        <v>0</v>
      </c>
      <c r="D44" s="622">
        <f>tblIndicators!F40</f>
        <v>2</v>
      </c>
      <c r="E44" s="622">
        <f>tblIndicators!C40</f>
        <v>0</v>
      </c>
      <c r="F44" s="622" t="str">
        <f>tblIndicators!H40</f>
        <v>Condiciones para la comercialización de material reciclable</v>
      </c>
      <c r="G44" s="622">
        <f>tblIndicators!Z40</f>
        <v>1</v>
      </c>
      <c r="H44" s="643" t="str">
        <f>REPT(" ",(D44-1)*2)&amp;tblIndicators!AE40</f>
        <v xml:space="preserve">  3.2) Condiciones para la comercialización de material reciclable</v>
      </c>
      <c r="I44" s="642">
        <f>IF(uxb_works!$B$122=1,IF(Data!I43="","",Data!I43),Scores!O43)</f>
        <v>0.25</v>
      </c>
      <c r="J44" s="684">
        <f ca="1">IF(uxb_works!$B$122=1,IF(Data!J43="","",Data!J43),Scores!P43)</f>
        <v>97.584355828220851</v>
      </c>
      <c r="K44" s="685">
        <f ca="1">IF(uxb_works!$B$122=1,IF(Data!K43="","",Data!K43),Scores!Q43)</f>
        <v>97.298583114227284</v>
      </c>
      <c r="L44" s="684">
        <f ca="1">IF(uxb_works!$B$122=1,IF(Data!L43="","",Data!L43),Scores!R43)</f>
        <v>92.926687116564423</v>
      </c>
      <c r="M44" s="685">
        <f ca="1">IF(uxb_works!$B$122=1,IF(Data!M43="","",Data!M43),Scores!S43)</f>
        <v>64.251022494887522</v>
      </c>
      <c r="N44" s="684">
        <f ca="1">IF(uxb_works!$B$122=1,IF(Data!N43="","",Data!N43),Scores!T43)</f>
        <v>96.741043338052549</v>
      </c>
      <c r="O44" s="685">
        <f ca="1">IF(uxb_works!$B$122=1,IF(Data!O43="","",Data!O43),Scores!U43)</f>
        <v>98.110071878956091</v>
      </c>
      <c r="P44" s="684">
        <f ca="1">IF(uxb_works!$B$122=1,IF(Data!P43="","",Data!P43),Scores!V43)</f>
        <v>90.057941376959775</v>
      </c>
      <c r="Q44" s="685">
        <f ca="1">IF(uxb_works!$B$122=1,IF(Data!Q43="","",Data!Q43),Scores!W43)</f>
        <v>100</v>
      </c>
      <c r="R44" s="684">
        <f ca="1">IF(uxb_works!$B$122=1,IF(Data!R43="","",Data!R43),Scores!X43)</f>
        <v>33.333333333333329</v>
      </c>
      <c r="S44" s="685">
        <f ca="1">IF(uxb_works!$B$122=1,IF(Data!S43="","",Data!S43),Scores!Y43)</f>
        <v>66.624837330358801</v>
      </c>
      <c r="T44" s="684">
        <f ca="1">IF(uxb_works!$B$122=1,IF(Data!T43="","",Data!T43),Scores!Z43)</f>
        <v>82.863716038562657</v>
      </c>
      <c r="U44" s="686">
        <f ca="1">IF(uxb_works!$B$122=1,IF(Data!U43="","",Data!U43),Scores!AA43)</f>
        <v>90.250766871165638</v>
      </c>
      <c r="V44" s="687">
        <f ca="1">IF(uxb_works!$B$122=1,IF(Data!V43="","",Data!V43),Scores!AB43)</f>
        <v>55.981595092024541</v>
      </c>
      <c r="W44" s="686">
        <f>IF(uxb_works!$B$122=1,IF(Data!W43="","",Data!W43),Scores!AC43)</f>
        <v>0</v>
      </c>
      <c r="X44" s="687">
        <f>IF(uxb_works!$B$122=1,IF(Data!X43="","",Data!X43),Scores!AD43)</f>
        <v>0</v>
      </c>
      <c r="Y44" s="686">
        <f>IF(uxb_works!$B$122=1,IF(Data!Y43="","",Data!Y43),Scores!AE43)</f>
        <v>0</v>
      </c>
      <c r="Z44" s="687">
        <f>IF(uxb_works!$B$122=1,IF(Data!Z43="","",Data!Z43),Scores!AF43)</f>
        <v>0</v>
      </c>
      <c r="AA44" s="686">
        <f>IF(uxb_works!$B$122=1,IF(Data!AA43="","",Data!AA43),Scores!AG43)</f>
        <v>0</v>
      </c>
      <c r="AB44" s="687">
        <f>IF(uxb_works!$B$122=1,IF(Data!AB43="","",Data!AB43),Scores!AH43)</f>
        <v>0</v>
      </c>
      <c r="AC44" s="686">
        <f>IF(uxb_works!$B$122=1,IF(Data!AC43="","",Data!AC43),Scores!AI43)</f>
        <v>0</v>
      </c>
      <c r="AD44" s="687">
        <f>IF(uxb_works!$B$122=1,IF(Data!AD43="","",Data!AD43),Scores!AJ43)</f>
        <v>0</v>
      </c>
      <c r="AE44" s="686">
        <f>IF(uxb_works!$B$122=1,IF(Data!AE43="","",Data!AE43),Scores!AK43)</f>
        <v>0</v>
      </c>
      <c r="AF44" s="688"/>
      <c r="AG44" s="688"/>
      <c r="AH44" s="688"/>
      <c r="AI44" s="688"/>
      <c r="AJ44" s="688"/>
      <c r="AK44" s="688"/>
      <c r="AL44" s="688"/>
      <c r="AM44" s="688"/>
      <c r="AN44" s="688"/>
      <c r="AO44" s="688"/>
      <c r="AP44" s="688"/>
      <c r="AQ44" s="688"/>
      <c r="AR44" s="688"/>
    </row>
    <row r="45" spans="1:44" s="646" customFormat="1" ht="30" customHeight="1">
      <c r="A45" s="644"/>
      <c r="B45" s="645">
        <f>tblIndicators!A41</f>
        <v>40</v>
      </c>
      <c r="C45" s="645">
        <f>tblIndicators!B41</f>
        <v>0</v>
      </c>
      <c r="D45" s="645">
        <f>tblIndicators!F41</f>
        <v>3</v>
      </c>
      <c r="E45" s="645">
        <f>tblIndicators!C41</f>
        <v>28</v>
      </c>
      <c r="F45" s="645" t="str">
        <f>tblIndicators!H41</f>
        <v>28.¿Cuál es la diferencia de valor del material en los diferentes eslabones de la cadena del reciclaje?</v>
      </c>
      <c r="G45" s="645">
        <f>tblIndicators!Z41</f>
        <v>2</v>
      </c>
      <c r="H45" s="559" t="str">
        <f>REPT(" ",(D45-1)*2)&amp;tblIndicators!AE41</f>
        <v xml:space="preserve">    3.2.1) 28.¿Cuál es la diferencia de valor del material en los diferentes eslabones de la cadena del reciclaje?</v>
      </c>
      <c r="I45" s="663">
        <f>IF(uxb_works!$B$122=1,IF(Data!I44="","",Data!I44),Scores!O44)</f>
        <v>0.5</v>
      </c>
      <c r="J45" s="698">
        <f ca="1">IF(uxb_works!$B$122=1,IF(Data!J44="","",TEXT(Data!J44,"0.00")),Scores!P44)</f>
        <v>95.168711656441715</v>
      </c>
      <c r="K45" s="699">
        <f ca="1">IF(uxb_works!$B$122=1,IF(Data!K44="","",TEXT(Data!K44,"0.00")),Scores!Q44)</f>
        <v>94.597166228454569</v>
      </c>
      <c r="L45" s="698">
        <f ca="1">IF(uxb_works!$B$122=1,IF(Data!L44="","",TEXT(Data!L44,"0.00")),Scores!R44)</f>
        <v>85.853374233128847</v>
      </c>
      <c r="M45" s="699">
        <f ca="1">IF(uxb_works!$B$122=1,IF(Data!M44="","",TEXT(Data!M44,"0.00")),Scores!S44)</f>
        <v>95.168711656441715</v>
      </c>
      <c r="N45" s="698">
        <f ca="1">IF(uxb_works!$B$122=1,IF(Data!N44="","",TEXT(Data!N44,"0.00")),Scores!T44)</f>
        <v>93.482086676105084</v>
      </c>
      <c r="O45" s="699">
        <f ca="1">IF(uxb_works!$B$122=1,IF(Data!O44="","",TEXT(Data!O44,"0.00")),Scores!U44)</f>
        <v>96.220143757912169</v>
      </c>
      <c r="P45" s="698">
        <f ca="1">IF(uxb_works!$B$122=1,IF(Data!P44="","",TEXT(Data!P44,"0.00")),Scores!V44)</f>
        <v>80.115882753919564</v>
      </c>
      <c r="Q45" s="699">
        <f ca="1">IF(uxb_works!$B$122=1,IF(Data!Q44="","",TEXT(Data!Q44,"0.00")),Scores!W44)</f>
        <v>100</v>
      </c>
      <c r="R45" s="698">
        <f ca="1">IF(uxb_works!$B$122=1,IF(Data!R44="","",TEXT(Data!R44,"0.00")),Scores!X44)</f>
        <v>0</v>
      </c>
      <c r="S45" s="699">
        <f ca="1">IF(uxb_works!$B$122=1,IF(Data!S44="","",TEXT(Data!S44,"0.00")),Scores!Y44)</f>
        <v>33.249674660717609</v>
      </c>
      <c r="T45" s="698">
        <f ca="1">IF(uxb_works!$B$122=1,IF(Data!T44="","",TEXT(Data!T44,"0.00")),Scores!Z44)</f>
        <v>99.060765410458657</v>
      </c>
      <c r="U45" s="700">
        <f ca="1">IF(uxb_works!$B$122=1,IF(Data!U44="","",TEXT(Data!U44,"0.00")),Scores!AA44)</f>
        <v>80.50153374233129</v>
      </c>
      <c r="V45" s="701">
        <f ca="1">IF(uxb_works!$B$122=1,IF(Data!V44="","",TEXT(Data!V44,"0.00")),Scores!AB44)</f>
        <v>111.96319018404908</v>
      </c>
      <c r="W45" s="700">
        <f>IF(uxb_works!$B$122=1,IF(Data!W44="","",TEXT(Data!W44,"0.00")),Scores!AC44)</f>
        <v>0</v>
      </c>
      <c r="X45" s="701">
        <f>IF(uxb_works!$B$122=1,IF(Data!X44="","",TEXT(Data!X44,"0.00")),Scores!AD44)</f>
        <v>0</v>
      </c>
      <c r="Y45" s="700">
        <f>IF(uxb_works!$B$122=1,IF(Data!Y44="","",TEXT(Data!Y44,"0.00")),Scores!AE44)</f>
        <v>0</v>
      </c>
      <c r="Z45" s="701">
        <f>IF(uxb_works!$B$122=1,IF(Data!Z44="","",TEXT(Data!Z44,"0.00")),Scores!AF44)</f>
        <v>0</v>
      </c>
      <c r="AA45" s="700">
        <f>IF(uxb_works!$B$122=1,IF(Data!AA44="","",TEXT(Data!AA44,"0.00")),Scores!AG44)</f>
        <v>0</v>
      </c>
      <c r="AB45" s="701">
        <f>IF(uxb_works!$B$122=1,IF(Data!AB44="","",TEXT(Data!AB44,"0.00")),Scores!AH44)</f>
        <v>0</v>
      </c>
      <c r="AC45" s="700">
        <f>IF(uxb_works!$B$122=1,IF(Data!AC44="","",TEXT(Data!AC44,"0.00")),Scores!AI44)</f>
        <v>0</v>
      </c>
      <c r="AD45" s="701">
        <f>IF(uxb_works!$B$122=1,IF(Data!AD44="","",TEXT(Data!AD44,"0.00")),Scores!AJ44)</f>
        <v>0</v>
      </c>
      <c r="AE45" s="700">
        <f>IF(uxb_works!$B$122=1,IF(Data!AE44="","",TEXT(Data!AE44,"0.00")),Scores!AK44)</f>
        <v>0</v>
      </c>
      <c r="AF45" s="748"/>
      <c r="AG45" s="693"/>
      <c r="AH45" s="693"/>
      <c r="AI45" s="693"/>
      <c r="AJ45" s="693"/>
      <c r="AK45" s="693"/>
      <c r="AL45" s="693"/>
      <c r="AM45" s="693"/>
      <c r="AN45" s="693"/>
      <c r="AO45" s="693"/>
      <c r="AP45" s="693"/>
      <c r="AQ45" s="693"/>
      <c r="AR45" s="693"/>
    </row>
    <row r="46" spans="1:44" s="646" customFormat="1" ht="30" customHeight="1">
      <c r="A46" s="644"/>
      <c r="B46" s="645">
        <f>tblIndicators!A42</f>
        <v>41</v>
      </c>
      <c r="C46" s="645">
        <f>tblIndicators!B42</f>
        <v>0</v>
      </c>
      <c r="D46" s="645">
        <f>tblIndicators!F42</f>
        <v>3</v>
      </c>
      <c r="E46" s="645">
        <f>tblIndicators!C42</f>
        <v>29</v>
      </c>
      <c r="F46" s="645" t="str">
        <f>tblIndicators!H42</f>
        <v>29.¿Cuál es el nivel de desarrollo de la industria transformadora a nivel nacional?</v>
      </c>
      <c r="G46" s="645">
        <f>tblIndicators!Z42</f>
        <v>3</v>
      </c>
      <c r="H46" s="559" t="str">
        <f>REPT(" ",(D46-1)*2)&amp;tblIndicators!AE42</f>
        <v xml:space="preserve">    3.2.2) 29.¿Cuál es el nivel de desarrollo de la industria transformadora a nivel nacional?</v>
      </c>
      <c r="I46" s="663">
        <f>IF(uxb_works!$B$122=1,IF(Data!I45="","",Data!I45),Scores!O45)</f>
        <v>0.5</v>
      </c>
      <c r="J46" s="689">
        <f ca="1">IF(uxb_works!$B$122=1,IF(Data!J45="","",Data!J45),Scores!P45)</f>
        <v>100</v>
      </c>
      <c r="K46" s="690">
        <f ca="1">IF(uxb_works!$B$122=1,IF(Data!K45="","",Data!K45),Scores!Q45)</f>
        <v>100</v>
      </c>
      <c r="L46" s="689">
        <f ca="1">IF(uxb_works!$B$122=1,IF(Data!L45="","",Data!L45),Scores!R45)</f>
        <v>100</v>
      </c>
      <c r="M46" s="690">
        <f ca="1">IF(uxb_works!$B$122=1,IF(Data!M45="","",Data!M45),Scores!S45)</f>
        <v>33.333333333333329</v>
      </c>
      <c r="N46" s="689">
        <f ca="1">IF(uxb_works!$B$122=1,IF(Data!N45="","",Data!N45),Scores!T45)</f>
        <v>100</v>
      </c>
      <c r="O46" s="690">
        <f ca="1">IF(uxb_works!$B$122=1,IF(Data!O45="","",Data!O45),Scores!U45)</f>
        <v>100</v>
      </c>
      <c r="P46" s="689">
        <f ca="1">IF(uxb_works!$B$122=1,IF(Data!P45="","",Data!P45),Scores!V45)</f>
        <v>100</v>
      </c>
      <c r="Q46" s="690">
        <f ca="1">IF(uxb_works!$B$122=1,IF(Data!Q45="","",Data!Q45),Scores!W45)</f>
        <v>100</v>
      </c>
      <c r="R46" s="689">
        <f ca="1">IF(uxb_works!$B$122=1,IF(Data!R45="","",Data!R45),Scores!X45)</f>
        <v>66.666666666666657</v>
      </c>
      <c r="S46" s="690">
        <f ca="1">IF(uxb_works!$B$122=1,IF(Data!S45="","",Data!S45),Scores!Y45)</f>
        <v>100</v>
      </c>
      <c r="T46" s="689">
        <f ca="1">IF(uxb_works!$B$122=1,IF(Data!T45="","",Data!T45),Scores!Z45)</f>
        <v>66.666666666666657</v>
      </c>
      <c r="U46" s="691">
        <f ca="1">IF(uxb_works!$B$122=1,IF(Data!U45="","",Data!U45),Scores!AA45)</f>
        <v>100</v>
      </c>
      <c r="V46" s="692">
        <f ca="1">IF(uxb_works!$B$122=1,IF(Data!V45="","",Data!V45),Scores!AB45)</f>
        <v>0</v>
      </c>
      <c r="W46" s="691">
        <f>IF(uxb_works!$B$122=1,IF(Data!W45="","",Data!W45),Scores!AC45)</f>
        <v>0</v>
      </c>
      <c r="X46" s="692">
        <f>IF(uxb_works!$B$122=1,IF(Data!X45="","",Data!X45),Scores!AD45)</f>
        <v>0</v>
      </c>
      <c r="Y46" s="691">
        <f>IF(uxb_works!$B$122=1,IF(Data!Y45="","",Data!Y45),Scores!AE45)</f>
        <v>0</v>
      </c>
      <c r="Z46" s="692">
        <f>IF(uxb_works!$B$122=1,IF(Data!Z45="","",Data!Z45),Scores!AF45)</f>
        <v>0</v>
      </c>
      <c r="AA46" s="691">
        <f>IF(uxb_works!$B$122=1,IF(Data!AA45="","",Data!AA45),Scores!AG45)</f>
        <v>0</v>
      </c>
      <c r="AB46" s="692">
        <f>IF(uxb_works!$B$122=1,IF(Data!AB45="","",Data!AB45),Scores!AH45)</f>
        <v>0</v>
      </c>
      <c r="AC46" s="691">
        <f>IF(uxb_works!$B$122=1,IF(Data!AC45="","",Data!AC45),Scores!AI45)</f>
        <v>0</v>
      </c>
      <c r="AD46" s="692">
        <f>IF(uxb_works!$B$122=1,IF(Data!AD45="","",Data!AD45),Scores!AJ45)</f>
        <v>0</v>
      </c>
      <c r="AE46" s="691">
        <f>IF(uxb_works!$B$122=1,IF(Data!AE45="","",Data!AE45),Scores!AK45)</f>
        <v>0</v>
      </c>
      <c r="AF46" s="693"/>
      <c r="AG46" s="693"/>
      <c r="AH46" s="693"/>
      <c r="AI46" s="693"/>
      <c r="AJ46" s="693"/>
      <c r="AK46" s="693"/>
      <c r="AL46" s="693"/>
      <c r="AM46" s="693"/>
      <c r="AN46" s="693"/>
      <c r="AO46" s="693"/>
      <c r="AP46" s="693"/>
      <c r="AQ46" s="693"/>
      <c r="AR46" s="693"/>
    </row>
    <row r="47" spans="1:44" s="627" customFormat="1" ht="24.95" customHeight="1">
      <c r="A47" s="621"/>
      <c r="B47" s="622">
        <f>tblIndicators!A43</f>
        <v>42</v>
      </c>
      <c r="C47" s="622">
        <f>tblIndicators!B43</f>
        <v>0</v>
      </c>
      <c r="D47" s="622">
        <f>tblIndicators!F43</f>
        <v>2</v>
      </c>
      <c r="E47" s="622">
        <f>tblIndicators!C43</f>
        <v>0</v>
      </c>
      <c r="F47" s="622" t="str">
        <f>tblIndicators!H43</f>
        <v>Ingreso de los recicladores de base</v>
      </c>
      <c r="G47" s="622">
        <f>tblIndicators!Z43</f>
        <v>1</v>
      </c>
      <c r="H47" s="643" t="str">
        <f>REPT(" ",(D47-1)*2)&amp;tblIndicators!AE43</f>
        <v xml:space="preserve">  3.3) Ingreso de los recicladores de base</v>
      </c>
      <c r="I47" s="642">
        <f>IF(uxb_works!$B$122=1,IF(Data!I46="","",Data!I46),Scores!O46)</f>
        <v>0.25</v>
      </c>
      <c r="J47" s="684">
        <f ca="1">IF(uxb_works!$B$122=1,IF(Data!J46="","",Data!J46),Scores!P46)</f>
        <v>3.8781670473737684</v>
      </c>
      <c r="K47" s="685">
        <f ca="1">IF(uxb_works!$B$122=1,IF(Data!K46="","",Data!K46),Scores!Q46)</f>
        <v>50.266653685567903</v>
      </c>
      <c r="L47" s="684">
        <f ca="1">IF(uxb_works!$B$122=1,IF(Data!L46="","",Data!L46),Scores!R46)</f>
        <v>100</v>
      </c>
      <c r="M47" s="685">
        <f ca="1">IF(uxb_works!$B$122=1,IF(Data!M46="","",Data!M46),Scores!S46)</f>
        <v>23.776223776223777</v>
      </c>
      <c r="N47" s="684">
        <f ca="1">IF(uxb_works!$B$122=1,IF(Data!N46="","",Data!N46),Scores!T46)</f>
        <v>34.44055944055944</v>
      </c>
      <c r="O47" s="685">
        <f ca="1">IF(uxb_works!$B$122=1,IF(Data!O46="","",Data!O46),Scores!U46)</f>
        <v>18.793706293706293</v>
      </c>
      <c r="P47" s="684">
        <f ca="1">IF(uxb_works!$B$122=1,IF(Data!P46="","",Data!P46),Scores!V46)</f>
        <v>28.867713004484305</v>
      </c>
      <c r="Q47" s="685">
        <f ca="1">IF(uxb_works!$B$122=1,IF(Data!Q46="","",Data!Q46),Scores!W46)</f>
        <v>6.1188811188811192</v>
      </c>
      <c r="R47" s="684">
        <f ca="1">IF(uxb_works!$B$122=1,IF(Data!R46="","",Data!R46),Scores!X46)</f>
        <v>0</v>
      </c>
      <c r="S47" s="685">
        <f ca="1">IF(uxb_works!$B$122=1,IF(Data!S46="","",Data!S46),Scores!Y46)</f>
        <v>84.472345835982196</v>
      </c>
      <c r="T47" s="684">
        <f ca="1">IF(uxb_works!$B$122=1,IF(Data!T46="","",Data!T46),Scores!Z46)</f>
        <v>12.412587412587413</v>
      </c>
      <c r="U47" s="686">
        <f ca="1">IF(uxb_works!$B$122=1,IF(Data!U46="","",Data!U46),Scores!AA46)</f>
        <v>10.664335664335663</v>
      </c>
      <c r="V47" s="687">
        <f ca="1">IF(uxb_works!$B$122=1,IF(Data!V46="","",Data!V46),Scores!AB46)</f>
        <v>2.4475524475524479</v>
      </c>
      <c r="W47" s="686">
        <f>IF(uxb_works!$B$122=1,IF(Data!W46="","",Data!W46),Scores!AC46)</f>
        <v>0</v>
      </c>
      <c r="X47" s="687">
        <f>IF(uxb_works!$B$122=1,IF(Data!X46="","",Data!X46),Scores!AD46)</f>
        <v>0</v>
      </c>
      <c r="Y47" s="686">
        <f>IF(uxb_works!$B$122=1,IF(Data!Y46="","",Data!Y46),Scores!AE46)</f>
        <v>0</v>
      </c>
      <c r="Z47" s="687">
        <f>IF(uxb_works!$B$122=1,IF(Data!Z46="","",Data!Z46),Scores!AF46)</f>
        <v>0</v>
      </c>
      <c r="AA47" s="686">
        <f>IF(uxb_works!$B$122=1,IF(Data!AA46="","",Data!AA46),Scores!AG46)</f>
        <v>0</v>
      </c>
      <c r="AB47" s="687">
        <f>IF(uxb_works!$B$122=1,IF(Data!AB46="","",Data!AB46),Scores!AH46)</f>
        <v>0</v>
      </c>
      <c r="AC47" s="686">
        <f>IF(uxb_works!$B$122=1,IF(Data!AC46="","",Data!AC46),Scores!AI46)</f>
        <v>0</v>
      </c>
      <c r="AD47" s="687">
        <f>IF(uxb_works!$B$122=1,IF(Data!AD46="","",Data!AD46),Scores!AJ46)</f>
        <v>0</v>
      </c>
      <c r="AE47" s="686">
        <f>IF(uxb_works!$B$122=1,IF(Data!AE46="","",Data!AE46),Scores!AK46)</f>
        <v>0</v>
      </c>
      <c r="AF47" s="688"/>
      <c r="AG47" s="688"/>
      <c r="AH47" s="688"/>
      <c r="AI47" s="688"/>
      <c r="AJ47" s="688"/>
      <c r="AK47" s="688"/>
      <c r="AL47" s="688"/>
      <c r="AM47" s="688"/>
      <c r="AN47" s="688"/>
      <c r="AO47" s="688"/>
      <c r="AP47" s="688"/>
      <c r="AQ47" s="688"/>
      <c r="AR47" s="688"/>
    </row>
    <row r="48" spans="1:44" s="646" customFormat="1" ht="30" customHeight="1">
      <c r="A48" s="644"/>
      <c r="B48" s="645">
        <f>tblIndicators!A44</f>
        <v>43</v>
      </c>
      <c r="C48" s="645">
        <f>tblIndicators!B44</f>
        <v>0</v>
      </c>
      <c r="D48" s="645">
        <f>tblIndicators!F44</f>
        <v>3</v>
      </c>
      <c r="E48" s="645">
        <f>tblIndicators!C44</f>
        <v>30</v>
      </c>
      <c r="F48" s="645" t="str">
        <f>tblIndicators!H44</f>
        <v>30.¿Se permite la contratación con agrupaciones de recicladores de base en el sistema de gestión de residuos del municipio?</v>
      </c>
      <c r="G48" s="645">
        <f>tblIndicators!Z44</f>
        <v>3</v>
      </c>
      <c r="H48" s="559" t="str">
        <f>REPT(" ",(D48-1)*2)&amp;tblIndicators!AE44</f>
        <v xml:space="preserve">    3.3.1) 30.¿Se permite la contratación con agrupaciones de recicladores de base en el sistema de gestión de residuos del municipio?</v>
      </c>
      <c r="I48" s="663">
        <f>IF(uxb_works!$B$122=1,IF(Data!I47="","",Data!I47),Scores!O47)</f>
        <v>0.25</v>
      </c>
      <c r="J48" s="689">
        <f ca="1">IF(uxb_works!$B$122=1,IF(Data!J47="","",Data!J47),Scores!P47)</f>
        <v>0</v>
      </c>
      <c r="K48" s="690">
        <f ca="1">IF(uxb_works!$B$122=1,IF(Data!K47="","",Data!K47),Scores!Q47)</f>
        <v>50</v>
      </c>
      <c r="L48" s="689">
        <f ca="1">IF(uxb_works!$B$122=1,IF(Data!L47="","",Data!L47),Scores!R47)</f>
        <v>100</v>
      </c>
      <c r="M48" s="690">
        <f ca="1">IF(uxb_works!$B$122=1,IF(Data!M47="","",Data!M47),Scores!S47)</f>
        <v>0</v>
      </c>
      <c r="N48" s="689">
        <f ca="1">IF(uxb_works!$B$122=1,IF(Data!N47="","",Data!N47),Scores!T47)</f>
        <v>100</v>
      </c>
      <c r="O48" s="690">
        <f ca="1">IF(uxb_works!$B$122=1,IF(Data!O47="","",Data!O47),Scores!U47)</f>
        <v>50</v>
      </c>
      <c r="P48" s="689">
        <f ca="1">IF(uxb_works!$B$122=1,IF(Data!P47="","",Data!P47),Scores!V47)</f>
        <v>50</v>
      </c>
      <c r="Q48" s="690">
        <f ca="1">IF(uxb_works!$B$122=1,IF(Data!Q47="","",Data!Q47),Scores!W47)</f>
        <v>0</v>
      </c>
      <c r="R48" s="689">
        <f ca="1">IF(uxb_works!$B$122=1,IF(Data!R47="","",Data!R47),Scores!X47)</f>
        <v>0</v>
      </c>
      <c r="S48" s="690">
        <f ca="1">IF(uxb_works!$B$122=1,IF(Data!S47="","",Data!S47),Scores!Y47)</f>
        <v>100</v>
      </c>
      <c r="T48" s="689">
        <f ca="1">IF(uxb_works!$B$122=1,IF(Data!T47="","",Data!T47),Scores!Z47)</f>
        <v>0</v>
      </c>
      <c r="U48" s="691">
        <f ca="1">IF(uxb_works!$B$122=1,IF(Data!U47="","",Data!U47),Scores!AA47)</f>
        <v>0</v>
      </c>
      <c r="V48" s="692">
        <f ca="1">IF(uxb_works!$B$122=1,IF(Data!V47="","",Data!V47),Scores!AB47)</f>
        <v>0</v>
      </c>
      <c r="W48" s="691">
        <f>IF(uxb_works!$B$122=1,IF(Data!W47="","",Data!W47),Scores!AC47)</f>
        <v>0</v>
      </c>
      <c r="X48" s="692">
        <f>IF(uxb_works!$B$122=1,IF(Data!X47="","",Data!X47),Scores!AD47)</f>
        <v>0</v>
      </c>
      <c r="Y48" s="691">
        <f>IF(uxb_works!$B$122=1,IF(Data!Y47="","",Data!Y47),Scores!AE47)</f>
        <v>0</v>
      </c>
      <c r="Z48" s="692">
        <f>IF(uxb_works!$B$122=1,IF(Data!Z47="","",Data!Z47),Scores!AF47)</f>
        <v>0</v>
      </c>
      <c r="AA48" s="691">
        <f>IF(uxb_works!$B$122=1,IF(Data!AA47="","",Data!AA47),Scores!AG47)</f>
        <v>0</v>
      </c>
      <c r="AB48" s="692">
        <f>IF(uxb_works!$B$122=1,IF(Data!AB47="","",Data!AB47),Scores!AH47)</f>
        <v>0</v>
      </c>
      <c r="AC48" s="691">
        <f>IF(uxb_works!$B$122=1,IF(Data!AC47="","",Data!AC47),Scores!AI47)</f>
        <v>0</v>
      </c>
      <c r="AD48" s="692">
        <f>IF(uxb_works!$B$122=1,IF(Data!AD47="","",Data!AD47),Scores!AJ47)</f>
        <v>0</v>
      </c>
      <c r="AE48" s="691">
        <f>IF(uxb_works!$B$122=1,IF(Data!AE47="","",Data!AE47),Scores!AK47)</f>
        <v>0</v>
      </c>
      <c r="AF48" s="693"/>
      <c r="AG48" s="693"/>
      <c r="AH48" s="693"/>
      <c r="AI48" s="693"/>
      <c r="AJ48" s="693"/>
      <c r="AK48" s="693"/>
      <c r="AL48" s="693"/>
      <c r="AM48" s="693"/>
      <c r="AN48" s="693"/>
      <c r="AO48" s="693"/>
      <c r="AP48" s="693"/>
      <c r="AQ48" s="693"/>
      <c r="AR48" s="693"/>
    </row>
    <row r="49" spans="1:44" s="646" customFormat="1" ht="30" customHeight="1">
      <c r="A49" s="644"/>
      <c r="B49" s="645">
        <f>tblIndicators!A45</f>
        <v>44</v>
      </c>
      <c r="C49" s="645">
        <f>tblIndicators!B45</f>
        <v>0</v>
      </c>
      <c r="D49" s="645">
        <f>tblIndicators!F45</f>
        <v>3</v>
      </c>
      <c r="E49" s="645">
        <f>tblIndicators!C45</f>
        <v>31</v>
      </c>
      <c r="F49" s="645" t="str">
        <f>tblIndicators!H45</f>
        <v>31.¿Existen mecanismos de pago periódico fijo para los recicladores de base por servicios prestados?</v>
      </c>
      <c r="G49" s="645">
        <f>tblIndicators!Z45</f>
        <v>3</v>
      </c>
      <c r="H49" s="559" t="str">
        <f>REPT(" ",(D49-1)*2)&amp;tblIndicators!AE45</f>
        <v xml:space="preserve">    3.3.2) 31.¿Existen mecanismos de pago periódico fijo para los recicladores de base por servicios prestados?</v>
      </c>
      <c r="I49" s="663">
        <f>IF(uxb_works!$B$122=1,IF(Data!I48="","",Data!I48),Scores!O48)</f>
        <v>0.25</v>
      </c>
      <c r="J49" s="689">
        <f ca="1">IF(uxb_works!$B$122=1,IF(Data!J48="","",Data!J48),Scores!P48)</f>
        <v>0</v>
      </c>
      <c r="K49" s="690">
        <f ca="1">IF(uxb_works!$B$122=1,IF(Data!K48="","",Data!K48),Scores!Q48)</f>
        <v>100</v>
      </c>
      <c r="L49" s="689">
        <f ca="1">IF(uxb_works!$B$122=1,IF(Data!L48="","",Data!L48),Scores!R48)</f>
        <v>100</v>
      </c>
      <c r="M49" s="690">
        <f ca="1">IF(uxb_works!$B$122=1,IF(Data!M48="","",Data!M48),Scores!S48)</f>
        <v>0</v>
      </c>
      <c r="N49" s="689">
        <f ca="1">IF(uxb_works!$B$122=1,IF(Data!N48="","",Data!N48),Scores!T48)</f>
        <v>0</v>
      </c>
      <c r="O49" s="690">
        <f ca="1">IF(uxb_works!$B$122=1,IF(Data!O48="","",Data!O48),Scores!U48)</f>
        <v>0</v>
      </c>
      <c r="P49" s="689">
        <f ca="1">IF(uxb_works!$B$122=1,IF(Data!P48="","",Data!P48),Scores!V48)</f>
        <v>0</v>
      </c>
      <c r="Q49" s="690">
        <f ca="1">IF(uxb_works!$B$122=1,IF(Data!Q48="","",Data!Q48),Scores!W48)</f>
        <v>0</v>
      </c>
      <c r="R49" s="689">
        <f ca="1">IF(uxb_works!$B$122=1,IF(Data!R48="","",Data!R48),Scores!X48)</f>
        <v>0</v>
      </c>
      <c r="S49" s="690">
        <f ca="1">IF(uxb_works!$B$122=1,IF(Data!S48="","",Data!S48),Scores!Y48)</f>
        <v>100</v>
      </c>
      <c r="T49" s="689">
        <f ca="1">IF(uxb_works!$B$122=1,IF(Data!T48="","",Data!T48),Scores!Z48)</f>
        <v>0</v>
      </c>
      <c r="U49" s="691">
        <f ca="1">IF(uxb_works!$B$122=1,IF(Data!U48="","",Data!U48),Scores!AA48)</f>
        <v>0</v>
      </c>
      <c r="V49" s="692">
        <f ca="1">IF(uxb_works!$B$122=1,IF(Data!V48="","",Data!V48),Scores!AB48)</f>
        <v>0</v>
      </c>
      <c r="W49" s="691">
        <f>IF(uxb_works!$B$122=1,IF(Data!W48="","",Data!W48),Scores!AC48)</f>
        <v>0</v>
      </c>
      <c r="X49" s="692">
        <f>IF(uxb_works!$B$122=1,IF(Data!X48="","",Data!X48),Scores!AD48)</f>
        <v>0</v>
      </c>
      <c r="Y49" s="691">
        <f>IF(uxb_works!$B$122=1,IF(Data!Y48="","",Data!Y48),Scores!AE48)</f>
        <v>0</v>
      </c>
      <c r="Z49" s="692">
        <f>IF(uxb_works!$B$122=1,IF(Data!Z48="","",Data!Z48),Scores!AF48)</f>
        <v>0</v>
      </c>
      <c r="AA49" s="691">
        <f>IF(uxb_works!$B$122=1,IF(Data!AA48="","",Data!AA48),Scores!AG48)</f>
        <v>0</v>
      </c>
      <c r="AB49" s="692">
        <f>IF(uxb_works!$B$122=1,IF(Data!AB48="","",Data!AB48),Scores!AH48)</f>
        <v>0</v>
      </c>
      <c r="AC49" s="691">
        <f>IF(uxb_works!$B$122=1,IF(Data!AC48="","",Data!AC48),Scores!AI48)</f>
        <v>0</v>
      </c>
      <c r="AD49" s="692">
        <f>IF(uxb_works!$B$122=1,IF(Data!AD48="","",Data!AD48),Scores!AJ48)</f>
        <v>0</v>
      </c>
      <c r="AE49" s="691">
        <f>IF(uxb_works!$B$122=1,IF(Data!AE48="","",Data!AE48),Scores!AK48)</f>
        <v>0</v>
      </c>
      <c r="AF49" s="693"/>
      <c r="AG49" s="693"/>
      <c r="AH49" s="693"/>
      <c r="AI49" s="693"/>
      <c r="AJ49" s="693"/>
      <c r="AK49" s="693"/>
      <c r="AL49" s="693"/>
      <c r="AM49" s="693"/>
      <c r="AN49" s="693"/>
      <c r="AO49" s="693"/>
      <c r="AP49" s="693"/>
      <c r="AQ49" s="693"/>
      <c r="AR49" s="693"/>
    </row>
    <row r="50" spans="1:44" s="646" customFormat="1" ht="30" customHeight="1">
      <c r="A50" s="644"/>
      <c r="B50" s="645">
        <f>tblIndicators!A46</f>
        <v>45</v>
      </c>
      <c r="C50" s="645">
        <f>tblIndicators!B46</f>
        <v>0</v>
      </c>
      <c r="D50" s="645">
        <f>tblIndicators!F46</f>
        <v>3</v>
      </c>
      <c r="E50" s="645">
        <f>tblIndicators!C46</f>
        <v>32</v>
      </c>
      <c r="F50" s="645" t="str">
        <f>tblIndicators!H46</f>
        <v>32.¿Existen programas de diversificación de los servicios prestados por recicladores?</v>
      </c>
      <c r="G50" s="645">
        <f>tblIndicators!Z46</f>
        <v>3</v>
      </c>
      <c r="H50" s="559" t="str">
        <f>REPT(" ",(D50-1)*2)&amp;tblIndicators!AE46</f>
        <v xml:space="preserve">    3.3.3) 32.¿Existen programas de diversificación de los servicios prestados por recicladores?</v>
      </c>
      <c r="I50" s="663">
        <f>IF(uxb_works!$B$122=1,IF(Data!I49="","",Data!I49),Scores!O49)</f>
        <v>0.25</v>
      </c>
      <c r="J50" s="689">
        <f ca="1">IF(uxb_works!$B$122=1,IF(Data!J49="","",Data!J49),Scores!P49)</f>
        <v>0</v>
      </c>
      <c r="K50" s="690">
        <f ca="1">IF(uxb_works!$B$122=1,IF(Data!K49="","",Data!K49),Scores!Q49)</f>
        <v>0</v>
      </c>
      <c r="L50" s="689">
        <f ca="1">IF(uxb_works!$B$122=1,IF(Data!L49="","",Data!L49),Scores!R49)</f>
        <v>100</v>
      </c>
      <c r="M50" s="690">
        <f ca="1">IF(uxb_works!$B$122=1,IF(Data!M49="","",Data!M49),Scores!S49)</f>
        <v>0</v>
      </c>
      <c r="N50" s="689">
        <f ca="1">IF(uxb_works!$B$122=1,IF(Data!N49="","",Data!N49),Scores!T49)</f>
        <v>0</v>
      </c>
      <c r="O50" s="690">
        <f ca="1">IF(uxb_works!$B$122=1,IF(Data!O49="","",Data!O49),Scores!U49)</f>
        <v>0</v>
      </c>
      <c r="P50" s="689">
        <f ca="1">IF(uxb_works!$B$122=1,IF(Data!P49="","",Data!P49),Scores!V49)</f>
        <v>0</v>
      </c>
      <c r="Q50" s="690">
        <f ca="1">IF(uxb_works!$B$122=1,IF(Data!Q49="","",Data!Q49),Scores!W49)</f>
        <v>0</v>
      </c>
      <c r="R50" s="689">
        <f ca="1">IF(uxb_works!$B$122=1,IF(Data!R49="","",Data!R49),Scores!X49)</f>
        <v>0</v>
      </c>
      <c r="S50" s="690">
        <f ca="1">IF(uxb_works!$B$122=1,IF(Data!S49="","",Data!S49),Scores!Y49)</f>
        <v>100</v>
      </c>
      <c r="T50" s="689">
        <f ca="1">IF(uxb_works!$B$122=1,IF(Data!T49="","",Data!T49),Scores!Z49)</f>
        <v>0</v>
      </c>
      <c r="U50" s="691">
        <f ca="1">IF(uxb_works!$B$122=1,IF(Data!U49="","",Data!U49),Scores!AA49)</f>
        <v>0</v>
      </c>
      <c r="V50" s="692">
        <f ca="1">IF(uxb_works!$B$122=1,IF(Data!V49="","",Data!V49),Scores!AB49)</f>
        <v>0</v>
      </c>
      <c r="W50" s="691">
        <f>IF(uxb_works!$B$122=1,IF(Data!W49="","",Data!W49),Scores!AC49)</f>
        <v>0</v>
      </c>
      <c r="X50" s="692">
        <f>IF(uxb_works!$B$122=1,IF(Data!X49="","",Data!X49),Scores!AD49)</f>
        <v>0</v>
      </c>
      <c r="Y50" s="691">
        <f>IF(uxb_works!$B$122=1,IF(Data!Y49="","",Data!Y49),Scores!AE49)</f>
        <v>0</v>
      </c>
      <c r="Z50" s="692">
        <f>IF(uxb_works!$B$122=1,IF(Data!Z49="","",Data!Z49),Scores!AF49)</f>
        <v>0</v>
      </c>
      <c r="AA50" s="691">
        <f>IF(uxb_works!$B$122=1,IF(Data!AA49="","",Data!AA49),Scores!AG49)</f>
        <v>0</v>
      </c>
      <c r="AB50" s="692">
        <f>IF(uxb_works!$B$122=1,IF(Data!AB49="","",Data!AB49),Scores!AH49)</f>
        <v>0</v>
      </c>
      <c r="AC50" s="691">
        <f>IF(uxb_works!$B$122=1,IF(Data!AC49="","",Data!AC49),Scores!AI49)</f>
        <v>0</v>
      </c>
      <c r="AD50" s="692">
        <f>IF(uxb_works!$B$122=1,IF(Data!AD49="","",Data!AD49),Scores!AJ49)</f>
        <v>0</v>
      </c>
      <c r="AE50" s="691">
        <f>IF(uxb_works!$B$122=1,IF(Data!AE49="","",Data!AE49),Scores!AK49)</f>
        <v>0</v>
      </c>
      <c r="AF50" s="693"/>
      <c r="AG50" s="693"/>
      <c r="AH50" s="693"/>
      <c r="AI50" s="693"/>
      <c r="AJ50" s="693"/>
      <c r="AK50" s="693"/>
      <c r="AL50" s="693"/>
      <c r="AM50" s="693"/>
      <c r="AN50" s="693"/>
      <c r="AO50" s="693"/>
      <c r="AP50" s="693"/>
      <c r="AQ50" s="693"/>
      <c r="AR50" s="693"/>
    </row>
    <row r="51" spans="1:44" s="646" customFormat="1" ht="30" customHeight="1">
      <c r="A51" s="644"/>
      <c r="B51" s="645">
        <f>tblIndicators!A47</f>
        <v>46</v>
      </c>
      <c r="C51" s="645">
        <f>tblIndicators!B47</f>
        <v>0</v>
      </c>
      <c r="D51" s="645">
        <f>tblIndicators!F47</f>
        <v>3</v>
      </c>
      <c r="E51" s="645">
        <f>tblIndicators!C47</f>
        <v>33</v>
      </c>
      <c r="F51" s="645" t="str">
        <f>tblIndicators!H47</f>
        <v>33. Ingreso promedio de los recicladores con respecto al salario mínimo nacional</v>
      </c>
      <c r="G51" s="645">
        <f>tblIndicators!Z47</f>
        <v>2</v>
      </c>
      <c r="H51" s="559" t="str">
        <f>REPT(" ",(D51-1)*2)&amp;tblIndicators!AE47</f>
        <v xml:space="preserve">    3.3.4) 33. Ingreso promedio de los recicladores con respecto al salario mínimo nacional</v>
      </c>
      <c r="I51" s="663">
        <f>IF(uxb_works!$B$122=1,IF(Data!I50="","",Data!I50),Scores!O50)</f>
        <v>0.25</v>
      </c>
      <c r="J51" s="689">
        <f ca="1">IF(uxb_works!$B$122=1,IF(Data!J50="","",Data!J50),Scores!P50)</f>
        <v>15.512668189495074</v>
      </c>
      <c r="K51" s="690">
        <f ca="1">IF(uxb_works!$B$122=1,IF(Data!K50="","",Data!K50),Scores!Q50)</f>
        <v>51.066614742271597</v>
      </c>
      <c r="L51" s="689">
        <f ca="1">IF(uxb_works!$B$122=1,IF(Data!L50="","",Data!L50),Scores!R50)</f>
        <v>100</v>
      </c>
      <c r="M51" s="690">
        <f ca="1">IF(uxb_works!$B$122=1,IF(Data!M50="","",Data!M50),Scores!S50)</f>
        <v>95.104895104895107</v>
      </c>
      <c r="N51" s="689">
        <f ca="1">IF(uxb_works!$B$122=1,IF(Data!N50="","",Data!N50),Scores!T50)</f>
        <v>37.76223776223776</v>
      </c>
      <c r="O51" s="690">
        <f ca="1">IF(uxb_works!$B$122=1,IF(Data!O50="","",Data!O50),Scores!U50)</f>
        <v>25.174825174825177</v>
      </c>
      <c r="P51" s="689">
        <f ca="1">IF(uxb_works!$B$122=1,IF(Data!P50="","",Data!P50),Scores!V50)</f>
        <v>65.470852017937219</v>
      </c>
      <c r="Q51" s="690">
        <f ca="1">IF(uxb_works!$B$122=1,IF(Data!Q50="","",Data!Q50),Scores!W50)</f>
        <v>24.475524475524477</v>
      </c>
      <c r="R51" s="689">
        <f ca="1">IF(uxb_works!$B$122=1,IF(Data!R50="","",Data!R50),Scores!X50)</f>
        <v>0</v>
      </c>
      <c r="S51" s="690">
        <f ca="1">IF(uxb_works!$B$122=1,IF(Data!S50="","",Data!S50),Scores!Y50)</f>
        <v>37.889383343928792</v>
      </c>
      <c r="T51" s="689">
        <f ca="1">IF(uxb_works!$B$122=1,IF(Data!T50="","",Data!T50),Scores!Z50)</f>
        <v>49.650349650349654</v>
      </c>
      <c r="U51" s="691">
        <f ca="1">IF(uxb_works!$B$122=1,IF(Data!U50="","",Data!U50),Scores!AA50)</f>
        <v>42.657342657342653</v>
      </c>
      <c r="V51" s="692">
        <f ca="1">IF(uxb_works!$B$122=1,IF(Data!V50="","",Data!V50),Scores!AB50)</f>
        <v>9.7902097902097918</v>
      </c>
      <c r="W51" s="691">
        <f>IF(uxb_works!$B$122=1,IF(Data!W50="","",Data!W50),Scores!AC50)</f>
        <v>0</v>
      </c>
      <c r="X51" s="692">
        <f>IF(uxb_works!$B$122=1,IF(Data!X50="","",Data!X50),Scores!AD50)</f>
        <v>0</v>
      </c>
      <c r="Y51" s="691">
        <f>IF(uxb_works!$B$122=1,IF(Data!Y50="","",Data!Y50),Scores!AE50)</f>
        <v>0</v>
      </c>
      <c r="Z51" s="692">
        <f>IF(uxb_works!$B$122=1,IF(Data!Z50="","",Data!Z50),Scores!AF50)</f>
        <v>0</v>
      </c>
      <c r="AA51" s="691">
        <f>IF(uxb_works!$B$122=1,IF(Data!AA50="","",Data!AA50),Scores!AG50)</f>
        <v>0</v>
      </c>
      <c r="AB51" s="692">
        <f>IF(uxb_works!$B$122=1,IF(Data!AB50="","",Data!AB50),Scores!AH50)</f>
        <v>0</v>
      </c>
      <c r="AC51" s="691">
        <f>IF(uxb_works!$B$122=1,IF(Data!AC50="","",Data!AC50),Scores!AI50)</f>
        <v>0</v>
      </c>
      <c r="AD51" s="692">
        <f>IF(uxb_works!$B$122=1,IF(Data!AD50="","",Data!AD50),Scores!AJ50)</f>
        <v>0</v>
      </c>
      <c r="AE51" s="691">
        <f>IF(uxb_works!$B$122=1,IF(Data!AE50="","",Data!AE50),Scores!AK50)</f>
        <v>0</v>
      </c>
      <c r="AF51" s="693"/>
      <c r="AG51" s="693"/>
      <c r="AH51" s="693"/>
      <c r="AI51" s="693"/>
      <c r="AJ51" s="693"/>
      <c r="AK51" s="693"/>
      <c r="AL51" s="693"/>
      <c r="AM51" s="693"/>
      <c r="AN51" s="693"/>
      <c r="AO51" s="693"/>
      <c r="AP51" s="693"/>
      <c r="AQ51" s="693"/>
      <c r="AR51" s="693"/>
    </row>
    <row r="52" spans="1:44" s="627" customFormat="1" ht="24.95" customHeight="1">
      <c r="A52" s="621"/>
      <c r="B52" s="622">
        <f>tblIndicators!A48</f>
        <v>47</v>
      </c>
      <c r="C52" s="622">
        <f>tblIndicators!B48</f>
        <v>0</v>
      </c>
      <c r="D52" s="622">
        <f>tblIndicators!F48</f>
        <v>2</v>
      </c>
      <c r="E52" s="622">
        <f>tblIndicators!C48</f>
        <v>0</v>
      </c>
      <c r="F52" s="622" t="str">
        <f>tblIndicators!H48</f>
        <v>Condiciones de trabajo de los recicladores de base</v>
      </c>
      <c r="G52" s="622">
        <f>tblIndicators!Z48</f>
        <v>1</v>
      </c>
      <c r="H52" s="643" t="str">
        <f>REPT(" ",(D52-1)*2)&amp;tblIndicators!AE48</f>
        <v xml:space="preserve">  3.4) Condiciones de trabajo de los recicladores de base</v>
      </c>
      <c r="I52" s="642">
        <f>IF(uxb_works!$B$122=1,IF(Data!I51="","",Data!I51),Scores!O51)</f>
        <v>0.25</v>
      </c>
      <c r="J52" s="684">
        <f ca="1">IF(uxb_works!$B$122=1,IF(Data!J51="","",Data!J51),Scores!P51)</f>
        <v>0</v>
      </c>
      <c r="K52" s="685">
        <f ca="1">IF(uxb_works!$B$122=1,IF(Data!K51="","",Data!K51),Scores!Q51)</f>
        <v>50</v>
      </c>
      <c r="L52" s="684">
        <f ca="1">IF(uxb_works!$B$122=1,IF(Data!L51="","",Data!L51),Scores!R51)</f>
        <v>75</v>
      </c>
      <c r="M52" s="685">
        <f ca="1">IF(uxb_works!$B$122=1,IF(Data!M51="","",Data!M51),Scores!S51)</f>
        <v>37.5</v>
      </c>
      <c r="N52" s="684">
        <f ca="1">IF(uxb_works!$B$122=1,IF(Data!N51="","",Data!N51),Scores!T51)</f>
        <v>37.5</v>
      </c>
      <c r="O52" s="685">
        <f ca="1">IF(uxb_works!$B$122=1,IF(Data!O51="","",Data!O51),Scores!U51)</f>
        <v>50</v>
      </c>
      <c r="P52" s="684">
        <f ca="1">IF(uxb_works!$B$122=1,IF(Data!P51="","",Data!P51),Scores!V51)</f>
        <v>0</v>
      </c>
      <c r="Q52" s="685">
        <f ca="1">IF(uxb_works!$B$122=1,IF(Data!Q51="","",Data!Q51),Scores!W51)</f>
        <v>25</v>
      </c>
      <c r="R52" s="684">
        <f ca="1">IF(uxb_works!$B$122=1,IF(Data!R51="","",Data!R51),Scores!X51)</f>
        <v>50</v>
      </c>
      <c r="S52" s="685">
        <f ca="1">IF(uxb_works!$B$122=1,IF(Data!S51="","",Data!S51),Scores!Y51)</f>
        <v>50</v>
      </c>
      <c r="T52" s="684">
        <f ca="1">IF(uxb_works!$B$122=1,IF(Data!T51="","",Data!T51),Scores!Z51)</f>
        <v>50</v>
      </c>
      <c r="U52" s="686">
        <f ca="1">IF(uxb_works!$B$122=1,IF(Data!U51="","",Data!U51),Scores!AA51)</f>
        <v>62.5</v>
      </c>
      <c r="V52" s="687">
        <f ca="1">IF(uxb_works!$B$122=1,IF(Data!V51="","",Data!V51),Scores!AB51)</f>
        <v>0</v>
      </c>
      <c r="W52" s="686">
        <f>IF(uxb_works!$B$122=1,IF(Data!W51="","",Data!W51),Scores!AC51)</f>
        <v>0</v>
      </c>
      <c r="X52" s="687">
        <f>IF(uxb_works!$B$122=1,IF(Data!X51="","",Data!X51),Scores!AD51)</f>
        <v>0</v>
      </c>
      <c r="Y52" s="686">
        <f>IF(uxb_works!$B$122=1,IF(Data!Y51="","",Data!Y51),Scores!AE51)</f>
        <v>0</v>
      </c>
      <c r="Z52" s="687">
        <f>IF(uxb_works!$B$122=1,IF(Data!Z51="","",Data!Z51),Scores!AF51)</f>
        <v>0</v>
      </c>
      <c r="AA52" s="686">
        <f>IF(uxb_works!$B$122=1,IF(Data!AA51="","",Data!AA51),Scores!AG51)</f>
        <v>0</v>
      </c>
      <c r="AB52" s="687">
        <f>IF(uxb_works!$B$122=1,IF(Data!AB51="","",Data!AB51),Scores!AH51)</f>
        <v>0</v>
      </c>
      <c r="AC52" s="686">
        <f>IF(uxb_works!$B$122=1,IF(Data!AC51="","",Data!AC51),Scores!AI51)</f>
        <v>0</v>
      </c>
      <c r="AD52" s="687">
        <f>IF(uxb_works!$B$122=1,IF(Data!AD51="","",Data!AD51),Scores!AJ51)</f>
        <v>0</v>
      </c>
      <c r="AE52" s="686">
        <f>IF(uxb_works!$B$122=1,IF(Data!AE51="","",Data!AE51),Scores!AK51)</f>
        <v>0</v>
      </c>
      <c r="AF52" s="688"/>
      <c r="AG52" s="688"/>
      <c r="AH52" s="688"/>
      <c r="AI52" s="688"/>
      <c r="AJ52" s="688"/>
      <c r="AK52" s="688"/>
      <c r="AL52" s="688"/>
      <c r="AM52" s="688"/>
      <c r="AN52" s="688"/>
      <c r="AO52" s="688"/>
      <c r="AP52" s="688"/>
      <c r="AQ52" s="688"/>
      <c r="AR52" s="688"/>
    </row>
    <row r="53" spans="1:44" s="646" customFormat="1" ht="30" customHeight="1">
      <c r="A53" s="644"/>
      <c r="B53" s="645">
        <f>tblIndicators!A49</f>
        <v>48</v>
      </c>
      <c r="C53" s="645">
        <f>tblIndicators!B49</f>
        <v>0</v>
      </c>
      <c r="D53" s="645">
        <f>tblIndicators!F49</f>
        <v>3</v>
      </c>
      <c r="E53" s="645">
        <f>tblIndicators!C49</f>
        <v>34</v>
      </c>
      <c r="F53" s="645" t="str">
        <f>tblIndicators!H49</f>
        <v>34.¿Existe trabajo infantil en la cadena de manejo de residuos?</v>
      </c>
      <c r="G53" s="645">
        <f>tblIndicators!Z49</f>
        <v>3</v>
      </c>
      <c r="H53" s="559" t="str">
        <f>REPT(" ",(D53-1)*2)&amp;tblIndicators!AE49</f>
        <v xml:space="preserve">    3.4.1) 34.¿Existe trabajo infantil en la cadena de manejo de residuos?</v>
      </c>
      <c r="I53" s="663">
        <f>IF(uxb_works!$B$122=1,IF(Data!I52="","",Data!I52),Scores!O52)</f>
        <v>0.25</v>
      </c>
      <c r="J53" s="689">
        <f ca="1">IF(uxb_works!$B$122=1,IF(Data!J52="","",Data!J52),Scores!P52)</f>
        <v>0</v>
      </c>
      <c r="K53" s="690">
        <f ca="1">IF(uxb_works!$B$122=1,IF(Data!K52="","",Data!K52),Scores!Q52)</f>
        <v>50</v>
      </c>
      <c r="L53" s="689">
        <f ca="1">IF(uxb_works!$B$122=1,IF(Data!L52="","",Data!L52),Scores!R52)</f>
        <v>50</v>
      </c>
      <c r="M53" s="690">
        <f ca="1">IF(uxb_works!$B$122=1,IF(Data!M52="","",Data!M52),Scores!S52)</f>
        <v>0</v>
      </c>
      <c r="N53" s="689">
        <f ca="1">IF(uxb_works!$B$122=1,IF(Data!N52="","",Data!N52),Scores!T52)</f>
        <v>50</v>
      </c>
      <c r="O53" s="690">
        <f ca="1">IF(uxb_works!$B$122=1,IF(Data!O52="","",Data!O52),Scores!U52)</f>
        <v>50</v>
      </c>
      <c r="P53" s="689">
        <f ca="1">IF(uxb_works!$B$122=1,IF(Data!P52="","",Data!P52),Scores!V52)</f>
        <v>0</v>
      </c>
      <c r="Q53" s="690">
        <f ca="1">IF(uxb_works!$B$122=1,IF(Data!Q52="","",Data!Q52),Scores!W52)</f>
        <v>0</v>
      </c>
      <c r="R53" s="689">
        <f ca="1">IF(uxb_works!$B$122=1,IF(Data!R52="","",Data!R52),Scores!X52)</f>
        <v>100</v>
      </c>
      <c r="S53" s="690">
        <f ca="1">IF(uxb_works!$B$122=1,IF(Data!S52="","",Data!S52),Scores!Y52)</f>
        <v>50</v>
      </c>
      <c r="T53" s="689">
        <f ca="1">IF(uxb_works!$B$122=1,IF(Data!T52="","",Data!T52),Scores!Z52)</f>
        <v>0</v>
      </c>
      <c r="U53" s="691">
        <f ca="1">IF(uxb_works!$B$122=1,IF(Data!U52="","",Data!U52),Scores!AA52)</f>
        <v>100</v>
      </c>
      <c r="V53" s="692">
        <f ca="1">IF(uxb_works!$B$122=1,IF(Data!V52="","",Data!V52),Scores!AB52)</f>
        <v>0</v>
      </c>
      <c r="W53" s="691">
        <f>IF(uxb_works!$B$122=1,IF(Data!W52="","",Data!W52),Scores!AC52)</f>
        <v>0</v>
      </c>
      <c r="X53" s="692">
        <f>IF(uxb_works!$B$122=1,IF(Data!X52="","",Data!X52),Scores!AD52)</f>
        <v>0</v>
      </c>
      <c r="Y53" s="691">
        <f>IF(uxb_works!$B$122=1,IF(Data!Y52="","",Data!Y52),Scores!AE52)</f>
        <v>0</v>
      </c>
      <c r="Z53" s="692">
        <f>IF(uxb_works!$B$122=1,IF(Data!Z52="","",Data!Z52),Scores!AF52)</f>
        <v>0</v>
      </c>
      <c r="AA53" s="691">
        <f>IF(uxb_works!$B$122=1,IF(Data!AA52="","",Data!AA52),Scores!AG52)</f>
        <v>0</v>
      </c>
      <c r="AB53" s="692">
        <f>IF(uxb_works!$B$122=1,IF(Data!AB52="","",Data!AB52),Scores!AH52)</f>
        <v>0</v>
      </c>
      <c r="AC53" s="691">
        <f>IF(uxb_works!$B$122=1,IF(Data!AC52="","",Data!AC52),Scores!AI52)</f>
        <v>0</v>
      </c>
      <c r="AD53" s="692">
        <f>IF(uxb_works!$B$122=1,IF(Data!AD52="","",Data!AD52),Scores!AJ52)</f>
        <v>0</v>
      </c>
      <c r="AE53" s="691">
        <f>IF(uxb_works!$B$122=1,IF(Data!AE52="","",Data!AE52),Scores!AK52)</f>
        <v>0</v>
      </c>
      <c r="AF53" s="693"/>
      <c r="AG53" s="693"/>
      <c r="AH53" s="693"/>
      <c r="AI53" s="693"/>
      <c r="AJ53" s="693"/>
      <c r="AK53" s="693"/>
      <c r="AL53" s="693"/>
      <c r="AM53" s="693"/>
      <c r="AN53" s="693"/>
      <c r="AO53" s="693"/>
      <c r="AP53" s="693"/>
      <c r="AQ53" s="693"/>
      <c r="AR53" s="693"/>
    </row>
    <row r="54" spans="1:44" s="646" customFormat="1" ht="30" customHeight="1">
      <c r="A54" s="644"/>
      <c r="B54" s="645">
        <f>tblIndicators!A50</f>
        <v>49</v>
      </c>
      <c r="C54" s="645">
        <f>tblIndicators!B50</f>
        <v>0</v>
      </c>
      <c r="D54" s="645">
        <f>tblIndicators!F50</f>
        <v>3</v>
      </c>
      <c r="E54" s="645">
        <f>tblIndicators!C50</f>
        <v>35</v>
      </c>
      <c r="F54" s="645" t="str">
        <f>tblIndicators!H50</f>
        <v>35.¿Cuál es el nivel de enfoque de género en las condiciones de trabajo?</v>
      </c>
      <c r="G54" s="645">
        <f>tblIndicators!Z50</f>
        <v>3</v>
      </c>
      <c r="H54" s="559" t="str">
        <f>REPT(" ",(D54-1)*2)&amp;tblIndicators!AE50</f>
        <v xml:space="preserve">    3.4.2) 35.¿Cuál es el nivel de enfoque de género en las condiciones de trabajo?</v>
      </c>
      <c r="I54" s="663">
        <f>IF(uxb_works!$B$122=1,IF(Data!I53="","",Data!I53),Scores!O53)</f>
        <v>0.25</v>
      </c>
      <c r="J54" s="689">
        <f ca="1">IF(uxb_works!$B$122=1,IF(Data!J53="","",Data!J53),Scores!P53)</f>
        <v>0</v>
      </c>
      <c r="K54" s="690">
        <f ca="1">IF(uxb_works!$B$122=1,IF(Data!K53="","",Data!K53),Scores!Q53)</f>
        <v>0</v>
      </c>
      <c r="L54" s="689">
        <f ca="1">IF(uxb_works!$B$122=1,IF(Data!L53="","",Data!L53),Scores!R53)</f>
        <v>50</v>
      </c>
      <c r="M54" s="690">
        <f ca="1">IF(uxb_works!$B$122=1,IF(Data!M53="","",Data!M53),Scores!S53)</f>
        <v>0</v>
      </c>
      <c r="N54" s="689">
        <f ca="1">IF(uxb_works!$B$122=1,IF(Data!N53="","",Data!N53),Scores!T53)</f>
        <v>0</v>
      </c>
      <c r="O54" s="690">
        <f ca="1">IF(uxb_works!$B$122=1,IF(Data!O53="","",Data!O53),Scores!U53)</f>
        <v>0</v>
      </c>
      <c r="P54" s="689">
        <f ca="1">IF(uxb_works!$B$122=1,IF(Data!P53="","",Data!P53),Scores!V53)</f>
        <v>0</v>
      </c>
      <c r="Q54" s="690">
        <f ca="1">IF(uxb_works!$B$122=1,IF(Data!Q53="","",Data!Q53),Scores!W53)</f>
        <v>0</v>
      </c>
      <c r="R54" s="689">
        <f ca="1">IF(uxb_works!$B$122=1,IF(Data!R53="","",Data!R53),Scores!X53)</f>
        <v>0</v>
      </c>
      <c r="S54" s="690">
        <f ca="1">IF(uxb_works!$B$122=1,IF(Data!S53="","",Data!S53),Scores!Y53)</f>
        <v>0</v>
      </c>
      <c r="T54" s="689">
        <f ca="1">IF(uxb_works!$B$122=1,IF(Data!T53="","",Data!T53),Scores!Z53)</f>
        <v>50</v>
      </c>
      <c r="U54" s="691">
        <f ca="1">IF(uxb_works!$B$122=1,IF(Data!U53="","",Data!U53),Scores!AA53)</f>
        <v>0</v>
      </c>
      <c r="V54" s="692">
        <f ca="1">IF(uxb_works!$B$122=1,IF(Data!V53="","",Data!V53),Scores!AB53)</f>
        <v>0</v>
      </c>
      <c r="W54" s="691">
        <f>IF(uxb_works!$B$122=1,IF(Data!W53="","",Data!W53),Scores!AC53)</f>
        <v>0</v>
      </c>
      <c r="X54" s="692">
        <f>IF(uxb_works!$B$122=1,IF(Data!X53="","",Data!X53),Scores!AD53)</f>
        <v>0</v>
      </c>
      <c r="Y54" s="691">
        <f>IF(uxb_works!$B$122=1,IF(Data!Y53="","",Data!Y53),Scores!AE53)</f>
        <v>0</v>
      </c>
      <c r="Z54" s="692">
        <f>IF(uxb_works!$B$122=1,IF(Data!Z53="","",Data!Z53),Scores!AF53)</f>
        <v>0</v>
      </c>
      <c r="AA54" s="691">
        <f>IF(uxb_works!$B$122=1,IF(Data!AA53="","",Data!AA53),Scores!AG53)</f>
        <v>0</v>
      </c>
      <c r="AB54" s="692">
        <f>IF(uxb_works!$B$122=1,IF(Data!AB53="","",Data!AB53),Scores!AH53)</f>
        <v>0</v>
      </c>
      <c r="AC54" s="691">
        <f>IF(uxb_works!$B$122=1,IF(Data!AC53="","",Data!AC53),Scores!AI53)</f>
        <v>0</v>
      </c>
      <c r="AD54" s="692">
        <f>IF(uxb_works!$B$122=1,IF(Data!AD53="","",Data!AD53),Scores!AJ53)</f>
        <v>0</v>
      </c>
      <c r="AE54" s="691">
        <f>IF(uxb_works!$B$122=1,IF(Data!AE53="","",Data!AE53),Scores!AK53)</f>
        <v>0</v>
      </c>
      <c r="AF54" s="693"/>
      <c r="AG54" s="693"/>
      <c r="AH54" s="693"/>
      <c r="AI54" s="693"/>
      <c r="AJ54" s="693"/>
      <c r="AK54" s="693"/>
      <c r="AL54" s="693"/>
      <c r="AM54" s="693"/>
      <c r="AN54" s="693"/>
      <c r="AO54" s="693"/>
      <c r="AP54" s="693"/>
      <c r="AQ54" s="693"/>
      <c r="AR54" s="693"/>
    </row>
    <row r="55" spans="1:44" s="646" customFormat="1" ht="30" customHeight="1">
      <c r="A55" s="644"/>
      <c r="B55" s="645">
        <f>tblIndicators!A51</f>
        <v>50</v>
      </c>
      <c r="C55" s="645">
        <f>tblIndicators!B51</f>
        <v>0</v>
      </c>
      <c r="D55" s="645">
        <f>tblIndicators!F51</f>
        <v>3</v>
      </c>
      <c r="E55" s="645">
        <f>tblIndicators!C51</f>
        <v>36</v>
      </c>
      <c r="F55" s="645" t="str">
        <f>tblIndicators!H51</f>
        <v>36.¿Hay planes inclusivos de cierre de vertederos a cielo abierto?</v>
      </c>
      <c r="G55" s="645">
        <f>tblIndicators!Z51</f>
        <v>3</v>
      </c>
      <c r="H55" s="559" t="str">
        <f>REPT(" ",(D55-1)*2)&amp;tblIndicators!AE51</f>
        <v xml:space="preserve">    3.4.3) 36.¿Hay planes inclusivos de cierre de vertederos a cielo abierto?</v>
      </c>
      <c r="I55" s="663">
        <f>IF(uxb_works!$B$122=1,IF(Data!I54="","",Data!I54),Scores!O54)</f>
        <v>0.25</v>
      </c>
      <c r="J55" s="689">
        <f ca="1">IF(uxb_works!$B$122=1,IF(Data!J54="","",Data!J54),Scores!P54)</f>
        <v>0</v>
      </c>
      <c r="K55" s="690">
        <f ca="1">IF(uxb_works!$B$122=1,IF(Data!K54="","",Data!K54),Scores!Q54)</f>
        <v>100</v>
      </c>
      <c r="L55" s="689">
        <f ca="1">IF(uxb_works!$B$122=1,IF(Data!L54="","",Data!L54),Scores!R54)</f>
        <v>100</v>
      </c>
      <c r="M55" s="690">
        <f ca="1">IF(uxb_works!$B$122=1,IF(Data!M54="","",Data!M54),Scores!S54)</f>
        <v>100</v>
      </c>
      <c r="N55" s="689">
        <f ca="1">IF(uxb_works!$B$122=1,IF(Data!N54="","",Data!N54),Scores!T54)</f>
        <v>100</v>
      </c>
      <c r="O55" s="690">
        <f ca="1">IF(uxb_works!$B$122=1,IF(Data!O54="","",Data!O54),Scores!U54)</f>
        <v>100</v>
      </c>
      <c r="P55" s="689">
        <f ca="1">IF(uxb_works!$B$122=1,IF(Data!P54="","",Data!P54),Scores!V54)</f>
        <v>0</v>
      </c>
      <c r="Q55" s="690">
        <f ca="1">IF(uxb_works!$B$122=1,IF(Data!Q54="","",Data!Q54),Scores!W54)</f>
        <v>100</v>
      </c>
      <c r="R55" s="689">
        <f ca="1">IF(uxb_works!$B$122=1,IF(Data!R54="","",Data!R54),Scores!X54)</f>
        <v>100</v>
      </c>
      <c r="S55" s="690">
        <f ca="1">IF(uxb_works!$B$122=1,IF(Data!S54="","",Data!S54),Scores!Y54)</f>
        <v>100</v>
      </c>
      <c r="T55" s="689">
        <f ca="1">IF(uxb_works!$B$122=1,IF(Data!T54="","",Data!T54),Scores!Z54)</f>
        <v>100</v>
      </c>
      <c r="U55" s="691">
        <f ca="1">IF(uxb_works!$B$122=1,IF(Data!U54="","",Data!U54),Scores!AA54)</f>
        <v>100</v>
      </c>
      <c r="V55" s="692">
        <f ca="1">IF(uxb_works!$B$122=1,IF(Data!V54="","",Data!V54),Scores!AB54)</f>
        <v>0</v>
      </c>
      <c r="W55" s="691">
        <f>IF(uxb_works!$B$122=1,IF(Data!W54="","",Data!W54),Scores!AC54)</f>
        <v>0</v>
      </c>
      <c r="X55" s="692">
        <f>IF(uxb_works!$B$122=1,IF(Data!X54="","",Data!X54),Scores!AD54)</f>
        <v>0</v>
      </c>
      <c r="Y55" s="691">
        <f>IF(uxb_works!$B$122=1,IF(Data!Y54="","",Data!Y54),Scores!AE54)</f>
        <v>0</v>
      </c>
      <c r="Z55" s="692">
        <f>IF(uxb_works!$B$122=1,IF(Data!Z54="","",Data!Z54),Scores!AF54)</f>
        <v>0</v>
      </c>
      <c r="AA55" s="691">
        <f>IF(uxb_works!$B$122=1,IF(Data!AA54="","",Data!AA54),Scores!AG54)</f>
        <v>0</v>
      </c>
      <c r="AB55" s="692">
        <f>IF(uxb_works!$B$122=1,IF(Data!AB54="","",Data!AB54),Scores!AH54)</f>
        <v>0</v>
      </c>
      <c r="AC55" s="691">
        <f>IF(uxb_works!$B$122=1,IF(Data!AC54="","",Data!AC54),Scores!AI54)</f>
        <v>0</v>
      </c>
      <c r="AD55" s="692">
        <f>IF(uxb_works!$B$122=1,IF(Data!AD54="","",Data!AD54),Scores!AJ54)</f>
        <v>0</v>
      </c>
      <c r="AE55" s="691">
        <f>IF(uxb_works!$B$122=1,IF(Data!AE54="","",Data!AE54),Scores!AK54)</f>
        <v>0</v>
      </c>
      <c r="AF55" s="693"/>
      <c r="AG55" s="693"/>
      <c r="AH55" s="693"/>
      <c r="AI55" s="693"/>
      <c r="AJ55" s="693"/>
      <c r="AK55" s="693"/>
      <c r="AL55" s="693"/>
      <c r="AM55" s="693"/>
      <c r="AN55" s="693"/>
      <c r="AO55" s="693"/>
      <c r="AP55" s="693"/>
      <c r="AQ55" s="693"/>
      <c r="AR55" s="693"/>
    </row>
    <row r="56" spans="1:44" s="646" customFormat="1" ht="30" customHeight="1">
      <c r="A56" s="648"/>
      <c r="B56" s="649">
        <f>tblIndicators!A52</f>
        <v>51</v>
      </c>
      <c r="C56" s="649">
        <f>tblIndicators!B52</f>
        <v>0</v>
      </c>
      <c r="D56" s="649">
        <f>tblIndicators!F52</f>
        <v>3</v>
      </c>
      <c r="E56" s="649">
        <f>tblIndicators!C52</f>
        <v>37</v>
      </c>
      <c r="F56" s="649" t="str">
        <f>tblIndicators!H52</f>
        <v>37.¿Los recicladores tienen acceso a herramientas de trabajo adecuadas?</v>
      </c>
      <c r="G56" s="649">
        <f>tblIndicators!Z52</f>
        <v>3</v>
      </c>
      <c r="H56" s="606" t="str">
        <f>REPT(" ",(D56-1)*2)&amp;tblIndicators!AE52</f>
        <v xml:space="preserve">    3.4.4) 37.¿Los recicladores tienen acceso a herramientas de trabajo adecuadas?</v>
      </c>
      <c r="I56" s="664">
        <f>IF(uxb_works!$B$122=1,IF(Data!I55="","",Data!I55),Scores!O55)</f>
        <v>0.25</v>
      </c>
      <c r="J56" s="702">
        <f ca="1">IF(uxb_works!$B$122=1,IF(Data!J55="","",Data!J55),Scores!P55)</f>
        <v>0</v>
      </c>
      <c r="K56" s="703">
        <f ca="1">IF(uxb_works!$B$122=1,IF(Data!K55="","",Data!K55),Scores!Q55)</f>
        <v>50</v>
      </c>
      <c r="L56" s="702">
        <f ca="1">IF(uxb_works!$B$122=1,IF(Data!L55="","",Data!L55),Scores!R55)</f>
        <v>100</v>
      </c>
      <c r="M56" s="703">
        <f ca="1">IF(uxb_works!$B$122=1,IF(Data!M55="","",Data!M55),Scores!S55)</f>
        <v>50</v>
      </c>
      <c r="N56" s="702">
        <f ca="1">IF(uxb_works!$B$122=1,IF(Data!N55="","",Data!N55),Scores!T55)</f>
        <v>0</v>
      </c>
      <c r="O56" s="703">
        <f ca="1">IF(uxb_works!$B$122=1,IF(Data!O55="","",Data!O55),Scores!U55)</f>
        <v>50</v>
      </c>
      <c r="P56" s="702">
        <f ca="1">IF(uxb_works!$B$122=1,IF(Data!P55="","",Data!P55),Scores!V55)</f>
        <v>0</v>
      </c>
      <c r="Q56" s="703">
        <f ca="1">IF(uxb_works!$B$122=1,IF(Data!Q55="","",Data!Q55),Scores!W55)</f>
        <v>0</v>
      </c>
      <c r="R56" s="702">
        <f ca="1">IF(uxb_works!$B$122=1,IF(Data!R55="","",Data!R55),Scores!X55)</f>
        <v>0</v>
      </c>
      <c r="S56" s="703">
        <f ca="1">IF(uxb_works!$B$122=1,IF(Data!S55="","",Data!S55),Scores!Y55)</f>
        <v>50</v>
      </c>
      <c r="T56" s="702">
        <f ca="1">IF(uxb_works!$B$122=1,IF(Data!T55="","",Data!T55),Scores!Z55)</f>
        <v>50</v>
      </c>
      <c r="U56" s="704">
        <f ca="1">IF(uxb_works!$B$122=1,IF(Data!U55="","",Data!U55),Scores!AA55)</f>
        <v>50</v>
      </c>
      <c r="V56" s="705">
        <f ca="1">IF(uxb_works!$B$122=1,IF(Data!V55="","",Data!V55),Scores!AB55)</f>
        <v>0</v>
      </c>
      <c r="W56" s="704">
        <f>IF(uxb_works!$B$122=1,IF(Data!W55="","",Data!W55),Scores!AC55)</f>
        <v>0</v>
      </c>
      <c r="X56" s="705">
        <f>IF(uxb_works!$B$122=1,IF(Data!X55="","",Data!X55),Scores!AD55)</f>
        <v>0</v>
      </c>
      <c r="Y56" s="704">
        <f>IF(uxb_works!$B$122=1,IF(Data!Y55="","",Data!Y55),Scores!AE55)</f>
        <v>0</v>
      </c>
      <c r="Z56" s="705">
        <f>IF(uxb_works!$B$122=1,IF(Data!Z55="","",Data!Z55),Scores!AF55)</f>
        <v>0</v>
      </c>
      <c r="AA56" s="704">
        <f>IF(uxb_works!$B$122=1,IF(Data!AA55="","",Data!AA55),Scores!AG55)</f>
        <v>0</v>
      </c>
      <c r="AB56" s="705">
        <f>IF(uxb_works!$B$122=1,IF(Data!AB55="","",Data!AB55),Scores!AH55)</f>
        <v>0</v>
      </c>
      <c r="AC56" s="704">
        <f>IF(uxb_works!$B$122=1,IF(Data!AC55="","",Data!AC55),Scores!AI55)</f>
        <v>0</v>
      </c>
      <c r="AD56" s="705">
        <f>IF(uxb_works!$B$122=1,IF(Data!AD55="","",Data!AD55),Scores!AJ55)</f>
        <v>0</v>
      </c>
      <c r="AE56" s="704">
        <f>IF(uxb_works!$B$122=1,IF(Data!AE55="","",Data!AE55),Scores!AK55)</f>
        <v>0</v>
      </c>
      <c r="AF56" s="693"/>
      <c r="AG56" s="693"/>
      <c r="AH56" s="693"/>
      <c r="AI56" s="693"/>
      <c r="AJ56" s="693"/>
      <c r="AK56" s="693"/>
      <c r="AL56" s="693"/>
      <c r="AM56" s="693"/>
      <c r="AN56" s="693"/>
      <c r="AO56" s="693"/>
      <c r="AP56" s="693"/>
      <c r="AQ56" s="693"/>
      <c r="AR56" s="693"/>
    </row>
    <row r="57" spans="1:44" s="383" customFormat="1">
      <c r="H57" s="560"/>
      <c r="I57" s="555"/>
      <c r="J57" s="678"/>
      <c r="K57" s="678"/>
      <c r="L57" s="678"/>
      <c r="M57" s="678"/>
      <c r="N57" s="678"/>
      <c r="O57" s="678"/>
      <c r="P57" s="678"/>
      <c r="Q57" s="678"/>
      <c r="R57" s="678"/>
      <c r="S57" s="678"/>
      <c r="T57" s="678"/>
      <c r="U57" s="678"/>
      <c r="V57" s="678"/>
      <c r="W57" s="678"/>
      <c r="X57" s="678"/>
      <c r="Y57" s="678"/>
      <c r="Z57" s="678"/>
      <c r="AA57" s="678"/>
      <c r="AB57" s="678"/>
      <c r="AC57" s="678"/>
      <c r="AD57" s="678"/>
      <c r="AE57" s="678"/>
      <c r="AF57" s="678"/>
      <c r="AG57" s="678"/>
      <c r="AH57" s="678"/>
      <c r="AI57" s="678"/>
      <c r="AJ57" s="678"/>
      <c r="AK57" s="678"/>
      <c r="AL57" s="678"/>
      <c r="AM57" s="678"/>
      <c r="AN57" s="678"/>
      <c r="AO57" s="678"/>
      <c r="AP57" s="678"/>
      <c r="AQ57" s="678"/>
      <c r="AR57" s="678"/>
    </row>
    <row r="58" spans="1:44" s="387" customFormat="1">
      <c r="H58" s="561"/>
      <c r="I58" s="556"/>
      <c r="J58" s="706"/>
      <c r="K58" s="706"/>
      <c r="L58" s="706"/>
      <c r="M58" s="706"/>
      <c r="N58" s="706"/>
      <c r="O58" s="706"/>
      <c r="P58" s="706"/>
      <c r="Q58" s="706"/>
      <c r="R58" s="706"/>
      <c r="S58" s="706"/>
      <c r="T58" s="706"/>
      <c r="U58" s="706"/>
      <c r="V58" s="706"/>
      <c r="W58" s="706"/>
      <c r="X58" s="706"/>
      <c r="Y58" s="706"/>
      <c r="Z58" s="706"/>
      <c r="AA58" s="706"/>
      <c r="AB58" s="706"/>
      <c r="AC58" s="706"/>
      <c r="AD58" s="706"/>
      <c r="AE58" s="706"/>
      <c r="AF58" s="706"/>
      <c r="AG58" s="706"/>
      <c r="AH58" s="706"/>
      <c r="AI58" s="706"/>
      <c r="AJ58" s="706"/>
      <c r="AK58" s="706"/>
      <c r="AL58" s="706"/>
      <c r="AM58" s="706"/>
      <c r="AN58" s="706"/>
      <c r="AO58" s="706"/>
      <c r="AP58" s="706"/>
      <c r="AQ58" s="706"/>
      <c r="AR58" s="706"/>
    </row>
    <row r="59" spans="1:44" s="387" customFormat="1">
      <c r="H59" s="561"/>
      <c r="I59" s="556"/>
      <c r="J59" s="706"/>
      <c r="K59" s="706"/>
      <c r="L59" s="706"/>
      <c r="M59" s="706"/>
      <c r="N59" s="706"/>
      <c r="O59" s="706"/>
      <c r="P59" s="706"/>
      <c r="Q59" s="706"/>
      <c r="R59" s="706"/>
      <c r="S59" s="706"/>
      <c r="T59" s="706"/>
      <c r="U59" s="706"/>
      <c r="V59" s="706"/>
      <c r="W59" s="706"/>
      <c r="X59" s="706"/>
      <c r="Y59" s="706"/>
      <c r="Z59" s="706"/>
      <c r="AA59" s="706"/>
      <c r="AB59" s="706"/>
      <c r="AC59" s="706"/>
      <c r="AD59" s="706"/>
      <c r="AE59" s="706"/>
      <c r="AF59" s="706"/>
      <c r="AG59" s="706"/>
      <c r="AH59" s="706"/>
      <c r="AI59" s="706"/>
      <c r="AJ59" s="706"/>
      <c r="AK59" s="706"/>
      <c r="AL59" s="706"/>
      <c r="AM59" s="706"/>
      <c r="AN59" s="706"/>
      <c r="AO59" s="706"/>
      <c r="AP59" s="706"/>
      <c r="AQ59" s="706"/>
      <c r="AR59" s="706"/>
    </row>
    <row r="60" spans="1:44" s="387" customFormat="1" hidden="1">
      <c r="H60" s="561"/>
      <c r="I60" s="556"/>
      <c r="J60" s="706"/>
      <c r="K60" s="706"/>
      <c r="L60" s="706"/>
      <c r="M60" s="706"/>
      <c r="N60" s="706"/>
      <c r="O60" s="706"/>
      <c r="P60" s="706"/>
      <c r="Q60" s="706"/>
      <c r="R60" s="706"/>
      <c r="S60" s="706"/>
      <c r="T60" s="706"/>
      <c r="U60" s="706"/>
      <c r="V60" s="706"/>
      <c r="W60" s="706"/>
      <c r="X60" s="706"/>
      <c r="Y60" s="706"/>
      <c r="Z60" s="706"/>
      <c r="AA60" s="706"/>
      <c r="AB60" s="706"/>
      <c r="AC60" s="706"/>
      <c r="AD60" s="706"/>
      <c r="AE60" s="706"/>
      <c r="AF60" s="706"/>
      <c r="AG60" s="706"/>
      <c r="AH60" s="706"/>
      <c r="AI60" s="706"/>
      <c r="AJ60" s="706"/>
      <c r="AK60" s="706"/>
      <c r="AL60" s="706"/>
      <c r="AM60" s="706"/>
      <c r="AN60" s="706"/>
      <c r="AO60" s="706"/>
      <c r="AP60" s="706"/>
      <c r="AQ60" s="706"/>
      <c r="AR60" s="706"/>
    </row>
    <row r="61" spans="1:44" s="387" customFormat="1" hidden="1">
      <c r="H61" s="561"/>
      <c r="I61" s="556"/>
      <c r="J61" s="706"/>
      <c r="K61" s="706"/>
      <c r="L61" s="706"/>
      <c r="M61" s="706"/>
      <c r="N61" s="706"/>
      <c r="O61" s="706"/>
      <c r="P61" s="706"/>
      <c r="Q61" s="706"/>
      <c r="R61" s="706"/>
      <c r="S61" s="706"/>
      <c r="T61" s="706"/>
      <c r="U61" s="706"/>
      <c r="V61" s="706"/>
      <c r="W61" s="706"/>
      <c r="X61" s="706"/>
      <c r="Y61" s="706"/>
      <c r="Z61" s="706"/>
      <c r="AA61" s="706"/>
      <c r="AB61" s="706"/>
      <c r="AC61" s="706"/>
      <c r="AD61" s="706"/>
      <c r="AE61" s="706"/>
      <c r="AF61" s="706"/>
      <c r="AG61" s="706"/>
      <c r="AH61" s="706"/>
      <c r="AI61" s="706"/>
      <c r="AJ61" s="706"/>
      <c r="AK61" s="706"/>
      <c r="AL61" s="706"/>
      <c r="AM61" s="706"/>
      <c r="AN61" s="706"/>
      <c r="AO61" s="706"/>
      <c r="AP61" s="706"/>
      <c r="AQ61" s="706"/>
      <c r="AR61" s="706"/>
    </row>
    <row r="62" spans="1:44" s="387" customFormat="1" hidden="1">
      <c r="H62" s="561"/>
      <c r="I62" s="556"/>
      <c r="J62" s="706"/>
      <c r="K62" s="706"/>
      <c r="L62" s="706"/>
      <c r="M62" s="706"/>
      <c r="N62" s="706"/>
      <c r="O62" s="706"/>
      <c r="P62" s="706"/>
      <c r="Q62" s="706"/>
      <c r="R62" s="706"/>
      <c r="S62" s="706"/>
      <c r="T62" s="706"/>
      <c r="U62" s="706"/>
      <c r="V62" s="706"/>
      <c r="W62" s="706"/>
      <c r="X62" s="706"/>
      <c r="Y62" s="706"/>
      <c r="Z62" s="706"/>
      <c r="AA62" s="706"/>
      <c r="AB62" s="706"/>
      <c r="AC62" s="706"/>
      <c r="AD62" s="706"/>
      <c r="AE62" s="706"/>
      <c r="AF62" s="706"/>
      <c r="AG62" s="706"/>
      <c r="AH62" s="706"/>
      <c r="AI62" s="706"/>
      <c r="AJ62" s="706"/>
      <c r="AK62" s="706"/>
      <c r="AL62" s="706"/>
      <c r="AM62" s="706"/>
      <c r="AN62" s="706"/>
      <c r="AO62" s="706"/>
      <c r="AP62" s="706"/>
      <c r="AQ62" s="706"/>
      <c r="AR62" s="706"/>
    </row>
    <row r="63" spans="1:44" s="387" customFormat="1" hidden="1">
      <c r="H63" s="561"/>
      <c r="I63" s="556"/>
      <c r="J63" s="706"/>
      <c r="K63" s="706"/>
      <c r="L63" s="706"/>
      <c r="M63" s="706"/>
      <c r="N63" s="706"/>
      <c r="O63" s="706"/>
      <c r="P63" s="706"/>
      <c r="Q63" s="706"/>
      <c r="R63" s="706"/>
      <c r="S63" s="706"/>
      <c r="T63" s="706"/>
      <c r="U63" s="706"/>
      <c r="V63" s="706"/>
      <c r="W63" s="706"/>
      <c r="X63" s="706"/>
      <c r="Y63" s="706"/>
      <c r="Z63" s="706"/>
      <c r="AA63" s="706"/>
      <c r="AB63" s="706"/>
      <c r="AC63" s="706"/>
      <c r="AD63" s="706"/>
      <c r="AE63" s="706"/>
      <c r="AF63" s="706"/>
      <c r="AG63" s="706"/>
      <c r="AH63" s="706"/>
      <c r="AI63" s="706"/>
      <c r="AJ63" s="706"/>
      <c r="AK63" s="706"/>
      <c r="AL63" s="706"/>
      <c r="AM63" s="706"/>
      <c r="AN63" s="706"/>
      <c r="AO63" s="706"/>
      <c r="AP63" s="706"/>
      <c r="AQ63" s="706"/>
      <c r="AR63" s="706"/>
    </row>
    <row r="64" spans="1:44" s="387" customFormat="1" hidden="1">
      <c r="H64" s="561"/>
      <c r="I64" s="556"/>
      <c r="J64" s="706"/>
      <c r="K64" s="706"/>
      <c r="L64" s="706"/>
      <c r="M64" s="706"/>
      <c r="N64" s="706"/>
      <c r="O64" s="706"/>
      <c r="P64" s="706"/>
      <c r="Q64" s="706"/>
      <c r="R64" s="706"/>
      <c r="S64" s="706"/>
      <c r="T64" s="706"/>
      <c r="U64" s="706"/>
      <c r="V64" s="706"/>
      <c r="W64" s="706"/>
      <c r="X64" s="706"/>
      <c r="Y64" s="706"/>
      <c r="Z64" s="706"/>
      <c r="AA64" s="706"/>
      <c r="AB64" s="706"/>
      <c r="AC64" s="706"/>
      <c r="AD64" s="706"/>
      <c r="AE64" s="706"/>
      <c r="AF64" s="706"/>
      <c r="AG64" s="706"/>
      <c r="AH64" s="706"/>
      <c r="AI64" s="706"/>
      <c r="AJ64" s="706"/>
      <c r="AK64" s="706"/>
      <c r="AL64" s="706"/>
      <c r="AM64" s="706"/>
      <c r="AN64" s="706"/>
      <c r="AO64" s="706"/>
      <c r="AP64" s="706"/>
      <c r="AQ64" s="706"/>
      <c r="AR64" s="706"/>
    </row>
    <row r="65" spans="8:44" s="387" customFormat="1" hidden="1">
      <c r="H65" s="561"/>
      <c r="I65" s="556"/>
      <c r="J65" s="706"/>
      <c r="K65" s="706"/>
      <c r="L65" s="706"/>
      <c r="M65" s="706"/>
      <c r="N65" s="706"/>
      <c r="O65" s="706"/>
      <c r="P65" s="706"/>
      <c r="Q65" s="706"/>
      <c r="R65" s="706"/>
      <c r="S65" s="706"/>
      <c r="T65" s="706"/>
      <c r="U65" s="706"/>
      <c r="V65" s="706"/>
      <c r="W65" s="706"/>
      <c r="X65" s="706"/>
      <c r="Y65" s="706"/>
      <c r="Z65" s="706"/>
      <c r="AA65" s="706"/>
      <c r="AB65" s="706"/>
      <c r="AC65" s="706"/>
      <c r="AD65" s="706"/>
      <c r="AE65" s="706"/>
      <c r="AF65" s="706"/>
      <c r="AG65" s="706"/>
      <c r="AH65" s="706"/>
      <c r="AI65" s="706"/>
      <c r="AJ65" s="706"/>
      <c r="AK65" s="706"/>
      <c r="AL65" s="706"/>
      <c r="AM65" s="706"/>
      <c r="AN65" s="706"/>
      <c r="AO65" s="706"/>
      <c r="AP65" s="706"/>
      <c r="AQ65" s="706"/>
      <c r="AR65" s="706"/>
    </row>
    <row r="66" spans="8:44" s="387" customFormat="1" hidden="1">
      <c r="H66" s="561"/>
      <c r="I66" s="556"/>
      <c r="J66" s="706"/>
      <c r="K66" s="706"/>
      <c r="L66" s="706"/>
      <c r="M66" s="706"/>
      <c r="N66" s="706"/>
      <c r="O66" s="706"/>
      <c r="P66" s="706"/>
      <c r="Q66" s="706"/>
      <c r="R66" s="706"/>
      <c r="S66" s="706"/>
      <c r="T66" s="706"/>
      <c r="U66" s="706"/>
      <c r="V66" s="706"/>
      <c r="W66" s="706"/>
      <c r="X66" s="706"/>
      <c r="Y66" s="706"/>
      <c r="Z66" s="706"/>
      <c r="AA66" s="706"/>
      <c r="AB66" s="706"/>
      <c r="AC66" s="706"/>
      <c r="AD66" s="706"/>
      <c r="AE66" s="706"/>
      <c r="AF66" s="706"/>
      <c r="AG66" s="706"/>
      <c r="AH66" s="706"/>
      <c r="AI66" s="706"/>
      <c r="AJ66" s="706"/>
      <c r="AK66" s="706"/>
      <c r="AL66" s="706"/>
      <c r="AM66" s="706"/>
      <c r="AN66" s="706"/>
      <c r="AO66" s="706"/>
      <c r="AP66" s="706"/>
      <c r="AQ66" s="706"/>
      <c r="AR66" s="706"/>
    </row>
    <row r="67" spans="8:44" s="387" customFormat="1" hidden="1">
      <c r="H67" s="561"/>
      <c r="I67" s="556"/>
      <c r="J67" s="706"/>
      <c r="K67" s="706"/>
      <c r="L67" s="706"/>
      <c r="M67" s="706"/>
      <c r="N67" s="706"/>
      <c r="O67" s="706"/>
      <c r="P67" s="706"/>
      <c r="Q67" s="706"/>
      <c r="R67" s="706"/>
      <c r="S67" s="706"/>
      <c r="T67" s="706"/>
      <c r="U67" s="706"/>
      <c r="V67" s="706"/>
      <c r="W67" s="706"/>
      <c r="X67" s="706"/>
      <c r="Y67" s="706"/>
      <c r="Z67" s="706"/>
      <c r="AA67" s="706"/>
      <c r="AB67" s="706"/>
      <c r="AC67" s="706"/>
      <c r="AD67" s="706"/>
      <c r="AE67" s="706"/>
      <c r="AF67" s="706"/>
      <c r="AG67" s="706"/>
      <c r="AH67" s="706"/>
      <c r="AI67" s="706"/>
      <c r="AJ67" s="706"/>
      <c r="AK67" s="706"/>
      <c r="AL67" s="706"/>
      <c r="AM67" s="706"/>
      <c r="AN67" s="706"/>
      <c r="AO67" s="706"/>
      <c r="AP67" s="706"/>
      <c r="AQ67" s="706"/>
      <c r="AR67" s="706"/>
    </row>
    <row r="68" spans="8:44" s="387" customFormat="1" hidden="1">
      <c r="H68" s="561"/>
      <c r="I68" s="556"/>
      <c r="J68" s="706"/>
      <c r="K68" s="706"/>
      <c r="L68" s="706"/>
      <c r="M68" s="706"/>
      <c r="N68" s="706"/>
      <c r="O68" s="706"/>
      <c r="P68" s="706"/>
      <c r="Q68" s="706"/>
      <c r="R68" s="706"/>
      <c r="S68" s="706"/>
      <c r="T68" s="706"/>
      <c r="U68" s="706"/>
      <c r="V68" s="706"/>
      <c r="W68" s="706"/>
      <c r="X68" s="706"/>
      <c r="Y68" s="706"/>
      <c r="Z68" s="706"/>
      <c r="AA68" s="706"/>
      <c r="AB68" s="706"/>
      <c r="AC68" s="706"/>
      <c r="AD68" s="706"/>
      <c r="AE68" s="706"/>
      <c r="AF68" s="706"/>
      <c r="AG68" s="706"/>
      <c r="AH68" s="706"/>
      <c r="AI68" s="706"/>
      <c r="AJ68" s="706"/>
      <c r="AK68" s="706"/>
      <c r="AL68" s="706"/>
      <c r="AM68" s="706"/>
      <c r="AN68" s="706"/>
      <c r="AO68" s="706"/>
      <c r="AP68" s="706"/>
      <c r="AQ68" s="706"/>
      <c r="AR68" s="706"/>
    </row>
    <row r="69" spans="8:44" s="387" customFormat="1" hidden="1">
      <c r="H69" s="561"/>
      <c r="I69" s="556"/>
      <c r="J69" s="706"/>
      <c r="K69" s="706"/>
      <c r="L69" s="706"/>
      <c r="M69" s="706"/>
      <c r="N69" s="706"/>
      <c r="O69" s="706"/>
      <c r="P69" s="706"/>
      <c r="Q69" s="706"/>
      <c r="R69" s="706"/>
      <c r="S69" s="706"/>
      <c r="T69" s="706"/>
      <c r="U69" s="706"/>
      <c r="V69" s="706"/>
      <c r="W69" s="706"/>
      <c r="X69" s="706"/>
      <c r="Y69" s="706"/>
      <c r="Z69" s="706"/>
      <c r="AA69" s="706"/>
      <c r="AB69" s="706"/>
      <c r="AC69" s="706"/>
      <c r="AD69" s="706"/>
      <c r="AE69" s="706"/>
      <c r="AF69" s="706"/>
      <c r="AG69" s="706"/>
      <c r="AH69" s="706"/>
      <c r="AI69" s="706"/>
      <c r="AJ69" s="706"/>
      <c r="AK69" s="706"/>
      <c r="AL69" s="706"/>
      <c r="AM69" s="706"/>
      <c r="AN69" s="706"/>
      <c r="AO69" s="706"/>
      <c r="AP69" s="706"/>
      <c r="AQ69" s="706"/>
      <c r="AR69" s="706"/>
    </row>
    <row r="70" spans="8:44" s="387" customFormat="1" hidden="1">
      <c r="H70" s="561"/>
      <c r="I70" s="556"/>
      <c r="J70" s="706"/>
      <c r="K70" s="706"/>
      <c r="L70" s="706"/>
      <c r="M70" s="706"/>
      <c r="N70" s="706"/>
      <c r="O70" s="706"/>
      <c r="P70" s="706"/>
      <c r="Q70" s="706"/>
      <c r="R70" s="706"/>
      <c r="S70" s="706"/>
      <c r="T70" s="706"/>
      <c r="U70" s="706"/>
      <c r="V70" s="706"/>
      <c r="W70" s="706"/>
      <c r="X70" s="706"/>
      <c r="Y70" s="706"/>
      <c r="Z70" s="706"/>
      <c r="AA70" s="706"/>
      <c r="AB70" s="706"/>
      <c r="AC70" s="706"/>
      <c r="AD70" s="706"/>
      <c r="AE70" s="706"/>
      <c r="AF70" s="706"/>
      <c r="AG70" s="706"/>
      <c r="AH70" s="706"/>
      <c r="AI70" s="706"/>
      <c r="AJ70" s="706"/>
      <c r="AK70" s="706"/>
      <c r="AL70" s="706"/>
      <c r="AM70" s="706"/>
      <c r="AN70" s="706"/>
      <c r="AO70" s="706"/>
      <c r="AP70" s="706"/>
      <c r="AQ70" s="706"/>
      <c r="AR70" s="706"/>
    </row>
    <row r="71" spans="8:44" s="387" customFormat="1" hidden="1">
      <c r="H71" s="561"/>
      <c r="I71" s="556"/>
      <c r="J71" s="706"/>
      <c r="K71" s="706"/>
      <c r="L71" s="706"/>
      <c r="M71" s="706"/>
      <c r="N71" s="706"/>
      <c r="O71" s="706"/>
      <c r="P71" s="706"/>
      <c r="Q71" s="706"/>
      <c r="R71" s="706"/>
      <c r="S71" s="706"/>
      <c r="T71" s="706"/>
      <c r="U71" s="706"/>
      <c r="V71" s="706"/>
      <c r="W71" s="706"/>
      <c r="X71" s="706"/>
      <c r="Y71" s="706"/>
      <c r="Z71" s="706"/>
      <c r="AA71" s="706"/>
      <c r="AB71" s="706"/>
      <c r="AC71" s="706"/>
      <c r="AD71" s="706"/>
      <c r="AE71" s="706"/>
      <c r="AF71" s="706"/>
      <c r="AG71" s="706"/>
      <c r="AH71" s="706"/>
      <c r="AI71" s="706"/>
      <c r="AJ71" s="706"/>
      <c r="AK71" s="706"/>
      <c r="AL71" s="706"/>
      <c r="AM71" s="706"/>
      <c r="AN71" s="706"/>
      <c r="AO71" s="706"/>
      <c r="AP71" s="706"/>
      <c r="AQ71" s="706"/>
      <c r="AR71" s="706"/>
    </row>
    <row r="72" spans="8:44" s="387" customFormat="1" hidden="1">
      <c r="H72" s="561"/>
      <c r="I72" s="556"/>
      <c r="J72" s="706"/>
      <c r="K72" s="706"/>
      <c r="L72" s="706"/>
      <c r="M72" s="706"/>
      <c r="N72" s="706"/>
      <c r="O72" s="706"/>
      <c r="P72" s="706"/>
      <c r="Q72" s="706"/>
      <c r="R72" s="706"/>
      <c r="S72" s="706"/>
      <c r="T72" s="706"/>
      <c r="U72" s="706"/>
      <c r="V72" s="706"/>
      <c r="W72" s="706"/>
      <c r="X72" s="706"/>
      <c r="Y72" s="706"/>
      <c r="Z72" s="706"/>
      <c r="AA72" s="706"/>
      <c r="AB72" s="706"/>
      <c r="AC72" s="706"/>
      <c r="AD72" s="706"/>
      <c r="AE72" s="706"/>
      <c r="AF72" s="706"/>
      <c r="AG72" s="706"/>
      <c r="AH72" s="706"/>
      <c r="AI72" s="706"/>
      <c r="AJ72" s="706"/>
      <c r="AK72" s="706"/>
      <c r="AL72" s="706"/>
      <c r="AM72" s="706"/>
      <c r="AN72" s="706"/>
      <c r="AO72" s="706"/>
      <c r="AP72" s="706"/>
      <c r="AQ72" s="706"/>
      <c r="AR72" s="706"/>
    </row>
    <row r="73" spans="8:44" s="387" customFormat="1" hidden="1">
      <c r="H73" s="561"/>
      <c r="I73" s="556"/>
      <c r="J73" s="706"/>
      <c r="K73" s="706"/>
      <c r="L73" s="706"/>
      <c r="M73" s="706"/>
      <c r="N73" s="706"/>
      <c r="O73" s="706"/>
      <c r="P73" s="706"/>
      <c r="Q73" s="706"/>
      <c r="R73" s="706"/>
      <c r="S73" s="706"/>
      <c r="T73" s="706"/>
      <c r="U73" s="706"/>
      <c r="V73" s="706"/>
      <c r="W73" s="706"/>
      <c r="X73" s="706"/>
      <c r="Y73" s="706"/>
      <c r="Z73" s="706"/>
      <c r="AA73" s="706"/>
      <c r="AB73" s="706"/>
      <c r="AC73" s="706"/>
      <c r="AD73" s="706"/>
      <c r="AE73" s="706"/>
      <c r="AF73" s="706"/>
      <c r="AG73" s="706"/>
      <c r="AH73" s="706"/>
      <c r="AI73" s="706"/>
      <c r="AJ73" s="706"/>
      <c r="AK73" s="706"/>
      <c r="AL73" s="706"/>
      <c r="AM73" s="706"/>
      <c r="AN73" s="706"/>
      <c r="AO73" s="706"/>
      <c r="AP73" s="706"/>
      <c r="AQ73" s="706"/>
      <c r="AR73" s="706"/>
    </row>
    <row r="74" spans="8:44" s="387" customFormat="1" hidden="1">
      <c r="H74" s="561"/>
      <c r="I74" s="556"/>
      <c r="J74" s="706"/>
      <c r="K74" s="706"/>
      <c r="L74" s="706"/>
      <c r="M74" s="706"/>
      <c r="N74" s="706"/>
      <c r="O74" s="706"/>
      <c r="P74" s="706"/>
      <c r="Q74" s="706"/>
      <c r="R74" s="706"/>
      <c r="S74" s="706"/>
      <c r="T74" s="706"/>
      <c r="U74" s="706"/>
      <c r="V74" s="706"/>
      <c r="W74" s="706"/>
      <c r="X74" s="706"/>
      <c r="Y74" s="706"/>
      <c r="Z74" s="706"/>
      <c r="AA74" s="706"/>
      <c r="AB74" s="706"/>
      <c r="AC74" s="706"/>
      <c r="AD74" s="706"/>
      <c r="AE74" s="706"/>
      <c r="AF74" s="706"/>
      <c r="AG74" s="706"/>
      <c r="AH74" s="706"/>
      <c r="AI74" s="706"/>
      <c r="AJ74" s="706"/>
      <c r="AK74" s="706"/>
      <c r="AL74" s="706"/>
      <c r="AM74" s="706"/>
      <c r="AN74" s="706"/>
      <c r="AO74" s="706"/>
      <c r="AP74" s="706"/>
      <c r="AQ74" s="706"/>
      <c r="AR74" s="706"/>
    </row>
    <row r="75" spans="8:44" s="387" customFormat="1" hidden="1">
      <c r="H75" s="561"/>
      <c r="I75" s="556"/>
      <c r="J75" s="706"/>
      <c r="K75" s="706"/>
      <c r="L75" s="706"/>
      <c r="M75" s="706"/>
      <c r="N75" s="706"/>
      <c r="O75" s="706"/>
      <c r="P75" s="706"/>
      <c r="Q75" s="706"/>
      <c r="R75" s="706"/>
      <c r="S75" s="706"/>
      <c r="T75" s="706"/>
      <c r="U75" s="706"/>
      <c r="V75" s="706"/>
      <c r="W75" s="706"/>
      <c r="X75" s="706"/>
      <c r="Y75" s="706"/>
      <c r="Z75" s="706"/>
      <c r="AA75" s="706"/>
      <c r="AB75" s="706"/>
      <c r="AC75" s="706"/>
      <c r="AD75" s="706"/>
      <c r="AE75" s="706"/>
      <c r="AF75" s="706"/>
      <c r="AG75" s="706"/>
      <c r="AH75" s="706"/>
      <c r="AI75" s="706"/>
      <c r="AJ75" s="706"/>
      <c r="AK75" s="706"/>
      <c r="AL75" s="706"/>
      <c r="AM75" s="706"/>
      <c r="AN75" s="706"/>
      <c r="AO75" s="706"/>
      <c r="AP75" s="706"/>
      <c r="AQ75" s="706"/>
      <c r="AR75" s="706"/>
    </row>
    <row r="76" spans="8:44" s="387" customFormat="1" hidden="1">
      <c r="H76" s="561"/>
      <c r="I76" s="556"/>
      <c r="J76" s="706"/>
      <c r="K76" s="706"/>
      <c r="L76" s="706"/>
      <c r="M76" s="706"/>
      <c r="N76" s="706"/>
      <c r="O76" s="706"/>
      <c r="P76" s="706"/>
      <c r="Q76" s="706"/>
      <c r="R76" s="706"/>
      <c r="S76" s="706"/>
      <c r="T76" s="706"/>
      <c r="U76" s="706"/>
      <c r="V76" s="706"/>
      <c r="W76" s="706"/>
      <c r="X76" s="706"/>
      <c r="Y76" s="706"/>
      <c r="Z76" s="706"/>
      <c r="AA76" s="706"/>
      <c r="AB76" s="706"/>
      <c r="AC76" s="706"/>
      <c r="AD76" s="706"/>
      <c r="AE76" s="706"/>
      <c r="AF76" s="706"/>
      <c r="AG76" s="706"/>
      <c r="AH76" s="706"/>
      <c r="AI76" s="706"/>
      <c r="AJ76" s="706"/>
      <c r="AK76" s="706"/>
      <c r="AL76" s="706"/>
      <c r="AM76" s="706"/>
      <c r="AN76" s="706"/>
      <c r="AO76" s="706"/>
      <c r="AP76" s="706"/>
      <c r="AQ76" s="706"/>
      <c r="AR76" s="706"/>
    </row>
    <row r="77" spans="8:44" s="387" customFormat="1" hidden="1">
      <c r="H77" s="561"/>
      <c r="I77" s="556"/>
      <c r="J77" s="706"/>
      <c r="K77" s="706"/>
      <c r="L77" s="706"/>
      <c r="M77" s="706"/>
      <c r="N77" s="706"/>
      <c r="O77" s="706"/>
      <c r="P77" s="706"/>
      <c r="Q77" s="706"/>
      <c r="R77" s="706"/>
      <c r="S77" s="706"/>
      <c r="T77" s="706"/>
      <c r="U77" s="706"/>
      <c r="V77" s="706"/>
      <c r="W77" s="706"/>
      <c r="X77" s="706"/>
      <c r="Y77" s="706"/>
      <c r="Z77" s="706"/>
      <c r="AA77" s="706"/>
      <c r="AB77" s="706"/>
      <c r="AC77" s="706"/>
      <c r="AD77" s="706"/>
      <c r="AE77" s="706"/>
      <c r="AF77" s="706"/>
      <c r="AG77" s="706"/>
      <c r="AH77" s="706"/>
      <c r="AI77" s="706"/>
      <c r="AJ77" s="706"/>
      <c r="AK77" s="706"/>
      <c r="AL77" s="706"/>
      <c r="AM77" s="706"/>
      <c r="AN77" s="706"/>
      <c r="AO77" s="706"/>
      <c r="AP77" s="706"/>
      <c r="AQ77" s="706"/>
      <c r="AR77" s="706"/>
    </row>
    <row r="78" spans="8:44" s="387" customFormat="1" hidden="1">
      <c r="H78" s="561"/>
      <c r="I78" s="556"/>
      <c r="J78" s="706"/>
      <c r="K78" s="706"/>
      <c r="L78" s="706"/>
      <c r="M78" s="706"/>
      <c r="N78" s="706"/>
      <c r="O78" s="706"/>
      <c r="P78" s="706"/>
      <c r="Q78" s="706"/>
      <c r="R78" s="706"/>
      <c r="S78" s="706"/>
      <c r="T78" s="706"/>
      <c r="U78" s="706"/>
      <c r="V78" s="706"/>
      <c r="W78" s="706"/>
      <c r="X78" s="706"/>
      <c r="Y78" s="706"/>
      <c r="Z78" s="706"/>
      <c r="AA78" s="706"/>
      <c r="AB78" s="706"/>
      <c r="AC78" s="706"/>
      <c r="AD78" s="706"/>
      <c r="AE78" s="706"/>
      <c r="AF78" s="706"/>
      <c r="AG78" s="706"/>
      <c r="AH78" s="706"/>
      <c r="AI78" s="706"/>
      <c r="AJ78" s="706"/>
      <c r="AK78" s="706"/>
      <c r="AL78" s="706"/>
      <c r="AM78" s="706"/>
      <c r="AN78" s="706"/>
      <c r="AO78" s="706"/>
      <c r="AP78" s="706"/>
      <c r="AQ78" s="706"/>
      <c r="AR78" s="706"/>
    </row>
    <row r="79" spans="8:44" s="387" customFormat="1" hidden="1">
      <c r="H79" s="561"/>
      <c r="I79" s="556"/>
      <c r="J79" s="706"/>
      <c r="K79" s="706"/>
      <c r="L79" s="706"/>
      <c r="M79" s="706"/>
      <c r="N79" s="706"/>
      <c r="O79" s="706"/>
      <c r="P79" s="706"/>
      <c r="Q79" s="706"/>
      <c r="R79" s="706"/>
      <c r="S79" s="706"/>
      <c r="T79" s="706"/>
      <c r="U79" s="706"/>
      <c r="V79" s="706"/>
      <c r="W79" s="706"/>
      <c r="X79" s="706"/>
      <c r="Y79" s="706"/>
      <c r="Z79" s="706"/>
      <c r="AA79" s="706"/>
      <c r="AB79" s="706"/>
      <c r="AC79" s="706"/>
      <c r="AD79" s="706"/>
      <c r="AE79" s="706"/>
      <c r="AF79" s="706"/>
      <c r="AG79" s="706"/>
      <c r="AH79" s="706"/>
      <c r="AI79" s="706"/>
      <c r="AJ79" s="706"/>
      <c r="AK79" s="706"/>
      <c r="AL79" s="706"/>
      <c r="AM79" s="706"/>
      <c r="AN79" s="706"/>
      <c r="AO79" s="706"/>
      <c r="AP79" s="706"/>
      <c r="AQ79" s="706"/>
      <c r="AR79" s="706"/>
    </row>
    <row r="80" spans="8:44" s="387" customFormat="1" hidden="1">
      <c r="H80" s="561"/>
      <c r="I80" s="556"/>
      <c r="J80" s="706"/>
      <c r="K80" s="706"/>
      <c r="L80" s="706"/>
      <c r="M80" s="706"/>
      <c r="N80" s="706"/>
      <c r="O80" s="706"/>
      <c r="P80" s="706"/>
      <c r="Q80" s="706"/>
      <c r="R80" s="706"/>
      <c r="S80" s="706"/>
      <c r="T80" s="706"/>
      <c r="U80" s="706"/>
      <c r="V80" s="706"/>
      <c r="W80" s="706"/>
      <c r="X80" s="706"/>
      <c r="Y80" s="706"/>
      <c r="Z80" s="706"/>
      <c r="AA80" s="706"/>
      <c r="AB80" s="706"/>
      <c r="AC80" s="706"/>
      <c r="AD80" s="706"/>
      <c r="AE80" s="706"/>
      <c r="AF80" s="706"/>
      <c r="AG80" s="706"/>
      <c r="AH80" s="706"/>
      <c r="AI80" s="706"/>
      <c r="AJ80" s="706"/>
      <c r="AK80" s="706"/>
      <c r="AL80" s="706"/>
      <c r="AM80" s="706"/>
      <c r="AN80" s="706"/>
      <c r="AO80" s="706"/>
      <c r="AP80" s="706"/>
      <c r="AQ80" s="706"/>
      <c r="AR80" s="706"/>
    </row>
    <row r="81" spans="8:44" s="387" customFormat="1" hidden="1">
      <c r="H81" s="561"/>
      <c r="I81" s="556"/>
      <c r="J81" s="706"/>
      <c r="K81" s="706"/>
      <c r="L81" s="706"/>
      <c r="M81" s="706"/>
      <c r="N81" s="706"/>
      <c r="O81" s="706"/>
      <c r="P81" s="706"/>
      <c r="Q81" s="706"/>
      <c r="R81" s="706"/>
      <c r="S81" s="706"/>
      <c r="T81" s="706"/>
      <c r="U81" s="706"/>
      <c r="V81" s="706"/>
      <c r="W81" s="706"/>
      <c r="X81" s="706"/>
      <c r="Y81" s="706"/>
      <c r="Z81" s="706"/>
      <c r="AA81" s="706"/>
      <c r="AB81" s="706"/>
      <c r="AC81" s="706"/>
      <c r="AD81" s="706"/>
      <c r="AE81" s="706"/>
      <c r="AF81" s="706"/>
      <c r="AG81" s="706"/>
      <c r="AH81" s="706"/>
      <c r="AI81" s="706"/>
      <c r="AJ81" s="706"/>
      <c r="AK81" s="706"/>
      <c r="AL81" s="706"/>
      <c r="AM81" s="706"/>
      <c r="AN81" s="706"/>
      <c r="AO81" s="706"/>
      <c r="AP81" s="706"/>
      <c r="AQ81" s="706"/>
      <c r="AR81" s="706"/>
    </row>
    <row r="82" spans="8:44" s="387" customFormat="1" hidden="1">
      <c r="H82" s="561"/>
      <c r="I82" s="556"/>
      <c r="J82" s="706"/>
      <c r="K82" s="706"/>
      <c r="L82" s="706"/>
      <c r="M82" s="706"/>
      <c r="N82" s="706"/>
      <c r="O82" s="706"/>
      <c r="P82" s="706"/>
      <c r="Q82" s="706"/>
      <c r="R82" s="706"/>
      <c r="S82" s="706"/>
      <c r="T82" s="706"/>
      <c r="U82" s="706"/>
      <c r="V82" s="706"/>
      <c r="W82" s="706"/>
      <c r="X82" s="706"/>
      <c r="Y82" s="706"/>
      <c r="Z82" s="706"/>
      <c r="AA82" s="706"/>
      <c r="AB82" s="706"/>
      <c r="AC82" s="706"/>
      <c r="AD82" s="706"/>
      <c r="AE82" s="706"/>
      <c r="AF82" s="706"/>
      <c r="AG82" s="706"/>
      <c r="AH82" s="706"/>
      <c r="AI82" s="706"/>
      <c r="AJ82" s="706"/>
      <c r="AK82" s="706"/>
      <c r="AL82" s="706"/>
      <c r="AM82" s="706"/>
      <c r="AN82" s="706"/>
      <c r="AO82" s="706"/>
      <c r="AP82" s="706"/>
      <c r="AQ82" s="706"/>
      <c r="AR82" s="706"/>
    </row>
    <row r="83" spans="8:44" s="387" customFormat="1" hidden="1">
      <c r="H83" s="561"/>
      <c r="I83" s="556"/>
      <c r="J83" s="706"/>
      <c r="K83" s="706"/>
      <c r="L83" s="706"/>
      <c r="M83" s="706"/>
      <c r="N83" s="706"/>
      <c r="O83" s="706"/>
      <c r="P83" s="706"/>
      <c r="Q83" s="706"/>
      <c r="R83" s="706"/>
      <c r="S83" s="706"/>
      <c r="T83" s="706"/>
      <c r="U83" s="706"/>
      <c r="V83" s="706"/>
      <c r="W83" s="706"/>
      <c r="X83" s="706"/>
      <c r="Y83" s="706"/>
      <c r="Z83" s="706"/>
      <c r="AA83" s="706"/>
      <c r="AB83" s="706"/>
      <c r="AC83" s="706"/>
      <c r="AD83" s="706"/>
      <c r="AE83" s="706"/>
      <c r="AF83" s="706"/>
      <c r="AG83" s="706"/>
      <c r="AH83" s="706"/>
      <c r="AI83" s="706"/>
      <c r="AJ83" s="706"/>
      <c r="AK83" s="706"/>
      <c r="AL83" s="706"/>
      <c r="AM83" s="706"/>
      <c r="AN83" s="706"/>
      <c r="AO83" s="706"/>
      <c r="AP83" s="706"/>
      <c r="AQ83" s="706"/>
      <c r="AR83" s="706"/>
    </row>
    <row r="84" spans="8:44" s="387" customFormat="1" hidden="1">
      <c r="H84" s="561"/>
      <c r="I84" s="556"/>
      <c r="J84" s="706"/>
      <c r="K84" s="706"/>
      <c r="L84" s="706"/>
      <c r="M84" s="706"/>
      <c r="N84" s="706"/>
      <c r="O84" s="706"/>
      <c r="P84" s="706"/>
      <c r="Q84" s="706"/>
      <c r="R84" s="706"/>
      <c r="S84" s="706"/>
      <c r="T84" s="706"/>
      <c r="U84" s="706"/>
      <c r="V84" s="706"/>
      <c r="W84" s="706"/>
      <c r="X84" s="706"/>
      <c r="Y84" s="706"/>
      <c r="Z84" s="706"/>
      <c r="AA84" s="706"/>
      <c r="AB84" s="706"/>
      <c r="AC84" s="706"/>
      <c r="AD84" s="706"/>
      <c r="AE84" s="706"/>
      <c r="AF84" s="706"/>
      <c r="AG84" s="706"/>
      <c r="AH84" s="706"/>
      <c r="AI84" s="706"/>
      <c r="AJ84" s="706"/>
      <c r="AK84" s="706"/>
      <c r="AL84" s="706"/>
      <c r="AM84" s="706"/>
      <c r="AN84" s="706"/>
      <c r="AO84" s="706"/>
      <c r="AP84" s="706"/>
      <c r="AQ84" s="706"/>
      <c r="AR84" s="706"/>
    </row>
    <row r="85" spans="8:44" s="387" customFormat="1" hidden="1">
      <c r="H85" s="561"/>
      <c r="I85" s="556"/>
      <c r="J85" s="706"/>
      <c r="K85" s="706"/>
      <c r="L85" s="706"/>
      <c r="M85" s="706"/>
      <c r="N85" s="706"/>
      <c r="O85" s="706"/>
      <c r="P85" s="706"/>
      <c r="Q85" s="706"/>
      <c r="R85" s="706"/>
      <c r="S85" s="706"/>
      <c r="T85" s="706"/>
      <c r="U85" s="706"/>
      <c r="V85" s="706"/>
      <c r="W85" s="706"/>
      <c r="X85" s="706"/>
      <c r="Y85" s="706"/>
      <c r="Z85" s="706"/>
      <c r="AA85" s="706"/>
      <c r="AB85" s="706"/>
      <c r="AC85" s="706"/>
      <c r="AD85" s="706"/>
      <c r="AE85" s="706"/>
      <c r="AF85" s="706"/>
      <c r="AG85" s="706"/>
      <c r="AH85" s="706"/>
      <c r="AI85" s="706"/>
      <c r="AJ85" s="706"/>
      <c r="AK85" s="706"/>
      <c r="AL85" s="706"/>
      <c r="AM85" s="706"/>
      <c r="AN85" s="706"/>
      <c r="AO85" s="706"/>
      <c r="AP85" s="706"/>
      <c r="AQ85" s="706"/>
      <c r="AR85" s="706"/>
    </row>
    <row r="86" spans="8:44" s="387" customFormat="1" hidden="1">
      <c r="H86" s="561"/>
      <c r="I86" s="556"/>
      <c r="J86" s="706"/>
      <c r="K86" s="706"/>
      <c r="L86" s="706"/>
      <c r="M86" s="706"/>
      <c r="N86" s="706"/>
      <c r="O86" s="706"/>
      <c r="P86" s="706"/>
      <c r="Q86" s="706"/>
      <c r="R86" s="706"/>
      <c r="S86" s="706"/>
      <c r="T86" s="706"/>
      <c r="U86" s="706"/>
      <c r="V86" s="706"/>
      <c r="W86" s="706"/>
      <c r="X86" s="706"/>
      <c r="Y86" s="706"/>
      <c r="Z86" s="706"/>
      <c r="AA86" s="706"/>
      <c r="AB86" s="706"/>
      <c r="AC86" s="706"/>
      <c r="AD86" s="706"/>
      <c r="AE86" s="706"/>
      <c r="AF86" s="706"/>
      <c r="AG86" s="706"/>
      <c r="AH86" s="706"/>
      <c r="AI86" s="706"/>
      <c r="AJ86" s="706"/>
      <c r="AK86" s="706"/>
      <c r="AL86" s="706"/>
      <c r="AM86" s="706"/>
      <c r="AN86" s="706"/>
      <c r="AO86" s="706"/>
      <c r="AP86" s="706"/>
      <c r="AQ86" s="706"/>
      <c r="AR86" s="706"/>
    </row>
    <row r="87" spans="8:44" s="387" customFormat="1" hidden="1">
      <c r="H87" s="561"/>
      <c r="I87" s="556"/>
      <c r="J87" s="706"/>
      <c r="K87" s="706"/>
      <c r="L87" s="706"/>
      <c r="M87" s="706"/>
      <c r="N87" s="706"/>
      <c r="O87" s="706"/>
      <c r="P87" s="706"/>
      <c r="Q87" s="706"/>
      <c r="R87" s="706"/>
      <c r="S87" s="706"/>
      <c r="T87" s="706"/>
      <c r="U87" s="706"/>
      <c r="V87" s="706"/>
      <c r="W87" s="706"/>
      <c r="X87" s="706"/>
      <c r="Y87" s="706"/>
      <c r="Z87" s="706"/>
      <c r="AA87" s="706"/>
      <c r="AB87" s="706"/>
      <c r="AC87" s="706"/>
      <c r="AD87" s="706"/>
      <c r="AE87" s="706"/>
      <c r="AF87" s="706"/>
      <c r="AG87" s="706"/>
      <c r="AH87" s="706"/>
      <c r="AI87" s="706"/>
      <c r="AJ87" s="706"/>
      <c r="AK87" s="706"/>
      <c r="AL87" s="706"/>
      <c r="AM87" s="706"/>
      <c r="AN87" s="706"/>
      <c r="AO87" s="706"/>
      <c r="AP87" s="706"/>
      <c r="AQ87" s="706"/>
      <c r="AR87" s="706"/>
    </row>
    <row r="88" spans="8:44" s="387" customFormat="1" hidden="1">
      <c r="H88" s="561"/>
      <c r="I88" s="556"/>
      <c r="J88" s="706"/>
      <c r="K88" s="706"/>
      <c r="L88" s="706"/>
      <c r="M88" s="706"/>
      <c r="N88" s="706"/>
      <c r="O88" s="706"/>
      <c r="P88" s="706"/>
      <c r="Q88" s="706"/>
      <c r="R88" s="706"/>
      <c r="S88" s="706"/>
      <c r="T88" s="706"/>
      <c r="U88" s="706"/>
      <c r="V88" s="706"/>
      <c r="W88" s="706"/>
      <c r="X88" s="706"/>
      <c r="Y88" s="706"/>
      <c r="Z88" s="706"/>
      <c r="AA88" s="706"/>
      <c r="AB88" s="706"/>
      <c r="AC88" s="706"/>
      <c r="AD88" s="706"/>
      <c r="AE88" s="706"/>
      <c r="AF88" s="706"/>
      <c r="AG88" s="706"/>
      <c r="AH88" s="706"/>
      <c r="AI88" s="706"/>
      <c r="AJ88" s="706"/>
      <c r="AK88" s="706"/>
      <c r="AL88" s="706"/>
      <c r="AM88" s="706"/>
      <c r="AN88" s="706"/>
      <c r="AO88" s="706"/>
      <c r="AP88" s="706"/>
      <c r="AQ88" s="706"/>
      <c r="AR88" s="706"/>
    </row>
    <row r="89" spans="8:44" s="387" customFormat="1" hidden="1">
      <c r="H89" s="561"/>
      <c r="I89" s="556"/>
      <c r="J89" s="706"/>
      <c r="K89" s="706"/>
      <c r="L89" s="706"/>
      <c r="M89" s="706"/>
      <c r="N89" s="706"/>
      <c r="O89" s="706"/>
      <c r="P89" s="706"/>
      <c r="Q89" s="706"/>
      <c r="R89" s="706"/>
      <c r="S89" s="706"/>
      <c r="T89" s="706"/>
      <c r="U89" s="706"/>
      <c r="V89" s="706"/>
      <c r="W89" s="706"/>
      <c r="X89" s="706"/>
      <c r="Y89" s="706"/>
      <c r="Z89" s="706"/>
      <c r="AA89" s="706"/>
      <c r="AB89" s="706"/>
      <c r="AC89" s="706"/>
      <c r="AD89" s="706"/>
      <c r="AE89" s="706"/>
      <c r="AF89" s="706"/>
      <c r="AG89" s="706"/>
      <c r="AH89" s="706"/>
      <c r="AI89" s="706"/>
      <c r="AJ89" s="706"/>
      <c r="AK89" s="706"/>
      <c r="AL89" s="706"/>
      <c r="AM89" s="706"/>
      <c r="AN89" s="706"/>
      <c r="AO89" s="706"/>
      <c r="AP89" s="706"/>
      <c r="AQ89" s="706"/>
      <c r="AR89" s="706"/>
    </row>
    <row r="90" spans="8:44" s="387" customFormat="1" hidden="1">
      <c r="H90" s="561"/>
      <c r="I90" s="556"/>
      <c r="J90" s="706"/>
      <c r="K90" s="706"/>
      <c r="L90" s="706"/>
      <c r="M90" s="706"/>
      <c r="N90" s="706"/>
      <c r="O90" s="706"/>
      <c r="P90" s="706"/>
      <c r="Q90" s="706"/>
      <c r="R90" s="706"/>
      <c r="S90" s="706"/>
      <c r="T90" s="706"/>
      <c r="U90" s="706"/>
      <c r="V90" s="706"/>
      <c r="W90" s="706"/>
      <c r="X90" s="706"/>
      <c r="Y90" s="706"/>
      <c r="Z90" s="706"/>
      <c r="AA90" s="706"/>
      <c r="AB90" s="706"/>
      <c r="AC90" s="706"/>
      <c r="AD90" s="706"/>
      <c r="AE90" s="706"/>
      <c r="AF90" s="706"/>
      <c r="AG90" s="706"/>
      <c r="AH90" s="706"/>
      <c r="AI90" s="706"/>
      <c r="AJ90" s="706"/>
      <c r="AK90" s="706"/>
      <c r="AL90" s="706"/>
      <c r="AM90" s="706"/>
      <c r="AN90" s="706"/>
      <c r="AO90" s="706"/>
      <c r="AP90" s="706"/>
      <c r="AQ90" s="706"/>
      <c r="AR90" s="706"/>
    </row>
    <row r="91" spans="8:44" s="387" customFormat="1" hidden="1">
      <c r="H91" s="561"/>
      <c r="I91" s="556"/>
      <c r="J91" s="706"/>
      <c r="K91" s="706"/>
      <c r="L91" s="706"/>
      <c r="M91" s="706"/>
      <c r="N91" s="706"/>
      <c r="O91" s="706"/>
      <c r="P91" s="706"/>
      <c r="Q91" s="706"/>
      <c r="R91" s="706"/>
      <c r="S91" s="706"/>
      <c r="T91" s="706"/>
      <c r="U91" s="706"/>
      <c r="V91" s="706"/>
      <c r="W91" s="706"/>
      <c r="X91" s="706"/>
      <c r="Y91" s="706"/>
      <c r="Z91" s="706"/>
      <c r="AA91" s="706"/>
      <c r="AB91" s="706"/>
      <c r="AC91" s="706"/>
      <c r="AD91" s="706"/>
      <c r="AE91" s="706"/>
      <c r="AF91" s="706"/>
      <c r="AG91" s="706"/>
      <c r="AH91" s="706"/>
      <c r="AI91" s="706"/>
      <c r="AJ91" s="706"/>
      <c r="AK91" s="706"/>
      <c r="AL91" s="706"/>
      <c r="AM91" s="706"/>
      <c r="AN91" s="706"/>
      <c r="AO91" s="706"/>
      <c r="AP91" s="706"/>
      <c r="AQ91" s="706"/>
      <c r="AR91" s="706"/>
    </row>
    <row r="92" spans="8:44" s="387" customFormat="1" hidden="1">
      <c r="H92" s="561"/>
      <c r="I92" s="556"/>
      <c r="J92" s="706"/>
      <c r="K92" s="706"/>
      <c r="L92" s="706"/>
      <c r="M92" s="706"/>
      <c r="N92" s="706"/>
      <c r="O92" s="706"/>
      <c r="P92" s="706"/>
      <c r="Q92" s="706"/>
      <c r="R92" s="706"/>
      <c r="S92" s="706"/>
      <c r="T92" s="706"/>
      <c r="U92" s="706"/>
      <c r="V92" s="706"/>
      <c r="W92" s="706"/>
      <c r="X92" s="706"/>
      <c r="Y92" s="706"/>
      <c r="Z92" s="706"/>
      <c r="AA92" s="706"/>
      <c r="AB92" s="706"/>
      <c r="AC92" s="706"/>
      <c r="AD92" s="706"/>
      <c r="AE92" s="706"/>
      <c r="AF92" s="706"/>
      <c r="AG92" s="706"/>
      <c r="AH92" s="706"/>
      <c r="AI92" s="706"/>
      <c r="AJ92" s="706"/>
      <c r="AK92" s="706"/>
      <c r="AL92" s="706"/>
      <c r="AM92" s="706"/>
      <c r="AN92" s="706"/>
      <c r="AO92" s="706"/>
      <c r="AP92" s="706"/>
      <c r="AQ92" s="706"/>
      <c r="AR92" s="706"/>
    </row>
    <row r="93" spans="8:44" s="387" customFormat="1" hidden="1">
      <c r="H93" s="561"/>
      <c r="I93" s="556"/>
      <c r="J93" s="706"/>
      <c r="K93" s="706"/>
      <c r="L93" s="706"/>
      <c r="M93" s="706"/>
      <c r="N93" s="706"/>
      <c r="O93" s="706"/>
      <c r="P93" s="706"/>
      <c r="Q93" s="706"/>
      <c r="R93" s="706"/>
      <c r="S93" s="706"/>
      <c r="T93" s="706"/>
      <c r="U93" s="706"/>
      <c r="V93" s="706"/>
      <c r="W93" s="706"/>
      <c r="X93" s="706"/>
      <c r="Y93" s="706"/>
      <c r="Z93" s="706"/>
      <c r="AA93" s="706"/>
      <c r="AB93" s="706"/>
      <c r="AC93" s="706"/>
      <c r="AD93" s="706"/>
      <c r="AE93" s="706"/>
      <c r="AF93" s="706"/>
      <c r="AG93" s="706"/>
      <c r="AH93" s="706"/>
      <c r="AI93" s="706"/>
      <c r="AJ93" s="706"/>
      <c r="AK93" s="706"/>
      <c r="AL93" s="706"/>
      <c r="AM93" s="706"/>
      <c r="AN93" s="706"/>
      <c r="AO93" s="706"/>
      <c r="AP93" s="706"/>
      <c r="AQ93" s="706"/>
      <c r="AR93" s="706"/>
    </row>
    <row r="94" spans="8:44" s="387" customFormat="1" hidden="1">
      <c r="H94" s="561"/>
      <c r="I94" s="556"/>
      <c r="J94" s="706"/>
      <c r="K94" s="706"/>
      <c r="L94" s="706"/>
      <c r="M94" s="706"/>
      <c r="N94" s="706"/>
      <c r="O94" s="706"/>
      <c r="P94" s="706"/>
      <c r="Q94" s="706"/>
      <c r="R94" s="706"/>
      <c r="S94" s="706"/>
      <c r="T94" s="706"/>
      <c r="U94" s="706"/>
      <c r="V94" s="706"/>
      <c r="W94" s="706"/>
      <c r="X94" s="706"/>
      <c r="Y94" s="706"/>
      <c r="Z94" s="706"/>
      <c r="AA94" s="706"/>
      <c r="AB94" s="706"/>
      <c r="AC94" s="706"/>
      <c r="AD94" s="706"/>
      <c r="AE94" s="706"/>
      <c r="AF94" s="706"/>
      <c r="AG94" s="706"/>
      <c r="AH94" s="706"/>
      <c r="AI94" s="706"/>
      <c r="AJ94" s="706"/>
      <c r="AK94" s="706"/>
      <c r="AL94" s="706"/>
      <c r="AM94" s="706"/>
      <c r="AN94" s="706"/>
      <c r="AO94" s="706"/>
      <c r="AP94" s="706"/>
      <c r="AQ94" s="706"/>
      <c r="AR94" s="706"/>
    </row>
    <row r="95" spans="8:44" s="387" customFormat="1" hidden="1">
      <c r="H95" s="561"/>
      <c r="I95" s="556"/>
      <c r="J95" s="706"/>
      <c r="K95" s="706"/>
      <c r="L95" s="706"/>
      <c r="M95" s="706"/>
      <c r="N95" s="706"/>
      <c r="O95" s="706"/>
      <c r="P95" s="706"/>
      <c r="Q95" s="706"/>
      <c r="R95" s="706"/>
      <c r="S95" s="706"/>
      <c r="T95" s="706"/>
      <c r="U95" s="706"/>
      <c r="V95" s="706"/>
      <c r="W95" s="706"/>
      <c r="X95" s="706"/>
      <c r="Y95" s="706"/>
      <c r="Z95" s="706"/>
      <c r="AA95" s="706"/>
      <c r="AB95" s="706"/>
      <c r="AC95" s="706"/>
      <c r="AD95" s="706"/>
      <c r="AE95" s="706"/>
      <c r="AF95" s="706"/>
      <c r="AG95" s="706"/>
      <c r="AH95" s="706"/>
      <c r="AI95" s="706"/>
      <c r="AJ95" s="706"/>
      <c r="AK95" s="706"/>
      <c r="AL95" s="706"/>
      <c r="AM95" s="706"/>
      <c r="AN95" s="706"/>
      <c r="AO95" s="706"/>
      <c r="AP95" s="706"/>
      <c r="AQ95" s="706"/>
      <c r="AR95" s="706"/>
    </row>
    <row r="96" spans="8:44" s="387" customFormat="1" hidden="1">
      <c r="H96" s="561"/>
      <c r="I96" s="556"/>
      <c r="J96" s="706"/>
      <c r="K96" s="706"/>
      <c r="L96" s="706"/>
      <c r="M96" s="706"/>
      <c r="N96" s="706"/>
      <c r="O96" s="706"/>
      <c r="P96" s="706"/>
      <c r="Q96" s="706"/>
      <c r="R96" s="706"/>
      <c r="S96" s="706"/>
      <c r="T96" s="706"/>
      <c r="U96" s="706"/>
      <c r="V96" s="706"/>
      <c r="W96" s="706"/>
      <c r="X96" s="706"/>
      <c r="Y96" s="706"/>
      <c r="Z96" s="706"/>
      <c r="AA96" s="706"/>
      <c r="AB96" s="706"/>
      <c r="AC96" s="706"/>
      <c r="AD96" s="706"/>
      <c r="AE96" s="706"/>
      <c r="AF96" s="706"/>
      <c r="AG96" s="706"/>
      <c r="AH96" s="706"/>
      <c r="AI96" s="706"/>
      <c r="AJ96" s="706"/>
      <c r="AK96" s="706"/>
      <c r="AL96" s="706"/>
      <c r="AM96" s="706"/>
      <c r="AN96" s="706"/>
      <c r="AO96" s="706"/>
      <c r="AP96" s="706"/>
      <c r="AQ96" s="706"/>
      <c r="AR96" s="706"/>
    </row>
    <row r="97" spans="8:44" s="387" customFormat="1" hidden="1">
      <c r="H97" s="561"/>
      <c r="I97" s="556"/>
      <c r="J97" s="706"/>
      <c r="K97" s="706"/>
      <c r="L97" s="706"/>
      <c r="M97" s="706"/>
      <c r="N97" s="706"/>
      <c r="O97" s="706"/>
      <c r="P97" s="706"/>
      <c r="Q97" s="706"/>
      <c r="R97" s="706"/>
      <c r="S97" s="706"/>
      <c r="T97" s="706"/>
      <c r="U97" s="706"/>
      <c r="V97" s="706"/>
      <c r="W97" s="706"/>
      <c r="X97" s="706"/>
      <c r="Y97" s="706"/>
      <c r="Z97" s="706"/>
      <c r="AA97" s="706"/>
      <c r="AB97" s="706"/>
      <c r="AC97" s="706"/>
      <c r="AD97" s="706"/>
      <c r="AE97" s="706"/>
      <c r="AF97" s="706"/>
      <c r="AG97" s="706"/>
      <c r="AH97" s="706"/>
      <c r="AI97" s="706"/>
      <c r="AJ97" s="706"/>
      <c r="AK97" s="706"/>
      <c r="AL97" s="706"/>
      <c r="AM97" s="706"/>
      <c r="AN97" s="706"/>
      <c r="AO97" s="706"/>
      <c r="AP97" s="706"/>
      <c r="AQ97" s="706"/>
      <c r="AR97" s="706"/>
    </row>
    <row r="98" spans="8:44" s="387" customFormat="1" hidden="1">
      <c r="H98" s="561"/>
      <c r="I98" s="556"/>
      <c r="J98" s="706"/>
      <c r="K98" s="706"/>
      <c r="L98" s="706"/>
      <c r="M98" s="706"/>
      <c r="N98" s="706"/>
      <c r="O98" s="706"/>
      <c r="P98" s="706"/>
      <c r="Q98" s="706"/>
      <c r="R98" s="706"/>
      <c r="S98" s="706"/>
      <c r="T98" s="706"/>
      <c r="U98" s="706"/>
      <c r="V98" s="706"/>
      <c r="W98" s="706"/>
      <c r="X98" s="706"/>
      <c r="Y98" s="706"/>
      <c r="Z98" s="706"/>
      <c r="AA98" s="706"/>
      <c r="AB98" s="706"/>
      <c r="AC98" s="706"/>
      <c r="AD98" s="706"/>
      <c r="AE98" s="706"/>
      <c r="AF98" s="706"/>
      <c r="AG98" s="706"/>
      <c r="AH98" s="706"/>
      <c r="AI98" s="706"/>
      <c r="AJ98" s="706"/>
      <c r="AK98" s="706"/>
      <c r="AL98" s="706"/>
      <c r="AM98" s="706"/>
      <c r="AN98" s="706"/>
      <c r="AO98" s="706"/>
      <c r="AP98" s="706"/>
      <c r="AQ98" s="706"/>
      <c r="AR98" s="706"/>
    </row>
    <row r="99" spans="8:44" s="387" customFormat="1" hidden="1">
      <c r="H99" s="561"/>
      <c r="I99" s="556"/>
      <c r="J99" s="706"/>
      <c r="K99" s="706"/>
      <c r="L99" s="706"/>
      <c r="M99" s="706"/>
      <c r="N99" s="706"/>
      <c r="O99" s="706"/>
      <c r="P99" s="706"/>
      <c r="Q99" s="706"/>
      <c r="R99" s="706"/>
      <c r="S99" s="706"/>
      <c r="T99" s="706"/>
      <c r="U99" s="706"/>
      <c r="V99" s="706"/>
      <c r="W99" s="706"/>
      <c r="X99" s="706"/>
      <c r="Y99" s="706"/>
      <c r="Z99" s="706"/>
      <c r="AA99" s="706"/>
      <c r="AB99" s="706"/>
      <c r="AC99" s="706"/>
      <c r="AD99" s="706"/>
      <c r="AE99" s="706"/>
      <c r="AF99" s="706"/>
      <c r="AG99" s="706"/>
      <c r="AH99" s="706"/>
      <c r="AI99" s="706"/>
      <c r="AJ99" s="706"/>
      <c r="AK99" s="706"/>
      <c r="AL99" s="706"/>
      <c r="AM99" s="706"/>
      <c r="AN99" s="706"/>
      <c r="AO99" s="706"/>
      <c r="AP99" s="706"/>
      <c r="AQ99" s="706"/>
      <c r="AR99" s="706"/>
    </row>
    <row r="100" spans="8:44" s="387" customFormat="1" hidden="1">
      <c r="H100" s="561"/>
      <c r="I100" s="556"/>
      <c r="J100" s="706"/>
      <c r="K100" s="706"/>
      <c r="L100" s="706"/>
      <c r="M100" s="706"/>
      <c r="N100" s="706"/>
      <c r="O100" s="706"/>
      <c r="P100" s="706"/>
      <c r="Q100" s="706"/>
      <c r="R100" s="706"/>
      <c r="S100" s="706"/>
      <c r="T100" s="706"/>
      <c r="U100" s="706"/>
      <c r="V100" s="706"/>
      <c r="W100" s="706"/>
      <c r="X100" s="706"/>
      <c r="Y100" s="706"/>
      <c r="Z100" s="706"/>
      <c r="AA100" s="706"/>
      <c r="AB100" s="706"/>
      <c r="AC100" s="706"/>
      <c r="AD100" s="706"/>
      <c r="AE100" s="706"/>
      <c r="AF100" s="706"/>
      <c r="AG100" s="706"/>
      <c r="AH100" s="706"/>
      <c r="AI100" s="706"/>
      <c r="AJ100" s="706"/>
      <c r="AK100" s="706"/>
      <c r="AL100" s="706"/>
      <c r="AM100" s="706"/>
      <c r="AN100" s="706"/>
      <c r="AO100" s="706"/>
      <c r="AP100" s="706"/>
      <c r="AQ100" s="706"/>
      <c r="AR100" s="706"/>
    </row>
    <row r="101" spans="8:44" s="387" customFormat="1" hidden="1">
      <c r="H101" s="561"/>
      <c r="I101" s="55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s="706"/>
      <c r="AG101" s="706"/>
      <c r="AH101" s="706"/>
      <c r="AI101" s="706"/>
      <c r="AJ101" s="706"/>
      <c r="AK101" s="706"/>
      <c r="AL101" s="706"/>
      <c r="AM101" s="706"/>
      <c r="AN101" s="706"/>
      <c r="AO101" s="706"/>
      <c r="AP101" s="706"/>
      <c r="AQ101" s="706"/>
      <c r="AR101" s="706"/>
    </row>
    <row r="102" spans="8:44" s="387" customFormat="1" hidden="1">
      <c r="H102" s="561"/>
      <c r="I102" s="556"/>
      <c r="J102" s="706"/>
      <c r="K102" s="706"/>
      <c r="L102" s="706"/>
      <c r="M102" s="706"/>
      <c r="N102" s="706"/>
      <c r="O102" s="706"/>
      <c r="P102" s="706"/>
      <c r="Q102" s="706"/>
      <c r="R102" s="706"/>
      <c r="S102" s="706"/>
      <c r="T102" s="706"/>
      <c r="U102" s="706"/>
      <c r="V102" s="706"/>
      <c r="W102" s="706"/>
      <c r="X102" s="706"/>
      <c r="Y102" s="706"/>
      <c r="Z102" s="706"/>
      <c r="AA102" s="706"/>
      <c r="AB102" s="706"/>
      <c r="AC102" s="706"/>
      <c r="AD102" s="706"/>
      <c r="AE102" s="706"/>
      <c r="AF102" s="706"/>
      <c r="AG102" s="706"/>
      <c r="AH102" s="706"/>
      <c r="AI102" s="706"/>
      <c r="AJ102" s="706"/>
      <c r="AK102" s="706"/>
      <c r="AL102" s="706"/>
      <c r="AM102" s="706"/>
      <c r="AN102" s="706"/>
      <c r="AO102" s="706"/>
      <c r="AP102" s="706"/>
      <c r="AQ102" s="706"/>
      <c r="AR102" s="706"/>
    </row>
    <row r="103" spans="8:44" s="387" customFormat="1" hidden="1">
      <c r="H103" s="561"/>
      <c r="I103" s="556"/>
      <c r="J103" s="706"/>
      <c r="K103" s="706"/>
      <c r="L103" s="706"/>
      <c r="M103" s="706"/>
      <c r="N103" s="706"/>
      <c r="O103" s="706"/>
      <c r="P103" s="706"/>
      <c r="Q103" s="706"/>
      <c r="R103" s="706"/>
      <c r="S103" s="706"/>
      <c r="T103" s="706"/>
      <c r="U103" s="706"/>
      <c r="V103" s="706"/>
      <c r="W103" s="706"/>
      <c r="X103" s="706"/>
      <c r="Y103" s="706"/>
      <c r="Z103" s="706"/>
      <c r="AA103" s="706"/>
      <c r="AB103" s="706"/>
      <c r="AC103" s="706"/>
      <c r="AD103" s="706"/>
      <c r="AE103" s="706"/>
      <c r="AF103" s="706"/>
      <c r="AG103" s="706"/>
      <c r="AH103" s="706"/>
      <c r="AI103" s="706"/>
      <c r="AJ103" s="706"/>
      <c r="AK103" s="706"/>
      <c r="AL103" s="706"/>
      <c r="AM103" s="706"/>
      <c r="AN103" s="706"/>
      <c r="AO103" s="706"/>
      <c r="AP103" s="706"/>
      <c r="AQ103" s="706"/>
      <c r="AR103" s="706"/>
    </row>
    <row r="104" spans="8:44" s="387" customFormat="1" hidden="1">
      <c r="H104" s="561"/>
      <c r="I104" s="556"/>
      <c r="J104" s="706"/>
      <c r="K104" s="706"/>
      <c r="L104" s="706"/>
      <c r="M104" s="706"/>
      <c r="N104" s="706"/>
      <c r="O104" s="706"/>
      <c r="P104" s="706"/>
      <c r="Q104" s="706"/>
      <c r="R104" s="706"/>
      <c r="S104" s="706"/>
      <c r="T104" s="706"/>
      <c r="U104" s="706"/>
      <c r="V104" s="706"/>
      <c r="W104" s="706"/>
      <c r="X104" s="706"/>
      <c r="Y104" s="706"/>
      <c r="Z104" s="706"/>
      <c r="AA104" s="706"/>
      <c r="AB104" s="706"/>
      <c r="AC104" s="706"/>
      <c r="AD104" s="706"/>
      <c r="AE104" s="706"/>
      <c r="AF104" s="706"/>
      <c r="AG104" s="706"/>
      <c r="AH104" s="706"/>
      <c r="AI104" s="706"/>
      <c r="AJ104" s="706"/>
      <c r="AK104" s="706"/>
      <c r="AL104" s="706"/>
      <c r="AM104" s="706"/>
      <c r="AN104" s="706"/>
      <c r="AO104" s="706"/>
      <c r="AP104" s="706"/>
      <c r="AQ104" s="706"/>
      <c r="AR104" s="706"/>
    </row>
    <row r="105" spans="8:44" s="387" customFormat="1" hidden="1">
      <c r="H105" s="561"/>
      <c r="I105" s="556"/>
      <c r="J105" s="706"/>
      <c r="K105" s="706"/>
      <c r="L105" s="706"/>
      <c r="M105" s="706"/>
      <c r="N105" s="706"/>
      <c r="O105" s="706"/>
      <c r="P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N105" s="706"/>
      <c r="AO105" s="706"/>
      <c r="AP105" s="706"/>
      <c r="AQ105" s="706"/>
      <c r="AR105" s="706"/>
    </row>
    <row r="106" spans="8:44" s="387" customFormat="1" hidden="1">
      <c r="H106" s="561"/>
      <c r="I106" s="55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N106" s="706"/>
      <c r="AO106" s="706"/>
      <c r="AP106" s="706"/>
      <c r="AQ106" s="706"/>
      <c r="AR106" s="706"/>
    </row>
    <row r="107" spans="8:44" s="387" customFormat="1" hidden="1">
      <c r="H107" s="561"/>
      <c r="I107" s="556"/>
      <c r="J107" s="706"/>
      <c r="K107" s="706"/>
      <c r="L107" s="706"/>
      <c r="M107" s="706"/>
      <c r="N107" s="706"/>
      <c r="O107" s="706"/>
      <c r="P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N107" s="706"/>
      <c r="AO107" s="706"/>
      <c r="AP107" s="706"/>
      <c r="AQ107" s="706"/>
      <c r="AR107" s="706"/>
    </row>
    <row r="108" spans="8:44" s="387" customFormat="1" hidden="1">
      <c r="H108" s="561"/>
      <c r="I108" s="556"/>
      <c r="J108" s="706"/>
      <c r="K108" s="706"/>
      <c r="L108" s="706"/>
      <c r="M108" s="706"/>
      <c r="N108" s="706"/>
      <c r="O108" s="706"/>
      <c r="P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N108" s="706"/>
      <c r="AO108" s="706"/>
      <c r="AP108" s="706"/>
      <c r="AQ108" s="706"/>
      <c r="AR108" s="706"/>
    </row>
    <row r="109" spans="8:44" s="387" customFormat="1" hidden="1">
      <c r="H109" s="561"/>
      <c r="I109" s="556"/>
      <c r="J109" s="706"/>
      <c r="K109" s="706"/>
      <c r="L109" s="706"/>
      <c r="M109" s="706"/>
      <c r="N109" s="706"/>
      <c r="O109" s="706"/>
      <c r="P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N109" s="706"/>
      <c r="AO109" s="706"/>
      <c r="AP109" s="706"/>
      <c r="AQ109" s="706"/>
      <c r="AR109" s="706"/>
    </row>
    <row r="110" spans="8:44" s="387" customFormat="1" hidden="1">
      <c r="H110" s="561"/>
      <c r="I110" s="556"/>
      <c r="J110" s="706"/>
      <c r="K110" s="706"/>
      <c r="L110" s="706"/>
      <c r="M110" s="706"/>
      <c r="N110" s="706"/>
      <c r="O110" s="706"/>
      <c r="P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N110" s="706"/>
      <c r="AO110" s="706"/>
      <c r="AP110" s="706"/>
      <c r="AQ110" s="706"/>
      <c r="AR110" s="706"/>
    </row>
    <row r="111" spans="8:44" s="387" customFormat="1" hidden="1">
      <c r="H111" s="561"/>
      <c r="I111" s="556"/>
      <c r="J111" s="706"/>
      <c r="K111" s="706"/>
      <c r="L111" s="706"/>
      <c r="M111" s="706"/>
      <c r="N111" s="706"/>
      <c r="O111" s="706"/>
      <c r="P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N111" s="706"/>
      <c r="AO111" s="706"/>
      <c r="AP111" s="706"/>
      <c r="AQ111" s="706"/>
      <c r="AR111" s="706"/>
    </row>
    <row r="112" spans="8:44" s="387" customFormat="1" hidden="1">
      <c r="H112" s="561"/>
      <c r="I112" s="556"/>
      <c r="J112" s="706"/>
      <c r="K112" s="706"/>
      <c r="L112" s="706"/>
      <c r="M112" s="706"/>
      <c r="N112" s="706"/>
      <c r="O112" s="706"/>
      <c r="P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N112" s="706"/>
      <c r="AO112" s="706"/>
      <c r="AP112" s="706"/>
      <c r="AQ112" s="706"/>
      <c r="AR112" s="706"/>
    </row>
    <row r="113" spans="8:44" s="387" customFormat="1" hidden="1">
      <c r="H113" s="561"/>
      <c r="I113" s="556"/>
      <c r="J113" s="706"/>
      <c r="K113" s="706"/>
      <c r="L113" s="706"/>
      <c r="M113" s="706"/>
      <c r="N113" s="706"/>
      <c r="O113" s="706"/>
      <c r="P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N113" s="706"/>
      <c r="AO113" s="706"/>
      <c r="AP113" s="706"/>
      <c r="AQ113" s="706"/>
      <c r="AR113" s="706"/>
    </row>
    <row r="114" spans="8:44" s="387" customFormat="1" hidden="1">
      <c r="H114" s="561"/>
      <c r="I114" s="556"/>
      <c r="J114" s="706"/>
      <c r="K114" s="706"/>
      <c r="L114" s="706"/>
      <c r="M114" s="706"/>
      <c r="N114" s="706"/>
      <c r="O114" s="706"/>
      <c r="P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N114" s="706"/>
      <c r="AO114" s="706"/>
      <c r="AP114" s="706"/>
      <c r="AQ114" s="706"/>
      <c r="AR114" s="706"/>
    </row>
    <row r="115" spans="8:44" s="387" customFormat="1" hidden="1">
      <c r="H115" s="561"/>
      <c r="I115" s="556"/>
      <c r="J115" s="706"/>
      <c r="K115" s="706"/>
      <c r="L115" s="706"/>
      <c r="M115" s="706"/>
      <c r="N115" s="706"/>
      <c r="O115" s="706"/>
      <c r="P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N115" s="706"/>
      <c r="AO115" s="706"/>
      <c r="AP115" s="706"/>
      <c r="AQ115" s="706"/>
      <c r="AR115" s="706"/>
    </row>
    <row r="116" spans="8:44" s="387" customFormat="1" hidden="1">
      <c r="H116" s="561"/>
      <c r="I116" s="556"/>
      <c r="J116" s="706"/>
      <c r="K116" s="706"/>
      <c r="L116" s="706"/>
      <c r="M116" s="706"/>
      <c r="N116" s="706"/>
      <c r="O116" s="706"/>
      <c r="P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N116" s="706"/>
      <c r="AO116" s="706"/>
      <c r="AP116" s="706"/>
      <c r="AQ116" s="706"/>
      <c r="AR116" s="706"/>
    </row>
    <row r="117" spans="8:44" s="387" customFormat="1" hidden="1">
      <c r="H117" s="561"/>
      <c r="I117" s="556"/>
      <c r="J117" s="706"/>
      <c r="K117" s="706"/>
      <c r="L117" s="706"/>
      <c r="M117" s="706"/>
      <c r="N117" s="706"/>
      <c r="O117" s="706"/>
      <c r="P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N117" s="706"/>
      <c r="AO117" s="706"/>
      <c r="AP117" s="706"/>
      <c r="AQ117" s="706"/>
      <c r="AR117" s="706"/>
    </row>
    <row r="118" spans="8:44" s="387" customFormat="1" hidden="1">
      <c r="H118" s="561"/>
      <c r="I118" s="556"/>
      <c r="J118" s="706"/>
      <c r="K118" s="706"/>
      <c r="L118" s="706"/>
      <c r="M118" s="706"/>
      <c r="N118" s="706"/>
      <c r="O118" s="706"/>
      <c r="P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N118" s="706"/>
      <c r="AO118" s="706"/>
      <c r="AP118" s="706"/>
      <c r="AQ118" s="706"/>
      <c r="AR118" s="706"/>
    </row>
    <row r="119" spans="8:44" s="387" customFormat="1" hidden="1">
      <c r="H119" s="561"/>
      <c r="I119" s="556"/>
      <c r="J119" s="706"/>
      <c r="K119" s="706"/>
      <c r="L119" s="706"/>
      <c r="M119" s="706"/>
      <c r="N119" s="706"/>
      <c r="O119" s="706"/>
      <c r="P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N119" s="706"/>
      <c r="AO119" s="706"/>
      <c r="AP119" s="706"/>
      <c r="AQ119" s="706"/>
      <c r="AR119" s="706"/>
    </row>
    <row r="120" spans="8:44" s="387" customFormat="1" hidden="1">
      <c r="H120" s="561"/>
      <c r="I120" s="556"/>
      <c r="J120" s="706"/>
      <c r="K120" s="706"/>
      <c r="L120" s="706"/>
      <c r="M120" s="706"/>
      <c r="N120" s="706"/>
      <c r="O120" s="706"/>
      <c r="P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N120" s="706"/>
      <c r="AO120" s="706"/>
      <c r="AP120" s="706"/>
      <c r="AQ120" s="706"/>
      <c r="AR120" s="706"/>
    </row>
    <row r="121" spans="8:44" s="387" customFormat="1" hidden="1">
      <c r="H121" s="561"/>
      <c r="I121" s="556"/>
      <c r="J121" s="706"/>
      <c r="K121" s="706"/>
      <c r="L121" s="706"/>
      <c r="M121" s="706"/>
      <c r="N121" s="706"/>
      <c r="O121" s="706"/>
      <c r="P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N121" s="706"/>
      <c r="AO121" s="706"/>
      <c r="AP121" s="706"/>
      <c r="AQ121" s="706"/>
      <c r="AR121" s="706"/>
    </row>
    <row r="122" spans="8:44" s="387" customFormat="1" hidden="1">
      <c r="H122" s="561"/>
      <c r="I122" s="556"/>
      <c r="J122" s="706"/>
      <c r="K122" s="706"/>
      <c r="L122" s="706"/>
      <c r="M122" s="706"/>
      <c r="N122" s="706"/>
      <c r="O122" s="706"/>
      <c r="P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N122" s="706"/>
      <c r="AO122" s="706"/>
      <c r="AP122" s="706"/>
      <c r="AQ122" s="706"/>
      <c r="AR122" s="706"/>
    </row>
    <row r="123" spans="8:44" s="387" customFormat="1" hidden="1">
      <c r="H123" s="561"/>
      <c r="I123" s="556"/>
      <c r="J123" s="706"/>
      <c r="K123" s="706"/>
      <c r="L123" s="706"/>
      <c r="M123" s="706"/>
      <c r="N123" s="706"/>
      <c r="O123" s="706"/>
      <c r="P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N123" s="706"/>
      <c r="AO123" s="706"/>
      <c r="AP123" s="706"/>
      <c r="AQ123" s="706"/>
      <c r="AR123" s="706"/>
    </row>
    <row r="124" spans="8:44" s="387" customFormat="1" hidden="1">
      <c r="H124" s="561"/>
      <c r="I124" s="556"/>
      <c r="J124" s="706"/>
      <c r="K124" s="706"/>
      <c r="L124" s="706"/>
      <c r="M124" s="706"/>
      <c r="N124" s="706"/>
      <c r="O124" s="706"/>
      <c r="P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N124" s="706"/>
      <c r="AO124" s="706"/>
      <c r="AP124" s="706"/>
      <c r="AQ124" s="706"/>
      <c r="AR124" s="706"/>
    </row>
    <row r="125" spans="8:44" s="387" customFormat="1" hidden="1">
      <c r="H125" s="561"/>
      <c r="I125" s="556"/>
      <c r="J125" s="706"/>
      <c r="K125" s="706"/>
      <c r="L125" s="706"/>
      <c r="M125" s="706"/>
      <c r="N125" s="706"/>
      <c r="O125" s="706"/>
      <c r="P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N125" s="706"/>
      <c r="AO125" s="706"/>
      <c r="AP125" s="706"/>
      <c r="AQ125" s="706"/>
      <c r="AR125" s="706"/>
    </row>
    <row r="126" spans="8:44" s="387" customFormat="1" hidden="1">
      <c r="H126" s="561"/>
      <c r="I126" s="556"/>
      <c r="J126" s="706"/>
      <c r="K126" s="706"/>
      <c r="L126" s="706"/>
      <c r="M126" s="706"/>
      <c r="N126" s="706"/>
      <c r="O126" s="706"/>
      <c r="P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N126" s="706"/>
      <c r="AO126" s="706"/>
      <c r="AP126" s="706"/>
      <c r="AQ126" s="706"/>
      <c r="AR126" s="706"/>
    </row>
    <row r="127" spans="8:44" s="387" customFormat="1" hidden="1">
      <c r="H127" s="561"/>
      <c r="I127" s="556"/>
      <c r="J127" s="706"/>
      <c r="K127" s="706"/>
      <c r="L127" s="706"/>
      <c r="M127" s="706"/>
      <c r="N127" s="706"/>
      <c r="O127" s="706"/>
      <c r="P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N127" s="706"/>
      <c r="AO127" s="706"/>
      <c r="AP127" s="706"/>
      <c r="AQ127" s="706"/>
      <c r="AR127" s="706"/>
    </row>
    <row r="128" spans="8:44" s="387" customFormat="1" hidden="1">
      <c r="H128" s="561"/>
      <c r="I128" s="556"/>
      <c r="J128" s="706"/>
      <c r="K128" s="706"/>
      <c r="L128" s="706"/>
      <c r="M128" s="706"/>
      <c r="N128" s="706"/>
      <c r="O128" s="706"/>
      <c r="P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N128" s="706"/>
      <c r="AO128" s="706"/>
      <c r="AP128" s="706"/>
      <c r="AQ128" s="706"/>
      <c r="AR128" s="706"/>
    </row>
    <row r="129" spans="8:44" s="387" customFormat="1" hidden="1">
      <c r="H129" s="561"/>
      <c r="I129" s="556"/>
      <c r="J129" s="706"/>
      <c r="K129" s="706"/>
      <c r="L129" s="706"/>
      <c r="M129" s="706"/>
      <c r="N129" s="706"/>
      <c r="O129" s="706"/>
      <c r="P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N129" s="706"/>
      <c r="AO129" s="706"/>
      <c r="AP129" s="706"/>
      <c r="AQ129" s="706"/>
      <c r="AR129" s="706"/>
    </row>
    <row r="130" spans="8:44" s="387" customFormat="1" hidden="1">
      <c r="H130" s="561"/>
      <c r="I130" s="556"/>
      <c r="J130" s="706"/>
      <c r="K130" s="706"/>
      <c r="L130" s="706"/>
      <c r="M130" s="706"/>
      <c r="N130" s="706"/>
      <c r="O130" s="706"/>
      <c r="P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N130" s="706"/>
      <c r="AO130" s="706"/>
      <c r="AP130" s="706"/>
      <c r="AQ130" s="706"/>
      <c r="AR130" s="706"/>
    </row>
    <row r="131" spans="8:44" s="387" customFormat="1" hidden="1">
      <c r="H131" s="561"/>
      <c r="I131" s="556"/>
      <c r="J131" s="706"/>
      <c r="K131" s="706"/>
      <c r="L131" s="706"/>
      <c r="M131" s="706"/>
      <c r="N131" s="706"/>
      <c r="O131" s="706"/>
      <c r="P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N131" s="706"/>
      <c r="AO131" s="706"/>
      <c r="AP131" s="706"/>
      <c r="AQ131" s="706"/>
      <c r="AR131" s="706"/>
    </row>
    <row r="132" spans="8:44" s="387" customFormat="1" hidden="1">
      <c r="H132" s="561"/>
      <c r="I132" s="556"/>
      <c r="J132" s="706"/>
      <c r="K132" s="706"/>
      <c r="L132" s="706"/>
      <c r="M132" s="706"/>
      <c r="N132" s="706"/>
      <c r="O132" s="706"/>
      <c r="P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N132" s="706"/>
      <c r="AO132" s="706"/>
      <c r="AP132" s="706"/>
      <c r="AQ132" s="706"/>
      <c r="AR132" s="706"/>
    </row>
    <row r="133" spans="8:44" s="387" customFormat="1" hidden="1">
      <c r="H133" s="561"/>
      <c r="I133" s="55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N133" s="706"/>
      <c r="AO133" s="706"/>
      <c r="AP133" s="706"/>
      <c r="AQ133" s="706"/>
      <c r="AR133" s="706"/>
    </row>
    <row r="134" spans="8:44" s="387" customFormat="1" hidden="1">
      <c r="H134" s="561"/>
      <c r="I134" s="556"/>
      <c r="J134" s="706"/>
      <c r="K134" s="706"/>
      <c r="L134" s="706"/>
      <c r="M134" s="706"/>
      <c r="N134" s="706"/>
      <c r="O134" s="706"/>
      <c r="P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N134" s="706"/>
      <c r="AO134" s="706"/>
      <c r="AP134" s="706"/>
      <c r="AQ134" s="706"/>
      <c r="AR134" s="706"/>
    </row>
    <row r="135" spans="8:44" s="387" customFormat="1" hidden="1">
      <c r="H135" s="561"/>
      <c r="I135" s="556"/>
      <c r="J135" s="706"/>
      <c r="K135" s="706"/>
      <c r="L135" s="706"/>
      <c r="M135" s="706"/>
      <c r="N135" s="706"/>
      <c r="O135" s="706"/>
      <c r="P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N135" s="706"/>
      <c r="AO135" s="706"/>
      <c r="AP135" s="706"/>
      <c r="AQ135" s="706"/>
      <c r="AR135" s="706"/>
    </row>
    <row r="136" spans="8:44" s="387" customFormat="1" hidden="1">
      <c r="H136" s="561"/>
      <c r="I136" s="556"/>
      <c r="J136" s="706"/>
      <c r="K136" s="706"/>
      <c r="L136" s="706"/>
      <c r="M136" s="706"/>
      <c r="N136" s="706"/>
      <c r="O136" s="706"/>
      <c r="P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N136" s="706"/>
      <c r="AO136" s="706"/>
      <c r="AP136" s="706"/>
      <c r="AQ136" s="706"/>
      <c r="AR136" s="706"/>
    </row>
    <row r="137" spans="8:44" s="387" customFormat="1" hidden="1">
      <c r="H137" s="561"/>
      <c r="I137" s="556"/>
      <c r="J137" s="706"/>
      <c r="K137" s="706"/>
      <c r="L137" s="706"/>
      <c r="M137" s="706"/>
      <c r="N137" s="706"/>
      <c r="O137" s="706"/>
      <c r="P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N137" s="706"/>
      <c r="AO137" s="706"/>
      <c r="AP137" s="706"/>
      <c r="AQ137" s="706"/>
      <c r="AR137" s="706"/>
    </row>
    <row r="138" spans="8:44" s="388" customFormat="1" hidden="1">
      <c r="H138" s="561"/>
      <c r="I138" s="556"/>
      <c r="J138" s="707"/>
      <c r="K138" s="707"/>
      <c r="L138" s="707"/>
      <c r="M138" s="707"/>
      <c r="N138" s="707"/>
      <c r="O138" s="707"/>
      <c r="P138" s="707"/>
      <c r="Q138" s="707"/>
      <c r="R138" s="707"/>
      <c r="S138" s="707"/>
      <c r="T138" s="707"/>
      <c r="U138" s="707"/>
      <c r="V138" s="707"/>
      <c r="W138" s="707"/>
      <c r="X138" s="707"/>
      <c r="Y138" s="707"/>
      <c r="Z138" s="707"/>
      <c r="AA138" s="707"/>
      <c r="AB138" s="707"/>
      <c r="AC138" s="707"/>
      <c r="AD138" s="707"/>
      <c r="AE138" s="707"/>
      <c r="AF138" s="707"/>
      <c r="AG138" s="707"/>
      <c r="AH138" s="707"/>
      <c r="AI138" s="707"/>
      <c r="AJ138" s="707"/>
      <c r="AK138" s="707"/>
      <c r="AL138" s="707"/>
      <c r="AM138" s="707"/>
      <c r="AN138" s="707"/>
      <c r="AO138" s="707"/>
      <c r="AP138" s="707"/>
      <c r="AQ138" s="707"/>
      <c r="AR138" s="707"/>
    </row>
    <row r="139" spans="8:44" s="388" customFormat="1" hidden="1">
      <c r="H139" s="561"/>
      <c r="I139" s="556"/>
      <c r="J139" s="707"/>
      <c r="K139" s="707"/>
      <c r="L139" s="707"/>
      <c r="M139" s="707"/>
      <c r="N139" s="707"/>
      <c r="O139" s="707"/>
      <c r="P139" s="707"/>
      <c r="Q139" s="707"/>
      <c r="R139" s="707"/>
      <c r="S139" s="707"/>
      <c r="T139" s="707"/>
      <c r="U139" s="707"/>
      <c r="V139" s="707"/>
      <c r="W139" s="707"/>
      <c r="X139" s="707"/>
      <c r="Y139" s="707"/>
      <c r="Z139" s="707"/>
      <c r="AA139" s="707"/>
      <c r="AB139" s="707"/>
      <c r="AC139" s="707"/>
      <c r="AD139" s="707"/>
      <c r="AE139" s="707"/>
      <c r="AF139" s="707"/>
      <c r="AG139" s="707"/>
      <c r="AH139" s="707"/>
      <c r="AI139" s="707"/>
      <c r="AJ139" s="707"/>
      <c r="AK139" s="707"/>
      <c r="AL139" s="707"/>
      <c r="AM139" s="707"/>
      <c r="AN139" s="707"/>
      <c r="AO139" s="707"/>
      <c r="AP139" s="707"/>
      <c r="AQ139" s="707"/>
      <c r="AR139" s="707"/>
    </row>
    <row r="140" spans="8:44" s="388" customFormat="1" hidden="1">
      <c r="H140" s="561"/>
      <c r="I140" s="556"/>
      <c r="J140" s="707"/>
      <c r="K140" s="707"/>
      <c r="L140" s="707"/>
      <c r="M140" s="707"/>
      <c r="N140" s="707"/>
      <c r="O140" s="707"/>
      <c r="P140" s="707"/>
      <c r="Q140" s="707"/>
      <c r="R140" s="707"/>
      <c r="S140" s="707"/>
      <c r="T140" s="707"/>
      <c r="U140" s="707"/>
      <c r="V140" s="707"/>
      <c r="W140" s="707"/>
      <c r="X140" s="707"/>
      <c r="Y140" s="707"/>
      <c r="Z140" s="707"/>
      <c r="AA140" s="707"/>
      <c r="AB140" s="707"/>
      <c r="AC140" s="707"/>
      <c r="AD140" s="707"/>
      <c r="AE140" s="707"/>
      <c r="AF140" s="707"/>
      <c r="AG140" s="707"/>
      <c r="AH140" s="707"/>
      <c r="AI140" s="707"/>
      <c r="AJ140" s="707"/>
      <c r="AK140" s="707"/>
      <c r="AL140" s="707"/>
      <c r="AM140" s="707"/>
      <c r="AN140" s="707"/>
      <c r="AO140" s="707"/>
      <c r="AP140" s="707"/>
      <c r="AQ140" s="707"/>
      <c r="AR140" s="707"/>
    </row>
    <row r="141" spans="8:44" s="388" customFormat="1" hidden="1">
      <c r="H141" s="561"/>
      <c r="I141" s="556"/>
      <c r="J141" s="707"/>
      <c r="K141" s="707"/>
      <c r="L141" s="707"/>
      <c r="M141" s="707"/>
      <c r="N141" s="707"/>
      <c r="O141" s="707"/>
      <c r="P141" s="707"/>
      <c r="Q141" s="707"/>
      <c r="R141" s="707"/>
      <c r="S141" s="707"/>
      <c r="T141" s="707"/>
      <c r="U141" s="707"/>
      <c r="V141" s="707"/>
      <c r="W141" s="707"/>
      <c r="X141" s="707"/>
      <c r="Y141" s="707"/>
      <c r="Z141" s="707"/>
      <c r="AA141" s="707"/>
      <c r="AB141" s="707"/>
      <c r="AC141" s="707"/>
      <c r="AD141" s="707"/>
      <c r="AE141" s="707"/>
      <c r="AF141" s="707"/>
      <c r="AG141" s="707"/>
      <c r="AH141" s="707"/>
      <c r="AI141" s="707"/>
      <c r="AJ141" s="707"/>
      <c r="AK141" s="707"/>
      <c r="AL141" s="707"/>
      <c r="AM141" s="707"/>
      <c r="AN141" s="707"/>
      <c r="AO141" s="707"/>
      <c r="AP141" s="707"/>
      <c r="AQ141" s="707"/>
      <c r="AR141" s="707"/>
    </row>
    <row r="142" spans="8:44" s="388" customFormat="1" hidden="1">
      <c r="H142" s="561"/>
      <c r="I142" s="556"/>
      <c r="J142" s="707"/>
      <c r="K142" s="707"/>
      <c r="L142" s="707"/>
      <c r="M142" s="707"/>
      <c r="N142" s="707"/>
      <c r="O142" s="707"/>
      <c r="P142" s="707"/>
      <c r="Q142" s="707"/>
      <c r="R142" s="707"/>
      <c r="S142" s="707"/>
      <c r="T142" s="707"/>
      <c r="U142" s="707"/>
      <c r="V142" s="707"/>
      <c r="W142" s="707"/>
      <c r="X142" s="707"/>
      <c r="Y142" s="707"/>
      <c r="Z142" s="707"/>
      <c r="AA142" s="707"/>
      <c r="AB142" s="707"/>
      <c r="AC142" s="707"/>
      <c r="AD142" s="707"/>
      <c r="AE142" s="707"/>
      <c r="AF142" s="707"/>
      <c r="AG142" s="707"/>
      <c r="AH142" s="707"/>
      <c r="AI142" s="707"/>
      <c r="AJ142" s="707"/>
      <c r="AK142" s="707"/>
      <c r="AL142" s="707"/>
      <c r="AM142" s="707"/>
      <c r="AN142" s="707"/>
      <c r="AO142" s="707"/>
      <c r="AP142" s="707"/>
      <c r="AQ142" s="707"/>
      <c r="AR142" s="707"/>
    </row>
    <row r="143" spans="8:44" s="388" customFormat="1" hidden="1">
      <c r="H143" s="561"/>
      <c r="I143" s="556"/>
      <c r="J143" s="707"/>
      <c r="K143" s="707"/>
      <c r="L143" s="707"/>
      <c r="M143" s="707"/>
      <c r="N143" s="707"/>
      <c r="O143" s="707"/>
      <c r="P143" s="707"/>
      <c r="Q143" s="707"/>
      <c r="R143" s="707"/>
      <c r="S143" s="707"/>
      <c r="T143" s="707"/>
      <c r="U143" s="707"/>
      <c r="V143" s="707"/>
      <c r="W143" s="707"/>
      <c r="X143" s="707"/>
      <c r="Y143" s="707"/>
      <c r="Z143" s="707"/>
      <c r="AA143" s="707"/>
      <c r="AB143" s="707"/>
      <c r="AC143" s="707"/>
      <c r="AD143" s="707"/>
      <c r="AE143" s="707"/>
      <c r="AF143" s="707"/>
      <c r="AG143" s="707"/>
      <c r="AH143" s="707"/>
      <c r="AI143" s="707"/>
      <c r="AJ143" s="707"/>
      <c r="AK143" s="707"/>
      <c r="AL143" s="707"/>
      <c r="AM143" s="707"/>
      <c r="AN143" s="707"/>
      <c r="AO143" s="707"/>
      <c r="AP143" s="707"/>
      <c r="AQ143" s="707"/>
      <c r="AR143" s="707"/>
    </row>
    <row r="144" spans="8:44" s="388" customFormat="1" hidden="1">
      <c r="H144" s="561"/>
      <c r="I144" s="556"/>
      <c r="J144" s="707"/>
      <c r="K144" s="707"/>
      <c r="L144" s="707"/>
      <c r="M144" s="707"/>
      <c r="N144" s="707"/>
      <c r="O144" s="707"/>
      <c r="P144" s="707"/>
      <c r="Q144" s="707"/>
      <c r="R144" s="707"/>
      <c r="S144" s="707"/>
      <c r="T144" s="707"/>
      <c r="U144" s="707"/>
      <c r="V144" s="707"/>
      <c r="W144" s="707"/>
      <c r="X144" s="707"/>
      <c r="Y144" s="707"/>
      <c r="Z144" s="707"/>
      <c r="AA144" s="707"/>
      <c r="AB144" s="707"/>
      <c r="AC144" s="707"/>
      <c r="AD144" s="707"/>
      <c r="AE144" s="707"/>
      <c r="AF144" s="707"/>
      <c r="AG144" s="707"/>
      <c r="AH144" s="707"/>
      <c r="AI144" s="707"/>
      <c r="AJ144" s="707"/>
      <c r="AK144" s="707"/>
      <c r="AL144" s="707"/>
      <c r="AM144" s="707"/>
      <c r="AN144" s="707"/>
      <c r="AO144" s="707"/>
      <c r="AP144" s="707"/>
      <c r="AQ144" s="707"/>
      <c r="AR144" s="707"/>
    </row>
    <row r="145" spans="8:44" s="388" customFormat="1" hidden="1">
      <c r="H145" s="561"/>
      <c r="I145" s="556"/>
      <c r="J145" s="707"/>
      <c r="K145" s="707"/>
      <c r="L145" s="707"/>
      <c r="M145" s="707"/>
      <c r="N145" s="707"/>
      <c r="O145" s="707"/>
      <c r="P145" s="707"/>
      <c r="Q145" s="707"/>
      <c r="R145" s="707"/>
      <c r="S145" s="707"/>
      <c r="T145" s="707"/>
      <c r="U145" s="707"/>
      <c r="V145" s="707"/>
      <c r="W145" s="707"/>
      <c r="X145" s="707"/>
      <c r="Y145" s="707"/>
      <c r="Z145" s="707"/>
      <c r="AA145" s="707"/>
      <c r="AB145" s="707"/>
      <c r="AC145" s="707"/>
      <c r="AD145" s="707"/>
      <c r="AE145" s="707"/>
      <c r="AF145" s="707"/>
      <c r="AG145" s="707"/>
      <c r="AH145" s="707"/>
      <c r="AI145" s="707"/>
      <c r="AJ145" s="707"/>
      <c r="AK145" s="707"/>
      <c r="AL145" s="707"/>
      <c r="AM145" s="707"/>
      <c r="AN145" s="707"/>
      <c r="AO145" s="707"/>
      <c r="AP145" s="707"/>
      <c r="AQ145" s="707"/>
      <c r="AR145" s="707"/>
    </row>
    <row r="146" spans="8:44" s="388" customFormat="1" hidden="1">
      <c r="H146" s="561"/>
      <c r="I146" s="556"/>
      <c r="J146" s="707"/>
      <c r="K146" s="707"/>
      <c r="L146" s="707"/>
      <c r="M146" s="707"/>
      <c r="N146" s="707"/>
      <c r="O146" s="707"/>
      <c r="P146" s="707"/>
      <c r="Q146" s="707"/>
      <c r="R146" s="707"/>
      <c r="S146" s="707"/>
      <c r="T146" s="707"/>
      <c r="U146" s="707"/>
      <c r="V146" s="707"/>
      <c r="W146" s="707"/>
      <c r="X146" s="707"/>
      <c r="Y146" s="707"/>
      <c r="Z146" s="707"/>
      <c r="AA146" s="707"/>
      <c r="AB146" s="707"/>
      <c r="AC146" s="707"/>
      <c r="AD146" s="707"/>
      <c r="AE146" s="707"/>
      <c r="AF146" s="707"/>
      <c r="AG146" s="707"/>
      <c r="AH146" s="707"/>
      <c r="AI146" s="707"/>
      <c r="AJ146" s="707"/>
      <c r="AK146" s="707"/>
      <c r="AL146" s="707"/>
      <c r="AM146" s="707"/>
      <c r="AN146" s="707"/>
      <c r="AO146" s="707"/>
      <c r="AP146" s="707"/>
      <c r="AQ146" s="707"/>
      <c r="AR146" s="707"/>
    </row>
    <row r="147" spans="8:44" s="388" customFormat="1" hidden="1">
      <c r="H147" s="561"/>
      <c r="I147" s="556"/>
      <c r="J147" s="707"/>
      <c r="K147" s="707"/>
      <c r="L147" s="707"/>
      <c r="M147" s="707"/>
      <c r="N147" s="707"/>
      <c r="O147" s="707"/>
      <c r="P147" s="707"/>
      <c r="Q147" s="707"/>
      <c r="R147" s="707"/>
      <c r="S147" s="707"/>
      <c r="T147" s="707"/>
      <c r="U147" s="707"/>
      <c r="V147" s="707"/>
      <c r="W147" s="707"/>
      <c r="X147" s="707"/>
      <c r="Y147" s="707"/>
      <c r="Z147" s="707"/>
      <c r="AA147" s="707"/>
      <c r="AB147" s="707"/>
      <c r="AC147" s="707"/>
      <c r="AD147" s="707"/>
      <c r="AE147" s="707"/>
      <c r="AF147" s="707"/>
      <c r="AG147" s="707"/>
      <c r="AH147" s="707"/>
      <c r="AI147" s="707"/>
      <c r="AJ147" s="707"/>
      <c r="AK147" s="707"/>
      <c r="AL147" s="707"/>
      <c r="AM147" s="707"/>
      <c r="AN147" s="707"/>
      <c r="AO147" s="707"/>
      <c r="AP147" s="707"/>
      <c r="AQ147" s="707"/>
      <c r="AR147" s="707"/>
    </row>
    <row r="148" spans="8:44" s="388" customFormat="1" hidden="1">
      <c r="H148" s="561"/>
      <c r="I148" s="556"/>
      <c r="J148" s="707"/>
      <c r="K148" s="707"/>
      <c r="L148" s="707"/>
      <c r="M148" s="707"/>
      <c r="N148" s="707"/>
      <c r="O148" s="707"/>
      <c r="P148" s="707"/>
      <c r="Q148" s="707"/>
      <c r="R148" s="707"/>
      <c r="S148" s="707"/>
      <c r="T148" s="707"/>
      <c r="U148" s="707"/>
      <c r="V148" s="707"/>
      <c r="W148" s="707"/>
      <c r="X148" s="707"/>
      <c r="Y148" s="707"/>
      <c r="Z148" s="707"/>
      <c r="AA148" s="707"/>
      <c r="AB148" s="707"/>
      <c r="AC148" s="707"/>
      <c r="AD148" s="707"/>
      <c r="AE148" s="707"/>
      <c r="AF148" s="707"/>
      <c r="AG148" s="707"/>
      <c r="AH148" s="707"/>
      <c r="AI148" s="707"/>
      <c r="AJ148" s="707"/>
      <c r="AK148" s="707"/>
      <c r="AL148" s="707"/>
      <c r="AM148" s="707"/>
      <c r="AN148" s="707"/>
      <c r="AO148" s="707"/>
      <c r="AP148" s="707"/>
      <c r="AQ148" s="707"/>
      <c r="AR148" s="707"/>
    </row>
    <row r="149" spans="8:44" s="388" customFormat="1" hidden="1">
      <c r="H149" s="561"/>
      <c r="I149" s="556"/>
      <c r="J149" s="707"/>
      <c r="K149" s="707"/>
      <c r="L149" s="707"/>
      <c r="M149" s="707"/>
      <c r="N149" s="707"/>
      <c r="O149" s="707"/>
      <c r="P149" s="707"/>
      <c r="Q149" s="707"/>
      <c r="R149" s="707"/>
      <c r="S149" s="707"/>
      <c r="T149" s="707"/>
      <c r="U149" s="707"/>
      <c r="V149" s="707"/>
      <c r="W149" s="707"/>
      <c r="X149" s="707"/>
      <c r="Y149" s="707"/>
      <c r="Z149" s="707"/>
      <c r="AA149" s="707"/>
      <c r="AB149" s="707"/>
      <c r="AC149" s="707"/>
      <c r="AD149" s="707"/>
      <c r="AE149" s="707"/>
      <c r="AF149" s="707"/>
      <c r="AG149" s="707"/>
      <c r="AH149" s="707"/>
      <c r="AI149" s="707"/>
      <c r="AJ149" s="707"/>
      <c r="AK149" s="707"/>
      <c r="AL149" s="707"/>
      <c r="AM149" s="707"/>
      <c r="AN149" s="707"/>
      <c r="AO149" s="707"/>
      <c r="AP149" s="707"/>
      <c r="AQ149" s="707"/>
      <c r="AR149" s="707"/>
    </row>
    <row r="150" spans="8:44" s="388" customFormat="1" hidden="1">
      <c r="H150" s="561"/>
      <c r="I150" s="556"/>
      <c r="J150" s="707"/>
      <c r="K150" s="707"/>
      <c r="L150" s="707"/>
      <c r="M150" s="707"/>
      <c r="N150" s="707"/>
      <c r="O150" s="707"/>
      <c r="P150" s="707"/>
      <c r="Q150" s="707"/>
      <c r="R150" s="707"/>
      <c r="S150" s="707"/>
      <c r="T150" s="707"/>
      <c r="U150" s="707"/>
      <c r="V150" s="707"/>
      <c r="W150" s="707"/>
      <c r="X150" s="707"/>
      <c r="Y150" s="707"/>
      <c r="Z150" s="707"/>
      <c r="AA150" s="707"/>
      <c r="AB150" s="707"/>
      <c r="AC150" s="707"/>
      <c r="AD150" s="707"/>
      <c r="AE150" s="707"/>
      <c r="AF150" s="707"/>
      <c r="AG150" s="707"/>
      <c r="AH150" s="707"/>
      <c r="AI150" s="707"/>
      <c r="AJ150" s="707"/>
      <c r="AK150" s="707"/>
      <c r="AL150" s="707"/>
      <c r="AM150" s="707"/>
      <c r="AN150" s="707"/>
      <c r="AO150" s="707"/>
      <c r="AP150" s="707"/>
      <c r="AQ150" s="707"/>
      <c r="AR150" s="707"/>
    </row>
    <row r="151" spans="8:44" s="388" customFormat="1" hidden="1">
      <c r="H151" s="561"/>
      <c r="I151" s="556"/>
      <c r="J151" s="707"/>
      <c r="K151" s="707"/>
      <c r="L151" s="707"/>
      <c r="M151" s="707"/>
      <c r="N151" s="707"/>
      <c r="O151" s="707"/>
      <c r="P151" s="707"/>
      <c r="Q151" s="707"/>
      <c r="R151" s="707"/>
      <c r="S151" s="707"/>
      <c r="T151" s="707"/>
      <c r="U151" s="707"/>
      <c r="V151" s="707"/>
      <c r="W151" s="707"/>
      <c r="X151" s="707"/>
      <c r="Y151" s="707"/>
      <c r="Z151" s="707"/>
      <c r="AA151" s="707"/>
      <c r="AB151" s="707"/>
      <c r="AC151" s="707"/>
      <c r="AD151" s="707"/>
      <c r="AE151" s="707"/>
      <c r="AF151" s="707"/>
      <c r="AG151" s="707"/>
      <c r="AH151" s="707"/>
      <c r="AI151" s="707"/>
      <c r="AJ151" s="707"/>
      <c r="AK151" s="707"/>
      <c r="AL151" s="707"/>
      <c r="AM151" s="707"/>
      <c r="AN151" s="707"/>
      <c r="AO151" s="707"/>
      <c r="AP151" s="707"/>
      <c r="AQ151" s="707"/>
      <c r="AR151" s="707"/>
    </row>
    <row r="152" spans="8:44" s="388" customFormat="1" hidden="1">
      <c r="H152" s="561"/>
      <c r="I152" s="556"/>
      <c r="J152" s="707"/>
      <c r="K152" s="707"/>
      <c r="L152" s="707"/>
      <c r="M152" s="707"/>
      <c r="N152" s="707"/>
      <c r="O152" s="707"/>
      <c r="P152" s="707"/>
      <c r="Q152" s="707"/>
      <c r="R152" s="707"/>
      <c r="S152" s="707"/>
      <c r="T152" s="707"/>
      <c r="U152" s="707"/>
      <c r="V152" s="707"/>
      <c r="W152" s="707"/>
      <c r="X152" s="707"/>
      <c r="Y152" s="707"/>
      <c r="Z152" s="707"/>
      <c r="AA152" s="707"/>
      <c r="AB152" s="707"/>
      <c r="AC152" s="707"/>
      <c r="AD152" s="707"/>
      <c r="AE152" s="707"/>
      <c r="AF152" s="707"/>
      <c r="AG152" s="707"/>
      <c r="AH152" s="707"/>
      <c r="AI152" s="707"/>
      <c r="AJ152" s="707"/>
      <c r="AK152" s="707"/>
      <c r="AL152" s="707"/>
      <c r="AM152" s="707"/>
      <c r="AN152" s="707"/>
      <c r="AO152" s="707"/>
      <c r="AP152" s="707"/>
      <c r="AQ152" s="707"/>
      <c r="AR152" s="707"/>
    </row>
    <row r="153" spans="8:44" s="388" customFormat="1" hidden="1">
      <c r="H153" s="561"/>
      <c r="I153" s="556"/>
      <c r="J153" s="707"/>
      <c r="K153" s="707"/>
      <c r="L153" s="707"/>
      <c r="M153" s="707"/>
      <c r="N153" s="707"/>
      <c r="O153" s="707"/>
      <c r="P153" s="707"/>
      <c r="Q153" s="707"/>
      <c r="R153" s="707"/>
      <c r="S153" s="707"/>
      <c r="T153" s="707"/>
      <c r="U153" s="707"/>
      <c r="V153" s="707"/>
      <c r="W153" s="707"/>
      <c r="X153" s="707"/>
      <c r="Y153" s="707"/>
      <c r="Z153" s="707"/>
      <c r="AA153" s="707"/>
      <c r="AB153" s="707"/>
      <c r="AC153" s="707"/>
      <c r="AD153" s="707"/>
      <c r="AE153" s="707"/>
      <c r="AF153" s="707"/>
      <c r="AG153" s="707"/>
      <c r="AH153" s="707"/>
      <c r="AI153" s="707"/>
      <c r="AJ153" s="707"/>
      <c r="AK153" s="707"/>
      <c r="AL153" s="707"/>
      <c r="AM153" s="707"/>
      <c r="AN153" s="707"/>
      <c r="AO153" s="707"/>
      <c r="AP153" s="707"/>
      <c r="AQ153" s="707"/>
      <c r="AR153" s="707"/>
    </row>
    <row r="154" spans="8:44" s="369" customFormat="1" hidden="1">
      <c r="H154" s="561"/>
      <c r="I154" s="556"/>
      <c r="J154" s="708"/>
      <c r="K154" s="708"/>
      <c r="L154" s="708"/>
      <c r="M154" s="708"/>
      <c r="N154" s="708"/>
      <c r="O154" s="708"/>
      <c r="P154" s="708"/>
      <c r="Q154" s="708"/>
      <c r="R154" s="708"/>
      <c r="S154" s="708"/>
      <c r="T154" s="708"/>
      <c r="U154" s="708"/>
      <c r="V154" s="708"/>
      <c r="W154" s="708"/>
      <c r="X154" s="708"/>
      <c r="Y154" s="708"/>
      <c r="Z154" s="708"/>
      <c r="AA154" s="708"/>
      <c r="AB154" s="708"/>
      <c r="AC154" s="708"/>
      <c r="AD154" s="708"/>
      <c r="AE154" s="708"/>
      <c r="AF154" s="708"/>
      <c r="AG154" s="708"/>
      <c r="AH154" s="708"/>
      <c r="AI154" s="708"/>
      <c r="AJ154" s="708"/>
      <c r="AK154" s="708"/>
      <c r="AL154" s="708"/>
      <c r="AM154" s="708"/>
      <c r="AN154" s="708"/>
      <c r="AO154" s="708"/>
      <c r="AP154" s="708"/>
      <c r="AQ154" s="708"/>
      <c r="AR154" s="708"/>
    </row>
    <row r="155" spans="8:44" s="369" customFormat="1" hidden="1">
      <c r="H155" s="561"/>
      <c r="I155" s="556"/>
      <c r="J155" s="708"/>
      <c r="K155" s="708"/>
      <c r="L155" s="708"/>
      <c r="M155" s="708"/>
      <c r="N155" s="708"/>
      <c r="O155" s="708"/>
      <c r="P155" s="708"/>
      <c r="Q155" s="708"/>
      <c r="R155" s="708"/>
      <c r="S155" s="708"/>
      <c r="T155" s="708"/>
      <c r="U155" s="708"/>
      <c r="V155" s="708"/>
      <c r="W155" s="708"/>
      <c r="X155" s="708"/>
      <c r="Y155" s="708"/>
      <c r="Z155" s="708"/>
      <c r="AA155" s="708"/>
      <c r="AB155" s="708"/>
      <c r="AC155" s="708"/>
      <c r="AD155" s="708"/>
      <c r="AE155" s="708"/>
      <c r="AF155" s="708"/>
      <c r="AG155" s="708"/>
      <c r="AH155" s="708"/>
      <c r="AI155" s="708"/>
      <c r="AJ155" s="708"/>
      <c r="AK155" s="708"/>
      <c r="AL155" s="708"/>
      <c r="AM155" s="708"/>
      <c r="AN155" s="708"/>
      <c r="AO155" s="708"/>
      <c r="AP155" s="708"/>
      <c r="AQ155" s="708"/>
      <c r="AR155" s="708"/>
    </row>
    <row r="156" spans="8:44" s="369" customFormat="1" hidden="1">
      <c r="H156" s="561"/>
      <c r="I156" s="556"/>
      <c r="J156" s="708"/>
      <c r="K156" s="708"/>
      <c r="L156" s="708"/>
      <c r="M156" s="708"/>
      <c r="N156" s="708"/>
      <c r="O156" s="708"/>
      <c r="P156" s="708"/>
      <c r="Q156" s="708"/>
      <c r="R156" s="708"/>
      <c r="S156" s="708"/>
      <c r="T156" s="708"/>
      <c r="U156" s="708"/>
      <c r="V156" s="708"/>
      <c r="W156" s="708"/>
      <c r="X156" s="708"/>
      <c r="Y156" s="708"/>
      <c r="Z156" s="708"/>
      <c r="AA156" s="708"/>
      <c r="AB156" s="708"/>
      <c r="AC156" s="708"/>
      <c r="AD156" s="708"/>
      <c r="AE156" s="708"/>
      <c r="AF156" s="708"/>
      <c r="AG156" s="708"/>
      <c r="AH156" s="708"/>
      <c r="AI156" s="708"/>
      <c r="AJ156" s="708"/>
      <c r="AK156" s="708"/>
      <c r="AL156" s="708"/>
      <c r="AM156" s="708"/>
      <c r="AN156" s="708"/>
      <c r="AO156" s="708"/>
      <c r="AP156" s="708"/>
      <c r="AQ156" s="708"/>
      <c r="AR156" s="708"/>
    </row>
    <row r="157" spans="8:44" s="369" customFormat="1" hidden="1">
      <c r="H157" s="561"/>
      <c r="I157" s="556"/>
      <c r="J157" s="708"/>
      <c r="K157" s="708"/>
      <c r="L157" s="708"/>
      <c r="M157" s="708"/>
      <c r="N157" s="708"/>
      <c r="O157" s="708"/>
      <c r="P157" s="708"/>
      <c r="Q157" s="708"/>
      <c r="R157" s="708"/>
      <c r="S157" s="708"/>
      <c r="T157" s="708"/>
      <c r="U157" s="708"/>
      <c r="V157" s="708"/>
      <c r="W157" s="708"/>
      <c r="X157" s="708"/>
      <c r="Y157" s="708"/>
      <c r="Z157" s="708"/>
      <c r="AA157" s="708"/>
      <c r="AB157" s="708"/>
      <c r="AC157" s="708"/>
      <c r="AD157" s="708"/>
      <c r="AE157" s="708"/>
      <c r="AF157" s="708"/>
      <c r="AG157" s="708"/>
      <c r="AH157" s="708"/>
      <c r="AI157" s="708"/>
      <c r="AJ157" s="708"/>
      <c r="AK157" s="708"/>
      <c r="AL157" s="708"/>
      <c r="AM157" s="708"/>
      <c r="AN157" s="708"/>
      <c r="AO157" s="708"/>
      <c r="AP157" s="708"/>
      <c r="AQ157" s="708"/>
      <c r="AR157" s="708"/>
    </row>
  </sheetData>
  <conditionalFormatting sqref="A6:U56">
    <cfRule type="expression" dxfId="15" priority="5">
      <formula>$D6=1</formula>
    </cfRule>
    <cfRule type="expression" dxfId="14" priority="6">
      <formula>$D6=0</formula>
    </cfRule>
  </conditionalFormatting>
  <conditionalFormatting sqref="V6:AE56">
    <cfRule type="expression" dxfId="13" priority="3">
      <formula>$D6=1</formula>
    </cfRule>
    <cfRule type="expression" dxfId="12" priority="4">
      <formula>$D6=0</formula>
    </cfRule>
  </conditionalFormatting>
  <conditionalFormatting sqref="W7:W56 Y7:Y56 AA7:AA56 AC7:AC56 AE7:AE56">
    <cfRule type="expression" dxfId="11" priority="1">
      <formula>$D7=1</formula>
    </cfRule>
    <cfRule type="expression" dxfId="10" priority="2">
      <formula>$D7=0</formula>
    </cfRule>
  </conditionalFormatting>
  <pageMargins left="0.55118110236220474" right="0.55118110236220474" top="0.59055118110236227" bottom="0.78740157480314965" header="0.51181102362204722" footer="0.51181102362204722"/>
  <pageSetup paperSize="9" scale="35" orientation="landscape" horizontalDpi="1200" verticalDpi="1200" r:id="rId1"/>
  <headerFooter alignWithMargins="0">
    <oddHeader>&amp;RResultados del Modelo de Reciclaje Inclusivo</oddHeader>
  </headerFooter>
  <drawing r:id="rId2"/>
</worksheet>
</file>

<file path=xl/worksheets/sheet38.xml><?xml version="1.0" encoding="utf-8"?>
<worksheet xmlns="http://schemas.openxmlformats.org/spreadsheetml/2006/main" xmlns:r="http://schemas.openxmlformats.org/officeDocument/2006/relationships">
  <sheetPr codeName="Sheet24">
    <pageSetUpPr autoPageBreaks="0" fitToPage="1"/>
  </sheetPr>
  <dimension ref="A1:BB81"/>
  <sheetViews>
    <sheetView showGridLines="0" showRowColHeaders="0" zoomScale="80" zoomScaleNormal="80" workbookViewId="0">
      <pane ySplit="3" topLeftCell="A4" activePane="bottomLeft" state="frozen"/>
      <selection pane="bottomLeft" activeCell="Q2" sqref="P2:Q6"/>
    </sheetView>
  </sheetViews>
  <sheetFormatPr defaultRowHeight="12.75" zeroHeight="1"/>
  <cols>
    <col min="1" max="1" width="2.7109375" style="3" customWidth="1"/>
    <col min="2" max="5" width="6.42578125" style="3" hidden="1" customWidth="1"/>
    <col min="6" max="6" width="167.42578125" style="3" customWidth="1"/>
    <col min="7" max="7" width="6.85546875" style="3" customWidth="1"/>
    <col min="8" max="8" width="8.140625" style="3" customWidth="1"/>
    <col min="9" max="9" width="0.5703125" style="3" customWidth="1"/>
    <col min="10" max="10" width="18.28515625" style="3" customWidth="1"/>
    <col min="11" max="11" width="2.7109375" style="3" customWidth="1"/>
    <col min="12" max="18" width="9.140625" style="3"/>
    <col min="19" max="19" width="5" style="3" customWidth="1"/>
    <col min="20" max="20" width="6.42578125" style="3" customWidth="1"/>
    <col min="21" max="21" width="9.140625" style="3"/>
    <col min="22" max="22" width="5" style="3" customWidth="1"/>
    <col min="23" max="16384" width="9.140625" style="3"/>
  </cols>
  <sheetData>
    <row r="1" spans="1:54" s="213" customFormat="1" ht="26.1" customHeight="1">
      <c r="A1" s="564" t="str">
        <f>lang!C3</f>
        <v>Reciclaje Inclusivo: Modelo Interactivo de Excel</v>
      </c>
      <c r="B1" s="212"/>
      <c r="C1" s="212"/>
      <c r="D1" s="212"/>
      <c r="E1" s="212"/>
      <c r="F1" s="564"/>
      <c r="G1" s="212"/>
      <c r="H1" s="212"/>
      <c r="I1" s="212"/>
      <c r="J1" s="212"/>
      <c r="K1" s="212"/>
      <c r="L1" s="212"/>
      <c r="P1" s="212"/>
      <c r="R1" s="214"/>
      <c r="S1" s="214"/>
      <c r="V1" s="214"/>
      <c r="BA1" s="329">
        <v>4</v>
      </c>
      <c r="BB1" s="329">
        <v>1</v>
      </c>
    </row>
    <row r="2" spans="1:54" s="213" customFormat="1" ht="30" customHeight="1">
      <c r="A2" s="211"/>
      <c r="B2" s="212"/>
      <c r="C2" s="212"/>
      <c r="D2" s="212"/>
      <c r="E2" s="212"/>
      <c r="F2" s="212"/>
      <c r="G2" s="212"/>
      <c r="H2" s="212"/>
      <c r="I2" s="212"/>
      <c r="J2" s="212"/>
      <c r="K2" s="212"/>
      <c r="L2" s="212"/>
      <c r="P2" s="212"/>
      <c r="R2" s="214"/>
      <c r="S2" s="214"/>
      <c r="V2" s="214"/>
      <c r="BA2" s="329">
        <v>5</v>
      </c>
      <c r="BB2" s="329">
        <v>1</v>
      </c>
    </row>
    <row r="3" spans="1:54" s="214" customFormat="1" ht="65.099999999999994" customHeight="1">
      <c r="A3" s="215"/>
      <c r="B3" s="215"/>
      <c r="C3" s="215"/>
      <c r="D3" s="215"/>
      <c r="E3" s="215"/>
      <c r="F3" s="215"/>
      <c r="G3" s="215"/>
      <c r="H3" s="215"/>
      <c r="I3" s="215"/>
      <c r="J3" s="215"/>
      <c r="K3" s="215"/>
      <c r="L3" s="215"/>
      <c r="P3" s="215"/>
    </row>
    <row r="4" spans="1:54" ht="20.25" customHeight="1">
      <c r="A4" s="15"/>
      <c r="B4" s="15"/>
      <c r="C4" s="15"/>
      <c r="D4" s="15"/>
      <c r="E4" s="15"/>
      <c r="F4" s="16" t="str">
        <f>lang!C83</f>
        <v>SELECCIONE PERFIL DE PONDERACIÓN</v>
      </c>
      <c r="G4" s="15"/>
      <c r="H4" s="15"/>
      <c r="I4" s="15"/>
      <c r="J4" s="15"/>
    </row>
    <row r="5" spans="1:54">
      <c r="A5" s="15"/>
      <c r="B5" s="15"/>
      <c r="C5" s="15"/>
      <c r="D5" s="15"/>
      <c r="E5" s="15"/>
      <c r="F5" s="17"/>
      <c r="G5" s="15"/>
      <c r="H5" s="15"/>
      <c r="I5" s="15"/>
      <c r="J5" s="15"/>
    </row>
    <row r="6" spans="1:54" ht="75.75" customHeight="1">
      <c r="A6" s="15"/>
      <c r="B6" s="15"/>
      <c r="C6" s="15"/>
      <c r="D6" s="15"/>
      <c r="E6" s="15"/>
      <c r="F6" s="15"/>
      <c r="G6" s="15"/>
      <c r="H6" s="15"/>
      <c r="I6" s="15"/>
      <c r="J6" s="15"/>
    </row>
    <row r="7" spans="1:54" s="27" customFormat="1" ht="15.75" hidden="1" customHeight="1">
      <c r="F7" s="236" t="s">
        <v>29</v>
      </c>
      <c r="G7" s="236">
        <v>1</v>
      </c>
      <c r="H7" s="236" t="s">
        <v>30</v>
      </c>
      <c r="I7" s="236"/>
      <c r="J7" s="236"/>
      <c r="L7" s="85"/>
      <c r="M7" s="85"/>
    </row>
    <row r="8" spans="1:54" ht="15" hidden="1">
      <c r="C8" s="3" t="str">
        <f>iWeights!C5</f>
        <v>NORM</v>
      </c>
      <c r="D8" s="3">
        <f>iWeights!D5</f>
        <v>2</v>
      </c>
      <c r="E8" s="3">
        <f ca="1">iWeights!E5</f>
        <v>1</v>
      </c>
      <c r="F8" s="237" t="str">
        <f>iWeights!F5</f>
        <v>1) NORMATIVA</v>
      </c>
      <c r="G8" s="390">
        <v>1</v>
      </c>
      <c r="H8" s="163">
        <f>INDEX(tblIndicators!AD$2:AD$52,D8)</f>
        <v>0.33333333333333331</v>
      </c>
      <c r="I8" s="164"/>
      <c r="J8" s="165" t="str">
        <f>REPT("|",H8*45)</f>
        <v>|||||||||||||||</v>
      </c>
      <c r="L8" s="85"/>
      <c r="M8"/>
    </row>
    <row r="9" spans="1:54" ht="15" hidden="1">
      <c r="C9" s="3" t="str">
        <f>iWeights!C6</f>
        <v>ORG</v>
      </c>
      <c r="D9" s="3">
        <f>iWeights!D6</f>
        <v>22</v>
      </c>
      <c r="E9" s="3">
        <f ca="1">iWeights!E6</f>
        <v>1</v>
      </c>
      <c r="F9" s="237" t="str">
        <f>iWeights!F6</f>
        <v>2) ORGANIZATIVA</v>
      </c>
      <c r="G9" s="390">
        <v>1</v>
      </c>
      <c r="H9" s="163">
        <f>INDEX(tblIndicators!AD$2:AD$52,D9)</f>
        <v>0.33333333333333331</v>
      </c>
      <c r="I9" s="164"/>
      <c r="J9" s="165" t="str">
        <f>REPT("|",H9*45)</f>
        <v>|||||||||||||||</v>
      </c>
    </row>
    <row r="10" spans="1:54" ht="15" hidden="1">
      <c r="C10" s="3" t="str">
        <f>iWeights!C7</f>
        <v>MERC</v>
      </c>
      <c r="D10" s="3">
        <f>iWeights!D7</f>
        <v>33</v>
      </c>
      <c r="E10" s="3">
        <f ca="1">iWeights!E7</f>
        <v>1</v>
      </c>
      <c r="F10" s="237" t="str">
        <f>iWeights!F7</f>
        <v>3) MERCADO</v>
      </c>
      <c r="G10" s="390">
        <v>1</v>
      </c>
      <c r="H10" s="163">
        <f>INDEX(tblIndicators!AD$2:AD$52,D10)</f>
        <v>0.33333333333333331</v>
      </c>
      <c r="I10" s="164"/>
      <c r="J10" s="165" t="str">
        <f>REPT("|",H10*45)</f>
        <v>|||||||||||||||</v>
      </c>
    </row>
    <row r="11" spans="1:54" ht="15" hidden="1">
      <c r="F11" s="166"/>
      <c r="G11" s="166"/>
      <c r="H11" s="166"/>
      <c r="I11" s="167"/>
      <c r="J11" s="168"/>
    </row>
    <row r="12" spans="1:54" ht="15.75">
      <c r="F12" s="236" t="s">
        <v>2250</v>
      </c>
      <c r="G12" s="236"/>
      <c r="H12" s="236" t="s">
        <v>2305</v>
      </c>
      <c r="I12" s="236"/>
      <c r="J12" s="236"/>
    </row>
    <row r="13" spans="1:54" ht="15">
      <c r="C13" s="3" t="str">
        <f>iWeights!C10</f>
        <v>NORM</v>
      </c>
      <c r="D13" s="3">
        <f>iWeights!D10</f>
        <v>2</v>
      </c>
      <c r="E13" s="26">
        <f ca="1">iWeights!E10</f>
        <v>1</v>
      </c>
      <c r="F13" s="237" t="str">
        <f>iWeights!F10</f>
        <v>1) NORMATIVA</v>
      </c>
      <c r="G13" s="169"/>
      <c r="H13" s="163"/>
      <c r="I13" s="164"/>
      <c r="J13" s="165"/>
    </row>
    <row r="14" spans="1:54" ht="15">
      <c r="C14" s="3" t="str">
        <f>iWeights!C11</f>
        <v>NORM1.1</v>
      </c>
      <c r="D14" s="3">
        <f>iWeights!D11</f>
        <v>3</v>
      </c>
      <c r="E14" s="26">
        <f ca="1">iWeights!E11</f>
        <v>2</v>
      </c>
      <c r="F14" s="162" t="str">
        <f>iWeights!F11</f>
        <v>1.1) Normativa sobre gestión de residuos</v>
      </c>
      <c r="G14" s="572">
        <v>1</v>
      </c>
      <c r="H14" s="163">
        <f>INDEX(tblIndicators!AD$2:AD$52,D14)</f>
        <v>0.25</v>
      </c>
      <c r="I14" s="164"/>
      <c r="J14" s="165" t="str">
        <f>REPT("|",H14*45)</f>
        <v>|||||||||||</v>
      </c>
    </row>
    <row r="15" spans="1:54" ht="15">
      <c r="C15" s="3" t="str">
        <f>iWeights!C12</f>
        <v>NORM1.2</v>
      </c>
      <c r="D15" s="3">
        <f>iWeights!D12</f>
        <v>8</v>
      </c>
      <c r="E15" s="26">
        <f ca="1">iWeights!E12</f>
        <v>2</v>
      </c>
      <c r="F15" s="162" t="str">
        <f>iWeights!F12</f>
        <v>1.2) Integración del reciclador de base</v>
      </c>
      <c r="G15" s="572">
        <v>1</v>
      </c>
      <c r="H15" s="163">
        <f>INDEX(tblIndicators!AD$2:AD$52,D15)</f>
        <v>0.25</v>
      </c>
      <c r="I15" s="164"/>
      <c r="J15" s="165" t="str">
        <f>REPT("|",H15*45)</f>
        <v>|||||||||||</v>
      </c>
    </row>
    <row r="16" spans="1:54" ht="15">
      <c r="C16" s="3" t="str">
        <f>iWeights!C13</f>
        <v>NORM1.3</v>
      </c>
      <c r="D16" s="3">
        <f>iWeights!D13</f>
        <v>17</v>
      </c>
      <c r="E16" s="26">
        <f ca="1">iWeights!E13</f>
        <v>2</v>
      </c>
      <c r="F16" s="162" t="str">
        <f>iWeights!F13</f>
        <v>1.3) Generación de información</v>
      </c>
      <c r="G16" s="572">
        <v>1</v>
      </c>
      <c r="H16" s="163">
        <f>INDEX(tblIndicators!AD$2:AD$52,D16)</f>
        <v>0.25</v>
      </c>
      <c r="I16" s="164"/>
      <c r="J16" s="165" t="str">
        <f>REPT("|",H16*45)</f>
        <v>|||||||||||</v>
      </c>
    </row>
    <row r="17" spans="3:11" ht="15">
      <c r="C17" s="3" t="str">
        <f>iWeights!C14</f>
        <v>NORM1.4</v>
      </c>
      <c r="D17" s="3">
        <f>iWeights!D14</f>
        <v>20</v>
      </c>
      <c r="E17" s="26">
        <f ca="1">iWeights!E14</f>
        <v>2</v>
      </c>
      <c r="F17" s="162" t="str">
        <f>iWeights!F14</f>
        <v>1.4) Salud pública y el medioambiente</v>
      </c>
      <c r="G17" s="572">
        <v>1</v>
      </c>
      <c r="H17" s="163">
        <f>INDEX(tblIndicators!AD$2:AD$52,D17)</f>
        <v>0.25</v>
      </c>
      <c r="I17" s="164"/>
      <c r="J17" s="165" t="str">
        <f>REPT("|",H17*45)</f>
        <v>|||||||||||</v>
      </c>
    </row>
    <row r="18" spans="3:11" ht="15">
      <c r="C18" s="3" t="str">
        <f>iWeights!C15</f>
        <v>ORG</v>
      </c>
      <c r="D18" s="3">
        <f>iWeights!D15</f>
        <v>22</v>
      </c>
      <c r="E18" s="26">
        <f ca="1">iWeights!E15</f>
        <v>1</v>
      </c>
      <c r="F18" s="162" t="str">
        <f>iWeights!F15</f>
        <v>2) ORGANIZATIVA</v>
      </c>
      <c r="G18" s="573"/>
      <c r="H18" s="163"/>
      <c r="I18" s="164"/>
      <c r="J18" s="165"/>
    </row>
    <row r="19" spans="3:11" ht="15">
      <c r="C19" s="3" t="str">
        <f>iWeights!C16</f>
        <v>ORG2.1</v>
      </c>
      <c r="D19" s="3">
        <f>iWeights!D16</f>
        <v>23</v>
      </c>
      <c r="E19" s="26">
        <f ca="1">iWeights!E16</f>
        <v>2</v>
      </c>
      <c r="F19" s="162" t="str">
        <f>iWeights!F16</f>
        <v>2.1) Asociatividad</v>
      </c>
      <c r="G19" s="572">
        <v>1</v>
      </c>
      <c r="H19" s="163">
        <f>INDEX(tblIndicators!AD$2:AD$52,D19)</f>
        <v>0.5</v>
      </c>
      <c r="I19" s="164"/>
      <c r="J19" s="165" t="str">
        <f>REPT("|",H19*45)</f>
        <v>||||||||||||||||||||||</v>
      </c>
    </row>
    <row r="20" spans="3:11" ht="15">
      <c r="C20" s="3" t="str">
        <f>iWeights!C17</f>
        <v>ORG2.2</v>
      </c>
      <c r="D20" s="3">
        <f>iWeights!D17</f>
        <v>29</v>
      </c>
      <c r="E20" s="26">
        <f ca="1">iWeights!E17</f>
        <v>2</v>
      </c>
      <c r="F20" s="162" t="str">
        <f>iWeights!F17</f>
        <v>2.2) Organizaciones comerciales</v>
      </c>
      <c r="G20" s="572">
        <v>1</v>
      </c>
      <c r="H20" s="163">
        <f>INDEX(tblIndicators!AD$2:AD$52,D20)</f>
        <v>0.5</v>
      </c>
      <c r="I20" s="164"/>
      <c r="J20" s="165" t="str">
        <f>REPT("|",H20*45)</f>
        <v>||||||||||||||||||||||</v>
      </c>
    </row>
    <row r="21" spans="3:11" ht="15">
      <c r="C21" s="3" t="str">
        <f>iWeights!C18</f>
        <v>MERC</v>
      </c>
      <c r="D21" s="3">
        <f>iWeights!D18</f>
        <v>33</v>
      </c>
      <c r="E21" s="26">
        <f ca="1">iWeights!E18</f>
        <v>1</v>
      </c>
      <c r="F21" s="162" t="str">
        <f>iWeights!F18</f>
        <v>3) MERCADO</v>
      </c>
      <c r="G21" s="573"/>
      <c r="H21" s="163"/>
      <c r="I21" s="164"/>
      <c r="J21" s="165"/>
    </row>
    <row r="22" spans="3:11" ht="15">
      <c r="C22" s="3" t="str">
        <f>iWeights!C19</f>
        <v>MERC3.1</v>
      </c>
      <c r="D22" s="3">
        <f>iWeights!D19</f>
        <v>34</v>
      </c>
      <c r="E22" s="26">
        <f ca="1">iWeights!E19</f>
        <v>2</v>
      </c>
      <c r="F22" s="162" t="str">
        <f>iWeights!F19</f>
        <v>3.1) Condiciones de acceso y almacenamiento de residuos</v>
      </c>
      <c r="G22" s="572">
        <v>1</v>
      </c>
      <c r="H22" s="163">
        <f>INDEX(tblIndicators!AD$2:AD$52,D22)</f>
        <v>0.25</v>
      </c>
      <c r="I22" s="164"/>
      <c r="J22" s="165" t="str">
        <f>REPT("|",H22*45)</f>
        <v>|||||||||||</v>
      </c>
    </row>
    <row r="23" spans="3:11" ht="15">
      <c r="C23" s="3" t="str">
        <f>iWeights!C20</f>
        <v>MERC3.2</v>
      </c>
      <c r="D23" s="3">
        <f>iWeights!D20</f>
        <v>39</v>
      </c>
      <c r="E23" s="26">
        <f ca="1">iWeights!E20</f>
        <v>2</v>
      </c>
      <c r="F23" s="162" t="str">
        <f>iWeights!F20</f>
        <v>3.2) Condiciones para la comercialización de material reciclable</v>
      </c>
      <c r="G23" s="572">
        <v>1</v>
      </c>
      <c r="H23" s="163">
        <f>INDEX(tblIndicators!AD$2:AD$52,D23)</f>
        <v>0.25</v>
      </c>
      <c r="I23" s="164"/>
      <c r="J23" s="165" t="str">
        <f>REPT("|",H23*45)</f>
        <v>|||||||||||</v>
      </c>
    </row>
    <row r="24" spans="3:11" ht="15">
      <c r="C24" s="3" t="str">
        <f>iWeights!C21</f>
        <v>MERC3.3</v>
      </c>
      <c r="D24" s="3">
        <f>iWeights!D21</f>
        <v>42</v>
      </c>
      <c r="E24" s="26">
        <f ca="1">iWeights!E21</f>
        <v>2</v>
      </c>
      <c r="F24" s="162" t="str">
        <f>iWeights!F21</f>
        <v>3.3) Ingreso de los recicladores de base</v>
      </c>
      <c r="G24" s="572">
        <v>1</v>
      </c>
      <c r="H24" s="163">
        <f>INDEX(tblIndicators!AD$2:AD$52,D24)</f>
        <v>0.25</v>
      </c>
      <c r="I24" s="164"/>
      <c r="J24" s="165" t="str">
        <f>REPT("|",H24*45)</f>
        <v>|||||||||||</v>
      </c>
    </row>
    <row r="25" spans="3:11" ht="15">
      <c r="C25" s="3" t="str">
        <f>iWeights!C22</f>
        <v>MERC3.4</v>
      </c>
      <c r="D25" s="3">
        <f>iWeights!D22</f>
        <v>47</v>
      </c>
      <c r="E25" s="26">
        <f ca="1">iWeights!E22</f>
        <v>2</v>
      </c>
      <c r="F25" s="162" t="str">
        <f>iWeights!F22</f>
        <v>3.4) Condiciones de trabajo de los recicladores de base</v>
      </c>
      <c r="G25" s="572">
        <v>1</v>
      </c>
      <c r="H25" s="163">
        <f>INDEX(tblIndicators!AD$2:AD$52,D25)</f>
        <v>0.25</v>
      </c>
      <c r="I25" s="164"/>
      <c r="J25" s="165" t="str">
        <f>REPT("|",H25*45)</f>
        <v>|||||||||||</v>
      </c>
    </row>
    <row r="26" spans="3:11" customFormat="1" ht="15" hidden="1">
      <c r="G26" s="392"/>
    </row>
    <row r="27" spans="3:11" customFormat="1" ht="15">
      <c r="G27" s="574"/>
    </row>
    <row r="28" spans="3:11" ht="15.75">
      <c r="F28" s="236" t="s">
        <v>2251</v>
      </c>
      <c r="G28" s="393"/>
      <c r="H28" s="236" t="s">
        <v>2305</v>
      </c>
      <c r="I28" s="236"/>
      <c r="J28" s="236"/>
    </row>
    <row r="29" spans="3:11" ht="15">
      <c r="C29" s="3" t="str">
        <f>iWeights!C26</f>
        <v>NORM</v>
      </c>
      <c r="D29" s="3">
        <f>iWeights!D26</f>
        <v>2</v>
      </c>
      <c r="E29" s="26">
        <f ca="1">iWeights!E26</f>
        <v>1</v>
      </c>
      <c r="F29" s="162" t="str">
        <f>iWeights!F26</f>
        <v>1) NORMATIVA</v>
      </c>
      <c r="G29" s="394"/>
      <c r="H29" s="163"/>
      <c r="I29" s="164"/>
      <c r="J29" s="165"/>
      <c r="K29" s="79"/>
    </row>
    <row r="30" spans="3:11" ht="15">
      <c r="C30" s="3" t="str">
        <f>iWeights!C27</f>
        <v>NORM1.1</v>
      </c>
      <c r="D30" s="3">
        <f>iWeights!D27</f>
        <v>3</v>
      </c>
      <c r="E30" s="26">
        <f ca="1">iWeights!E27</f>
        <v>2</v>
      </c>
      <c r="F30" s="162" t="str">
        <f>iWeights!F27</f>
        <v>1.1) Normativa sobre gestión de residuos</v>
      </c>
      <c r="G30" s="394"/>
      <c r="H30" s="163"/>
      <c r="I30" s="164"/>
      <c r="J30" s="165"/>
      <c r="K30" s="79"/>
    </row>
    <row r="31" spans="3:11" ht="15">
      <c r="C31" s="3" t="str">
        <f>iWeights!C28</f>
        <v>NORM1.1.1</v>
      </c>
      <c r="D31" s="3">
        <f>iWeights!D28</f>
        <v>4</v>
      </c>
      <c r="E31" s="26">
        <f ca="1">iWeights!E28</f>
        <v>3</v>
      </c>
      <c r="F31" s="162" t="str">
        <f>iWeights!F28</f>
        <v>1.1.1) 1.¿ Existe un marco legal nacional para la gestión de residuos orientado al reciclaje con la inclusión de actores informales?</v>
      </c>
      <c r="G31" s="391">
        <v>1</v>
      </c>
      <c r="H31" s="163">
        <f>INDEX(tblIndicators!AD$2:AD$52,D31)</f>
        <v>0.25</v>
      </c>
      <c r="I31" s="164"/>
      <c r="J31" s="165" t="str">
        <f>REPT("|",H31*45)</f>
        <v>|||||||||||</v>
      </c>
      <c r="K31" s="79"/>
    </row>
    <row r="32" spans="3:11" ht="15">
      <c r="C32" s="3" t="str">
        <f>iWeights!C29</f>
        <v>NORM1.1.2</v>
      </c>
      <c r="D32" s="3">
        <f>iWeights!D29</f>
        <v>5</v>
      </c>
      <c r="E32" s="26">
        <f ca="1">iWeights!E29</f>
        <v>3</v>
      </c>
      <c r="F32" s="162" t="str">
        <f>iWeights!F29</f>
        <v>1.1.2) 2.¿Existe un marco legal municipal para la gestión de residuos orientado al reciclaje y la inclusión de actores informales?</v>
      </c>
      <c r="G32" s="391">
        <v>1</v>
      </c>
      <c r="H32" s="163">
        <f>INDEX(tblIndicators!AD$2:AD$52,D32)</f>
        <v>0.25</v>
      </c>
      <c r="I32" s="164"/>
      <c r="J32" s="165" t="str">
        <f>REPT("|",H32*45)</f>
        <v>|||||||||||</v>
      </c>
      <c r="K32" s="79"/>
    </row>
    <row r="33" spans="3:11" ht="15">
      <c r="C33" s="3" t="str">
        <f>iWeights!C30</f>
        <v>NORM1.1.3</v>
      </c>
      <c r="D33" s="3">
        <f>iWeights!D30</f>
        <v>6</v>
      </c>
      <c r="E33" s="26">
        <f ca="1">iWeights!E30</f>
        <v>3</v>
      </c>
      <c r="F33" s="162" t="str">
        <f>iWeights!F30</f>
        <v>1.1.3) 3.¿Son las políticas municipales suficientemente estables para garantizar la continuidad en materia de políticas de reciclaje inclusivo?</v>
      </c>
      <c r="G33" s="391">
        <v>1</v>
      </c>
      <c r="H33" s="163">
        <f>INDEX(tblIndicators!AD$2:AD$52,D33)</f>
        <v>0.25</v>
      </c>
      <c r="I33" s="164"/>
      <c r="J33" s="165" t="str">
        <f>REPT("|",H33*45)</f>
        <v>|||||||||||</v>
      </c>
      <c r="K33" s="79"/>
    </row>
    <row r="34" spans="3:11" ht="15">
      <c r="C34" s="3" t="str">
        <f>iWeights!C31</f>
        <v>NORM1.1.4</v>
      </c>
      <c r="D34" s="3">
        <f>iWeights!D31</f>
        <v>7</v>
      </c>
      <c r="E34" s="26">
        <f ca="1">iWeights!E31</f>
        <v>3</v>
      </c>
      <c r="F34" s="162" t="str">
        <f>iWeights!F31</f>
        <v>1.1.4) 4.¿Existe un presupuesto (o mecanismo de financiación) municipal asignado para el reciclaje inclusivo?</v>
      </c>
      <c r="G34" s="391">
        <v>1</v>
      </c>
      <c r="H34" s="163">
        <f>INDEX(tblIndicators!AD$2:AD$52,D34)</f>
        <v>0.25</v>
      </c>
      <c r="I34" s="164"/>
      <c r="J34" s="165" t="str">
        <f>REPT("|",H34*45)</f>
        <v>|||||||||||</v>
      </c>
      <c r="K34" s="79"/>
    </row>
    <row r="35" spans="3:11" ht="15">
      <c r="C35" s="3" t="str">
        <f>iWeights!C32</f>
        <v>NORM1.2</v>
      </c>
      <c r="D35" s="3">
        <f>iWeights!D32</f>
        <v>8</v>
      </c>
      <c r="E35" s="26">
        <f ca="1">iWeights!E32</f>
        <v>2</v>
      </c>
      <c r="F35" s="162" t="str">
        <f>iWeights!F32</f>
        <v>1.2) Integración del reciclador de base</v>
      </c>
      <c r="G35" s="394"/>
      <c r="H35" s="163"/>
      <c r="I35" s="164"/>
      <c r="J35" s="165"/>
      <c r="K35" s="79"/>
    </row>
    <row r="36" spans="3:11" ht="15">
      <c r="C36" s="3" t="str">
        <f>iWeights!C33</f>
        <v>NORM1.2.1</v>
      </c>
      <c r="D36" s="3">
        <f>iWeights!D33</f>
        <v>9</v>
      </c>
      <c r="E36" s="26">
        <f ca="1">iWeights!E33</f>
        <v>3</v>
      </c>
      <c r="F36" s="162" t="str">
        <f>iWeights!F33</f>
        <v>1.2.1) 5.¿Existe reconocimiento legal de la ocupación de reciclador de base?</v>
      </c>
      <c r="G36" s="391">
        <v>1</v>
      </c>
      <c r="H36" s="163">
        <f>INDEX(tblIndicators!AD$2:AD$52,D36)</f>
        <v>0.125</v>
      </c>
      <c r="I36" s="164"/>
      <c r="J36" s="165" t="str">
        <f t="shared" ref="J36:J43" si="0">REPT("|",H36*45)</f>
        <v>|||||</v>
      </c>
      <c r="K36" s="79"/>
    </row>
    <row r="37" spans="3:11" ht="15">
      <c r="C37" s="3" t="str">
        <f>iWeights!C34</f>
        <v>NORM1.2.2</v>
      </c>
      <c r="D37" s="3">
        <f>iWeights!D34</f>
        <v>10</v>
      </c>
      <c r="E37" s="26">
        <f ca="1">iWeights!E34</f>
        <v>3</v>
      </c>
      <c r="F37" s="162" t="str">
        <f>iWeights!F34</f>
        <v>1.2.2) 6.¿Se reconoce a los recicladores de base como prestadores de servicio en la gestión de residuos?</v>
      </c>
      <c r="G37" s="391">
        <v>1</v>
      </c>
      <c r="H37" s="163">
        <f>INDEX(tblIndicators!AD$2:AD$52,D37)</f>
        <v>0.125</v>
      </c>
      <c r="I37" s="164"/>
      <c r="J37" s="165" t="str">
        <f t="shared" si="0"/>
        <v>|||||</v>
      </c>
      <c r="K37" s="79"/>
    </row>
    <row r="38" spans="3:11" ht="15">
      <c r="C38" s="3" t="str">
        <f>iWeights!C35</f>
        <v>NORM1.2.3</v>
      </c>
      <c r="D38" s="3">
        <f>iWeights!D35</f>
        <v>11</v>
      </c>
      <c r="E38" s="26">
        <f ca="1">iWeights!E35</f>
        <v>3</v>
      </c>
      <c r="F38" s="162" t="str">
        <f>iWeights!F35</f>
        <v>1.2.3) 7.¿Se ha identificado la población de recicladores de base a través de un censo?</v>
      </c>
      <c r="G38" s="391">
        <v>1</v>
      </c>
      <c r="H38" s="163">
        <f>INDEX(tblIndicators!AD$2:AD$52,D38)</f>
        <v>0.125</v>
      </c>
      <c r="I38" s="164"/>
      <c r="J38" s="165" t="str">
        <f t="shared" si="0"/>
        <v>|||||</v>
      </c>
      <c r="K38" s="79"/>
    </row>
    <row r="39" spans="3:11" ht="15">
      <c r="C39" s="3" t="str">
        <f>iWeights!C36</f>
        <v>NORM1.2.4</v>
      </c>
      <c r="D39" s="3">
        <f>iWeights!D36</f>
        <v>12</v>
      </c>
      <c r="E39" s="26">
        <f ca="1">iWeights!E36</f>
        <v>3</v>
      </c>
      <c r="F39" s="162" t="str">
        <f>iWeights!F36</f>
        <v>1.2.4) 8.¿Cuál es el grado de transparencia e inclusión en los procesos de licitación para el reciclaje?</v>
      </c>
      <c r="G39" s="391">
        <v>1</v>
      </c>
      <c r="H39" s="163">
        <f>INDEX(tblIndicators!AD$2:AD$52,D39)</f>
        <v>0.125</v>
      </c>
      <c r="I39" s="164"/>
      <c r="J39" s="165" t="str">
        <f t="shared" si="0"/>
        <v>|||||</v>
      </c>
      <c r="K39" s="79"/>
    </row>
    <row r="40" spans="3:11" ht="15">
      <c r="C40" s="3" t="str">
        <f>iWeights!C37</f>
        <v>NORM1.2.5</v>
      </c>
      <c r="D40" s="3">
        <f>iWeights!D37</f>
        <v>13</v>
      </c>
      <c r="E40" s="26">
        <f ca="1">iWeights!E37</f>
        <v>3</v>
      </c>
      <c r="F40" s="162" t="str">
        <f>iWeights!F37</f>
        <v>1.2.5) 9.¿La normativa/ estrategia municipal de residuos sólidos: fue desarrollada de manera participativa?</v>
      </c>
      <c r="G40" s="391">
        <v>1</v>
      </c>
      <c r="H40" s="163">
        <f>INDEX(tblIndicators!AD$2:AD$52,D40)</f>
        <v>0.125</v>
      </c>
      <c r="I40" s="164"/>
      <c r="J40" s="165" t="str">
        <f t="shared" si="0"/>
        <v>|||||</v>
      </c>
      <c r="K40" s="79"/>
    </row>
    <row r="41" spans="3:11" ht="15">
      <c r="C41" s="3" t="str">
        <f>iWeights!C38</f>
        <v>NORM1.2.6</v>
      </c>
      <c r="D41" s="3">
        <f>iWeights!D38</f>
        <v>14</v>
      </c>
      <c r="E41" s="26">
        <f ca="1">iWeights!E38</f>
        <v>3</v>
      </c>
      <c r="F41" s="162" t="str">
        <f>iWeights!F38</f>
        <v>1.2.6) 10.¿Hay programas de formación/capacitación a nivel municipal?</v>
      </c>
      <c r="G41" s="391">
        <v>1</v>
      </c>
      <c r="H41" s="163">
        <f>INDEX(tblIndicators!AD$2:AD$52,D41)</f>
        <v>0.125</v>
      </c>
      <c r="I41" s="164"/>
      <c r="J41" s="165" t="str">
        <f t="shared" si="0"/>
        <v>|||||</v>
      </c>
      <c r="K41" s="79"/>
    </row>
    <row r="42" spans="3:11" ht="15">
      <c r="C42" s="3" t="str">
        <f>iWeights!C39</f>
        <v>NORM1.2.7</v>
      </c>
      <c r="D42" s="3">
        <f>iWeights!D39</f>
        <v>15</v>
      </c>
      <c r="E42" s="26">
        <f ca="1">iWeights!E39</f>
        <v>3</v>
      </c>
      <c r="F42" s="162" t="str">
        <f>iWeights!F39</f>
        <v>1.2.7) 11.¿Existen incentivos, programas y/o acciones concretas para el fortalecimiento de la ocupación del reciclador de base?</v>
      </c>
      <c r="G42" s="391">
        <v>1</v>
      </c>
      <c r="H42" s="163">
        <f>INDEX(tblIndicators!AD$2:AD$52,D42)</f>
        <v>0.125</v>
      </c>
      <c r="I42" s="164"/>
      <c r="J42" s="165" t="str">
        <f t="shared" si="0"/>
        <v>|||||</v>
      </c>
      <c r="K42" s="79"/>
    </row>
    <row r="43" spans="3:11" ht="15">
      <c r="C43" s="3" t="str">
        <f>iWeights!C40</f>
        <v>NORM1.2.8</v>
      </c>
      <c r="D43" s="3">
        <f>iWeights!D40</f>
        <v>16</v>
      </c>
      <c r="E43" s="26">
        <f ca="1">iWeights!E40</f>
        <v>3</v>
      </c>
      <c r="F43" s="162" t="str">
        <f>iWeights!F40</f>
        <v xml:space="preserve">1.2.8) 12.¿Existen incentivos de reciclaje para los usuarios? </v>
      </c>
      <c r="G43" s="391">
        <v>1</v>
      </c>
      <c r="H43" s="163">
        <f>INDEX(tblIndicators!AD$2:AD$52,D43)</f>
        <v>0.125</v>
      </c>
      <c r="I43" s="164"/>
      <c r="J43" s="165" t="str">
        <f t="shared" si="0"/>
        <v>|||||</v>
      </c>
      <c r="K43" s="79"/>
    </row>
    <row r="44" spans="3:11" ht="15">
      <c r="C44" s="3" t="str">
        <f>iWeights!C41</f>
        <v>NORM1.3</v>
      </c>
      <c r="D44" s="3">
        <f>iWeights!D41</f>
        <v>17</v>
      </c>
      <c r="E44" s="26">
        <f ca="1">iWeights!E41</f>
        <v>2</v>
      </c>
      <c r="F44" s="162" t="str">
        <f>iWeights!F41</f>
        <v>1.3) Generación de información</v>
      </c>
      <c r="G44" s="394"/>
      <c r="H44" s="163"/>
      <c r="I44" s="164"/>
      <c r="J44" s="165"/>
      <c r="K44" s="79"/>
    </row>
    <row r="45" spans="3:11" ht="15">
      <c r="C45" s="3" t="str">
        <f>iWeights!C42</f>
        <v>NORM1.3.1</v>
      </c>
      <c r="D45" s="3">
        <f>iWeights!D42</f>
        <v>18</v>
      </c>
      <c r="E45" s="26">
        <f ca="1">iWeights!E42</f>
        <v>3</v>
      </c>
      <c r="F45" s="162" t="str">
        <f>iWeights!F42</f>
        <v>1.3.1) 13.¿Hay un sistema municipal de recolección de información de reciclaje inclusivo?</v>
      </c>
      <c r="G45" s="391">
        <v>1</v>
      </c>
      <c r="H45" s="163">
        <f>INDEX(tblIndicators!AD$2:AD$52,D45)</f>
        <v>0.5</v>
      </c>
      <c r="I45" s="164"/>
      <c r="J45" s="165" t="str">
        <f>REPT("|",H45*45)</f>
        <v>||||||||||||||||||||||</v>
      </c>
      <c r="K45" s="79"/>
    </row>
    <row r="46" spans="3:11" ht="15">
      <c r="C46" s="3" t="str">
        <f>iWeights!C43</f>
        <v>NORM1.3.2</v>
      </c>
      <c r="D46" s="3">
        <f>iWeights!D43</f>
        <v>19</v>
      </c>
      <c r="E46" s="26">
        <f ca="1">iWeights!E43</f>
        <v>3</v>
      </c>
      <c r="F46" s="162" t="str">
        <f>iWeights!F43</f>
        <v>1.3.2) 14.¿Hay campañas de comunicación para fomentar el reciclaje inclusivo con difusión en el municipio?</v>
      </c>
      <c r="G46" s="391">
        <v>1</v>
      </c>
      <c r="H46" s="163">
        <f>INDEX(tblIndicators!AD$2:AD$52,D46)</f>
        <v>0.5</v>
      </c>
      <c r="I46" s="164"/>
      <c r="J46" s="165" t="str">
        <f>REPT("|",H46*45)</f>
        <v>||||||||||||||||||||||</v>
      </c>
      <c r="K46" s="79"/>
    </row>
    <row r="47" spans="3:11" ht="15">
      <c r="C47" s="3" t="str">
        <f>iWeights!C44</f>
        <v>NORM1.4</v>
      </c>
      <c r="D47" s="3">
        <f>iWeights!D44</f>
        <v>20</v>
      </c>
      <c r="E47" s="26">
        <f ca="1">iWeights!E44</f>
        <v>2</v>
      </c>
      <c r="F47" s="162" t="str">
        <f>iWeights!F44</f>
        <v>1.4) Salud pública y el medioambiente</v>
      </c>
      <c r="G47" s="394"/>
      <c r="H47" s="163"/>
      <c r="I47" s="164"/>
      <c r="J47" s="165"/>
      <c r="K47" s="79"/>
    </row>
    <row r="48" spans="3:11" ht="15">
      <c r="C48" s="3" t="str">
        <f>iWeights!C45</f>
        <v>NORM1.4.1</v>
      </c>
      <c r="D48" s="3">
        <f>iWeights!D45</f>
        <v>21</v>
      </c>
      <c r="E48" s="26">
        <f ca="1">iWeights!E45</f>
        <v>3</v>
      </c>
      <c r="F48" s="162" t="str">
        <f>iWeights!F45</f>
        <v>1.4.1) 15.¿Existe adecuada regulación y control sobre clasificación y manejo de desechos especiales y/o  peligrosos y sobre clasificación en la calle?</v>
      </c>
      <c r="G48" s="391">
        <v>1</v>
      </c>
      <c r="H48" s="163">
        <f>INDEX(tblIndicators!AD$2:AD$52,D48)</f>
        <v>1</v>
      </c>
      <c r="I48" s="164"/>
      <c r="J48" s="165" t="str">
        <f>REPT("|",H48*45)</f>
        <v>|||||||||||||||||||||||||||||||||||||||||||||</v>
      </c>
      <c r="K48" s="79"/>
    </row>
    <row r="49" spans="3:11" ht="15">
      <c r="C49" s="3" t="str">
        <f>iWeights!C46</f>
        <v>ORG</v>
      </c>
      <c r="D49" s="3">
        <f>iWeights!D46</f>
        <v>22</v>
      </c>
      <c r="E49" s="26">
        <f ca="1">iWeights!E46</f>
        <v>1</v>
      </c>
      <c r="F49" s="162" t="str">
        <f>iWeights!F46</f>
        <v>2) ORGANIZATIVA</v>
      </c>
      <c r="G49" s="394"/>
      <c r="H49" s="163"/>
      <c r="I49" s="164"/>
      <c r="J49" s="165"/>
      <c r="K49" s="79"/>
    </row>
    <row r="50" spans="3:11" ht="15">
      <c r="C50" s="3" t="str">
        <f>iWeights!C47</f>
        <v>ORG2.1</v>
      </c>
      <c r="D50" s="3">
        <f>iWeights!D47</f>
        <v>23</v>
      </c>
      <c r="E50" s="26">
        <f ca="1">iWeights!E47</f>
        <v>2</v>
      </c>
      <c r="F50" s="162" t="str">
        <f>iWeights!F47</f>
        <v>2.1) Asociatividad</v>
      </c>
      <c r="G50" s="394"/>
      <c r="H50" s="163"/>
      <c r="I50" s="164"/>
      <c r="J50" s="165"/>
      <c r="K50" s="79"/>
    </row>
    <row r="51" spans="3:11" ht="15">
      <c r="C51" s="3" t="str">
        <f>iWeights!C48</f>
        <v>ORG2.1.1</v>
      </c>
      <c r="D51" s="3">
        <f>iWeights!D48</f>
        <v>24</v>
      </c>
      <c r="E51" s="26">
        <f ca="1">iWeights!E48</f>
        <v>3</v>
      </c>
      <c r="F51" s="162" t="str">
        <f>iWeights!F48</f>
        <v>2.1.1) 16.¿Cuán dinámicas son las asociaciones?</v>
      </c>
      <c r="G51" s="391">
        <v>1</v>
      </c>
      <c r="H51" s="163">
        <f>INDEX(tblIndicators!AD$2:AD$52,D51)</f>
        <v>0.2</v>
      </c>
      <c r="I51" s="164"/>
      <c r="J51" s="165" t="str">
        <f>REPT("|",H51*45)</f>
        <v>|||||||||</v>
      </c>
      <c r="K51" s="79"/>
    </row>
    <row r="52" spans="3:11" ht="15">
      <c r="C52" s="3" t="str">
        <f>iWeights!C49</f>
        <v>ORG2.1.2</v>
      </c>
      <c r="D52" s="3">
        <f>iWeights!D49</f>
        <v>25</v>
      </c>
      <c r="E52" s="26">
        <f ca="1">iWeights!E49</f>
        <v>3</v>
      </c>
      <c r="F52" s="162" t="str">
        <f>iWeights!F49</f>
        <v xml:space="preserve">2.1.2) 17.¿Qué nivel de inclusión  presentan estas asociaciones? </v>
      </c>
      <c r="G52" s="391">
        <v>1</v>
      </c>
      <c r="H52" s="163">
        <f>INDEX(tblIndicators!AD$2:AD$52,D52)</f>
        <v>0.2</v>
      </c>
      <c r="I52" s="164"/>
      <c r="J52" s="165" t="str">
        <f>REPT("|",H52*45)</f>
        <v>|||||||||</v>
      </c>
      <c r="K52" s="79"/>
    </row>
    <row r="53" spans="3:11" ht="15">
      <c r="C53" s="3" t="str">
        <f>iWeights!C50</f>
        <v>ORG2.1.3</v>
      </c>
      <c r="D53" s="3">
        <f>iWeights!D50</f>
        <v>26</v>
      </c>
      <c r="E53" s="26">
        <f ca="1">iWeights!E50</f>
        <v>3</v>
      </c>
      <c r="F53" s="162" t="str">
        <f>iWeights!F50</f>
        <v>2.1.3) 18.¿Las asociaciones: participan en espacios de interlocución o diálogo con pares?</v>
      </c>
      <c r="G53" s="391">
        <v>1</v>
      </c>
      <c r="H53" s="163">
        <f>INDEX(tblIndicators!AD$2:AD$52,D53)</f>
        <v>0.2</v>
      </c>
      <c r="I53" s="164"/>
      <c r="J53" s="165" t="str">
        <f>REPT("|",H53*45)</f>
        <v>|||||||||</v>
      </c>
      <c r="K53" s="79"/>
    </row>
    <row r="54" spans="3:11" ht="15">
      <c r="C54" s="3" t="str">
        <f>iWeights!C51</f>
        <v>ORG2.1.4</v>
      </c>
      <c r="D54" s="3">
        <f>iWeights!D51</f>
        <v>27</v>
      </c>
      <c r="E54" s="26">
        <f ca="1">iWeights!E51</f>
        <v>3</v>
      </c>
      <c r="F54" s="162" t="str">
        <f>iWeights!F51</f>
        <v>2.1.4) 19.¿Existen espacios de diálogo y coordinación entre diferentes actores de la cadena de valor del reciclaje?</v>
      </c>
      <c r="G54" s="391">
        <v>1</v>
      </c>
      <c r="H54" s="163">
        <f>INDEX(tblIndicators!AD$2:AD$52,D54)</f>
        <v>0.2</v>
      </c>
      <c r="I54" s="164"/>
      <c r="J54" s="165" t="str">
        <f>REPT("|",H54*45)</f>
        <v>|||||||||</v>
      </c>
      <c r="K54" s="79"/>
    </row>
    <row r="55" spans="3:11" ht="15">
      <c r="C55" s="3" t="str">
        <f>iWeights!C52</f>
        <v>ORG2.1.5</v>
      </c>
      <c r="D55" s="3">
        <f>iWeights!D52</f>
        <v>28</v>
      </c>
      <c r="E55" s="26">
        <f ca="1">iWeights!E52</f>
        <v>3</v>
      </c>
      <c r="F55" s="162" t="str">
        <f>iWeights!F52</f>
        <v>2.1.5) 20.¿Cuál es el nivel de representación de las mujeres en las asociaciones?</v>
      </c>
      <c r="G55" s="391">
        <v>1</v>
      </c>
      <c r="H55" s="163">
        <f>INDEX(tblIndicators!AD$2:AD$52,D55)</f>
        <v>0.2</v>
      </c>
      <c r="I55" s="164"/>
      <c r="J55" s="165" t="str">
        <f>REPT("|",H55*45)</f>
        <v>|||||||||</v>
      </c>
      <c r="K55" s="79"/>
    </row>
    <row r="56" spans="3:11" ht="15">
      <c r="C56" s="3" t="str">
        <f>iWeights!C53</f>
        <v>ORG2.2</v>
      </c>
      <c r="D56" s="3">
        <f>iWeights!D53</f>
        <v>29</v>
      </c>
      <c r="E56" s="26">
        <f ca="1">iWeights!E53</f>
        <v>2</v>
      </c>
      <c r="F56" s="162" t="str">
        <f>iWeights!F53</f>
        <v>2.2) Organizaciones comerciales</v>
      </c>
      <c r="G56" s="394"/>
      <c r="H56" s="163"/>
      <c r="I56" s="164"/>
      <c r="J56" s="165"/>
      <c r="K56" s="79"/>
    </row>
    <row r="57" spans="3:11" ht="15">
      <c r="C57" s="3" t="str">
        <f>iWeights!C54</f>
        <v>ORG2.2.1</v>
      </c>
      <c r="D57" s="3">
        <f>iWeights!D54</f>
        <v>30</v>
      </c>
      <c r="E57" s="26">
        <f ca="1">iWeights!E54</f>
        <v>3</v>
      </c>
      <c r="F57" s="162" t="str">
        <f>iWeights!F54</f>
        <v xml:space="preserve">2.2.1) 21.¿Existen organizaciones de recicladores con actividad comercial en el municipio (cooperativas y/o microempresas)? </v>
      </c>
      <c r="G57" s="391">
        <v>1</v>
      </c>
      <c r="H57" s="163">
        <f>INDEX(tblIndicators!AD$2:AD$52,D57)</f>
        <v>0.33333333333333331</v>
      </c>
      <c r="I57" s="164"/>
      <c r="J57" s="165" t="str">
        <f>REPT("|",H57*45)</f>
        <v>|||||||||||||||</v>
      </c>
      <c r="K57" s="79"/>
    </row>
    <row r="58" spans="3:11" ht="15">
      <c r="C58" s="3" t="str">
        <f>iWeights!C55</f>
        <v>ORG2.2.2</v>
      </c>
      <c r="D58" s="3">
        <f>iWeights!D55</f>
        <v>31</v>
      </c>
      <c r="E58" s="26">
        <f ca="1">iWeights!E55</f>
        <v>3</v>
      </c>
      <c r="F58" s="162" t="str">
        <f>iWeights!F55</f>
        <v>2.2.2) 22.¿Cuál es el nivel de participación de las organizaciones de recicladores en la cadena de valor del reciclaje?</v>
      </c>
      <c r="G58" s="391">
        <v>1</v>
      </c>
      <c r="H58" s="163">
        <f>INDEX(tblIndicators!AD$2:AD$52,D58)</f>
        <v>0.33333333333333331</v>
      </c>
      <c r="I58" s="164"/>
      <c r="J58" s="165" t="str">
        <f>REPT("|",H58*45)</f>
        <v>|||||||||||||||</v>
      </c>
      <c r="K58" s="79"/>
    </row>
    <row r="59" spans="3:11" ht="15">
      <c r="C59" s="3" t="str">
        <f>iWeights!C56</f>
        <v>ORG2.2.3</v>
      </c>
      <c r="D59" s="3">
        <f>iWeights!D56</f>
        <v>32</v>
      </c>
      <c r="E59" s="26">
        <f ca="1">iWeights!E56</f>
        <v>3</v>
      </c>
      <c r="F59" s="162" t="str">
        <f>iWeights!F56</f>
        <v>2.2.3) 23. Las organizaciones comerciales de recicladores: ¿Tienen acceso a mecanismos de financiamiento?</v>
      </c>
      <c r="G59" s="391">
        <v>1</v>
      </c>
      <c r="H59" s="163">
        <f>INDEX(tblIndicators!AD$2:AD$52,D59)</f>
        <v>0.33333333333333331</v>
      </c>
      <c r="I59" s="164"/>
      <c r="J59" s="165" t="str">
        <f>REPT("|",H59*45)</f>
        <v>|||||||||||||||</v>
      </c>
      <c r="K59" s="79"/>
    </row>
    <row r="60" spans="3:11" ht="15">
      <c r="C60" s="3" t="str">
        <f>iWeights!C57</f>
        <v>MERC</v>
      </c>
      <c r="D60" s="3">
        <f>iWeights!D57</f>
        <v>33</v>
      </c>
      <c r="E60" s="26">
        <f ca="1">iWeights!E57</f>
        <v>1</v>
      </c>
      <c r="F60" s="162" t="str">
        <f>iWeights!F57</f>
        <v>3) MERCADO</v>
      </c>
      <c r="G60" s="394"/>
      <c r="H60" s="163"/>
      <c r="I60" s="164"/>
      <c r="J60" s="165"/>
      <c r="K60" s="79"/>
    </row>
    <row r="61" spans="3:11" ht="15">
      <c r="C61" s="3" t="str">
        <f>iWeights!C58</f>
        <v>MERC3.1</v>
      </c>
      <c r="D61" s="3">
        <f>iWeights!D58</f>
        <v>34</v>
      </c>
      <c r="E61" s="26">
        <f ca="1">iWeights!E58</f>
        <v>2</v>
      </c>
      <c r="F61" s="162" t="str">
        <f>iWeights!F58</f>
        <v>3.1) Condiciones de acceso y almacenamiento de residuos</v>
      </c>
      <c r="G61" s="394"/>
      <c r="H61" s="163"/>
      <c r="I61" s="164"/>
      <c r="J61" s="165"/>
      <c r="K61" s="79"/>
    </row>
    <row r="62" spans="3:11" ht="15">
      <c r="C62" s="3" t="str">
        <f>iWeights!C59</f>
        <v>MERC3.1.1</v>
      </c>
      <c r="D62" s="3">
        <f>iWeights!D59</f>
        <v>35</v>
      </c>
      <c r="E62" s="26">
        <f ca="1">iWeights!E59</f>
        <v>3</v>
      </c>
      <c r="F62" s="162" t="str">
        <f>iWeights!F59</f>
        <v>3.1.1) 24.¿Cómo es el acceso del material reciclable?</v>
      </c>
      <c r="G62" s="391">
        <v>1</v>
      </c>
      <c r="H62" s="163">
        <f>INDEX(tblIndicators!AD$2:AD$52,D62)</f>
        <v>0.25</v>
      </c>
      <c r="I62" s="164"/>
      <c r="J62" s="165" t="str">
        <f>REPT("|",H62*45)</f>
        <v>|||||||||||</v>
      </c>
      <c r="K62" s="79"/>
    </row>
    <row r="63" spans="3:11" ht="15">
      <c r="C63" s="3" t="str">
        <f>iWeights!C60</f>
        <v>MERC3.1.2</v>
      </c>
      <c r="D63" s="3">
        <f>iWeights!D60</f>
        <v>36</v>
      </c>
      <c r="E63" s="26">
        <f ca="1">iWeights!E60</f>
        <v>3</v>
      </c>
      <c r="F63" s="162" t="str">
        <f>iWeights!F60</f>
        <v>3.1.2) 25.¿Existen esquemas formales de recolección diferenciada de residuos reciclables en el municipio que involucran a recicladores de base?</v>
      </c>
      <c r="G63" s="391">
        <v>1</v>
      </c>
      <c r="H63" s="163">
        <f>INDEX(tblIndicators!AD$2:AD$52,D63)</f>
        <v>0.25</v>
      </c>
      <c r="I63" s="164"/>
      <c r="J63" s="165" t="str">
        <f>REPT("|",H63*45)</f>
        <v>|||||||||||</v>
      </c>
      <c r="K63" s="79"/>
    </row>
    <row r="64" spans="3:11" ht="15">
      <c r="C64" s="3" t="str">
        <f>iWeights!C61</f>
        <v>MERC3.1.3</v>
      </c>
      <c r="D64" s="3">
        <f>iWeights!D61</f>
        <v>37</v>
      </c>
      <c r="E64" s="26">
        <f ca="1">iWeights!E61</f>
        <v>3</v>
      </c>
      <c r="F64" s="162" t="str">
        <f>iWeights!F61</f>
        <v>3.1.3) 26.¿Los recicladores tienen acceso a instalaciones para el almacenamiento y la clasificación de materiales?</v>
      </c>
      <c r="G64" s="391">
        <v>1</v>
      </c>
      <c r="H64" s="163">
        <f>INDEX(tblIndicators!AD$2:AD$52,D64)</f>
        <v>0.25</v>
      </c>
      <c r="I64" s="164"/>
      <c r="J64" s="165" t="str">
        <f>REPT("|",H64*45)</f>
        <v>|||||||||||</v>
      </c>
      <c r="K64" s="79"/>
    </row>
    <row r="65" spans="3:11" ht="15">
      <c r="C65" s="3" t="str">
        <f>iWeights!C62</f>
        <v>MERC3.1.4</v>
      </c>
      <c r="D65" s="3">
        <f>iWeights!D62</f>
        <v>38</v>
      </c>
      <c r="E65" s="26">
        <f ca="1">iWeights!E62</f>
        <v>3</v>
      </c>
      <c r="F65" s="162" t="str">
        <f>iWeights!F62</f>
        <v>3.1.4) 27.¿Cuál es el nivel de desarrollo técnico alcanzado en la clasificación (o pre-procesamiento) de materiales reciclables por parte de agrupaciones de recicladores?</v>
      </c>
      <c r="G65" s="391">
        <v>1</v>
      </c>
      <c r="H65" s="163">
        <f>INDEX(tblIndicators!AD$2:AD$52,D65)</f>
        <v>0.25</v>
      </c>
      <c r="I65" s="164"/>
      <c r="J65" s="165" t="str">
        <f>REPT("|",H65*45)</f>
        <v>|||||||||||</v>
      </c>
      <c r="K65" s="79"/>
    </row>
    <row r="66" spans="3:11" ht="15">
      <c r="C66" s="3" t="str">
        <f>iWeights!C63</f>
        <v>MERC3.2</v>
      </c>
      <c r="D66" s="3">
        <f>iWeights!D63</f>
        <v>39</v>
      </c>
      <c r="E66" s="26">
        <f ca="1">iWeights!E63</f>
        <v>2</v>
      </c>
      <c r="F66" s="162" t="str">
        <f>iWeights!F63</f>
        <v>3.2) Condiciones para la comercialización de material reciclable</v>
      </c>
      <c r="G66" s="394"/>
      <c r="H66" s="163"/>
      <c r="I66" s="164"/>
      <c r="J66" s="165"/>
      <c r="K66" s="79"/>
    </row>
    <row r="67" spans="3:11" ht="15">
      <c r="C67" s="3" t="str">
        <f>iWeights!C64</f>
        <v>MERC3.2.1</v>
      </c>
      <c r="D67" s="3">
        <f>iWeights!D64</f>
        <v>40</v>
      </c>
      <c r="E67" s="26">
        <f ca="1">iWeights!E64</f>
        <v>3</v>
      </c>
      <c r="F67" s="162" t="str">
        <f>iWeights!F64</f>
        <v>3.2.1) 28.¿Cuál es la diferencia de valor del material en los diferentes eslabones de la cadena del reciclaje?</v>
      </c>
      <c r="G67" s="391">
        <v>1</v>
      </c>
      <c r="H67" s="163">
        <f>INDEX(tblIndicators!AD$2:AD$52,D67)</f>
        <v>0.5</v>
      </c>
      <c r="I67" s="164"/>
      <c r="J67" s="165" t="str">
        <f>REPT("|",H67*45)</f>
        <v>||||||||||||||||||||||</v>
      </c>
      <c r="K67" s="79"/>
    </row>
    <row r="68" spans="3:11" ht="15">
      <c r="C68" s="3" t="str">
        <f>iWeights!C65</f>
        <v>MERC3.2.2</v>
      </c>
      <c r="D68" s="3">
        <f>iWeights!D65</f>
        <v>41</v>
      </c>
      <c r="E68" s="26">
        <f ca="1">iWeights!E65</f>
        <v>3</v>
      </c>
      <c r="F68" s="162" t="str">
        <f>iWeights!F65</f>
        <v>3.2.2) 29.¿Cuál es el nivel de desarrollo de la industria transformadora a nivel nacional?</v>
      </c>
      <c r="G68" s="391">
        <v>1</v>
      </c>
      <c r="H68" s="163">
        <f>INDEX(tblIndicators!AD$2:AD$52,D68)</f>
        <v>0.5</v>
      </c>
      <c r="I68" s="164"/>
      <c r="J68" s="165" t="str">
        <f>REPT("|",H68*45)</f>
        <v>||||||||||||||||||||||</v>
      </c>
      <c r="K68" s="79"/>
    </row>
    <row r="69" spans="3:11" ht="15">
      <c r="C69" s="3" t="str">
        <f>iWeights!C66</f>
        <v>MERC3.3</v>
      </c>
      <c r="D69" s="3">
        <f>iWeights!D66</f>
        <v>42</v>
      </c>
      <c r="E69" s="26">
        <f ca="1">iWeights!E66</f>
        <v>2</v>
      </c>
      <c r="F69" s="162" t="str">
        <f>iWeights!F66</f>
        <v>3.3) Ingreso de los recicladores de base</v>
      </c>
      <c r="G69" s="394"/>
      <c r="H69" s="163"/>
      <c r="I69" s="164"/>
      <c r="J69" s="165"/>
      <c r="K69" s="79"/>
    </row>
    <row r="70" spans="3:11" ht="15">
      <c r="C70" s="3" t="str">
        <f>iWeights!C67</f>
        <v>MERC3.3.1</v>
      </c>
      <c r="D70" s="3">
        <f>iWeights!D67</f>
        <v>43</v>
      </c>
      <c r="E70" s="26">
        <f ca="1">iWeights!E67</f>
        <v>3</v>
      </c>
      <c r="F70" s="162" t="str">
        <f>iWeights!F67</f>
        <v>3.3.1) 30.¿Se permite la contratación con agrupaciones de recicladores de base en el sistema de gestión de residuos del municipio?</v>
      </c>
      <c r="G70" s="391">
        <v>1</v>
      </c>
      <c r="H70" s="163">
        <f>INDEX(tblIndicators!AD$2:AD$52,D70)</f>
        <v>0.25</v>
      </c>
      <c r="I70" s="164"/>
      <c r="J70" s="165" t="str">
        <f>REPT("|",H70*45)</f>
        <v>|||||||||||</v>
      </c>
      <c r="K70" s="79"/>
    </row>
    <row r="71" spans="3:11" ht="15">
      <c r="C71" s="3" t="str">
        <f>iWeights!C68</f>
        <v>MERC3.3.2</v>
      </c>
      <c r="D71" s="3">
        <f>iWeights!D68</f>
        <v>44</v>
      </c>
      <c r="E71" s="26">
        <f ca="1">iWeights!E68</f>
        <v>3</v>
      </c>
      <c r="F71" s="162" t="str">
        <f>iWeights!F68</f>
        <v>3.3.2) 31.¿Existen mecanismos de pago periódico fijo para los recicladores de base por servicios prestados?</v>
      </c>
      <c r="G71" s="391">
        <v>1</v>
      </c>
      <c r="H71" s="163">
        <f>INDEX(tblIndicators!AD$2:AD$52,D71)</f>
        <v>0.25</v>
      </c>
      <c r="I71" s="164"/>
      <c r="J71" s="165" t="str">
        <f>REPT("|",H71*45)</f>
        <v>|||||||||||</v>
      </c>
      <c r="K71" s="79"/>
    </row>
    <row r="72" spans="3:11" ht="15">
      <c r="C72" s="3" t="str">
        <f>iWeights!C69</f>
        <v>MERC3.3.3</v>
      </c>
      <c r="D72" s="3">
        <f>iWeights!D69</f>
        <v>45</v>
      </c>
      <c r="E72" s="26">
        <f ca="1">iWeights!E69</f>
        <v>3</v>
      </c>
      <c r="F72" s="162" t="str">
        <f>iWeights!F69</f>
        <v>3.3.3) 32.¿Existen programas de diversificación de los servicios prestados por recicladores?</v>
      </c>
      <c r="G72" s="391">
        <v>1</v>
      </c>
      <c r="H72" s="163">
        <f>INDEX(tblIndicators!AD$2:AD$52,D72)</f>
        <v>0.25</v>
      </c>
      <c r="I72" s="164"/>
      <c r="J72" s="165" t="str">
        <f>REPT("|",H72*45)</f>
        <v>|||||||||||</v>
      </c>
      <c r="K72" s="79"/>
    </row>
    <row r="73" spans="3:11" ht="15">
      <c r="C73" s="3" t="str">
        <f>iWeights!C70</f>
        <v>MERC3.3.4</v>
      </c>
      <c r="D73" s="3">
        <f>iWeights!D70</f>
        <v>46</v>
      </c>
      <c r="E73" s="26">
        <f ca="1">iWeights!E70</f>
        <v>3</v>
      </c>
      <c r="F73" s="162" t="str">
        <f>iWeights!F70</f>
        <v>3.3.4) 33. Ingreso promedio de los recicladores con respecto al salario mínimo nacional</v>
      </c>
      <c r="G73" s="391">
        <v>1</v>
      </c>
      <c r="H73" s="163">
        <f>INDEX(tblIndicators!AD$2:AD$52,D73)</f>
        <v>0.25</v>
      </c>
      <c r="I73" s="164"/>
      <c r="J73" s="165" t="str">
        <f>REPT("|",H73*45)</f>
        <v>|||||||||||</v>
      </c>
      <c r="K73" s="79"/>
    </row>
    <row r="74" spans="3:11" ht="15">
      <c r="C74" s="3" t="str">
        <f>iWeights!C71</f>
        <v>MERC3.4</v>
      </c>
      <c r="D74" s="3">
        <f>iWeights!D71</f>
        <v>47</v>
      </c>
      <c r="E74" s="26">
        <f ca="1">iWeights!E71</f>
        <v>2</v>
      </c>
      <c r="F74" s="162" t="str">
        <f>iWeights!F71</f>
        <v>3.4) Condiciones de trabajo de los recicladores de base</v>
      </c>
      <c r="G74" s="394"/>
      <c r="H74" s="163"/>
      <c r="I74" s="164"/>
      <c r="J74" s="165"/>
      <c r="K74" s="79"/>
    </row>
    <row r="75" spans="3:11" ht="15">
      <c r="C75" s="3" t="str">
        <f>iWeights!C72</f>
        <v>MERC3.4.1</v>
      </c>
      <c r="D75" s="3">
        <f>iWeights!D72</f>
        <v>48</v>
      </c>
      <c r="E75" s="26">
        <f ca="1">iWeights!E72</f>
        <v>3</v>
      </c>
      <c r="F75" s="162" t="str">
        <f>iWeights!F72</f>
        <v>3.4.1) 34.¿Existe trabajo infantil en la cadena de manejo de residuos?</v>
      </c>
      <c r="G75" s="391">
        <v>1</v>
      </c>
      <c r="H75" s="163">
        <f>INDEX(tblIndicators!AD$2:AD$52,D75)</f>
        <v>0.25</v>
      </c>
      <c r="I75" s="164"/>
      <c r="J75" s="165" t="str">
        <f>REPT("|",H75*45)</f>
        <v>|||||||||||</v>
      </c>
      <c r="K75" s="79"/>
    </row>
    <row r="76" spans="3:11" ht="15">
      <c r="C76" s="3" t="str">
        <f>iWeights!C73</f>
        <v>MERC3.4.2</v>
      </c>
      <c r="D76" s="3">
        <f>iWeights!D73</f>
        <v>49</v>
      </c>
      <c r="E76" s="26">
        <f ca="1">iWeights!E73</f>
        <v>3</v>
      </c>
      <c r="F76" s="162" t="str">
        <f>iWeights!F73</f>
        <v>3.4.2) 35.¿Cuál es el nivel de enfoque de género en las condiciones de trabajo?</v>
      </c>
      <c r="G76" s="391">
        <v>1</v>
      </c>
      <c r="H76" s="163">
        <f>INDEX(tblIndicators!AD$2:AD$52,D76)</f>
        <v>0.25</v>
      </c>
      <c r="I76" s="164"/>
      <c r="J76" s="165" t="str">
        <f>REPT("|",H76*45)</f>
        <v>|||||||||||</v>
      </c>
      <c r="K76" s="79"/>
    </row>
    <row r="77" spans="3:11" ht="15">
      <c r="C77" s="3" t="str">
        <f>iWeights!C74</f>
        <v>MERC3.4.3</v>
      </c>
      <c r="D77" s="3">
        <f>iWeights!D74</f>
        <v>50</v>
      </c>
      <c r="E77" s="26">
        <f ca="1">iWeights!E74</f>
        <v>3</v>
      </c>
      <c r="F77" s="162" t="str">
        <f>iWeights!F74</f>
        <v>3.4.3) 36.¿Hay planes inclusivos de cierre de vertederos a cielo abierto?</v>
      </c>
      <c r="G77" s="391">
        <v>1</v>
      </c>
      <c r="H77" s="163">
        <f>INDEX(tblIndicators!AD$2:AD$52,D77)</f>
        <v>0.25</v>
      </c>
      <c r="I77" s="164"/>
      <c r="J77" s="165" t="str">
        <f>REPT("|",H77*45)</f>
        <v>|||||||||||</v>
      </c>
      <c r="K77" s="79"/>
    </row>
    <row r="78" spans="3:11" ht="15">
      <c r="C78" s="3" t="str">
        <f>iWeights!C75</f>
        <v>MERC3.4.4</v>
      </c>
      <c r="D78" s="3">
        <f>iWeights!D75</f>
        <v>51</v>
      </c>
      <c r="E78" s="26">
        <f ca="1">iWeights!E75</f>
        <v>3</v>
      </c>
      <c r="F78" s="162" t="str">
        <f>iWeights!F75</f>
        <v>3.4.4) 37.¿Los recicladores tienen acceso a herramientas de trabajo adecuadas?</v>
      </c>
      <c r="G78" s="391">
        <v>1</v>
      </c>
      <c r="H78" s="163">
        <f>INDEX(tblIndicators!AD$2:AD$52,D78)</f>
        <v>0.25</v>
      </c>
      <c r="I78" s="164"/>
      <c r="J78" s="165" t="str">
        <f>REPT("|",H78*45)</f>
        <v>|||||||||||</v>
      </c>
      <c r="K78" s="79"/>
    </row>
    <row r="79" spans="3:11"/>
    <row r="80" spans="3:11"/>
    <row r="81"/>
  </sheetData>
  <phoneticPr fontId="4" type="noConversion"/>
  <conditionalFormatting sqref="F8:F10 F14:F25 F29:F78">
    <cfRule type="expression" dxfId="9" priority="10" stopIfTrue="1">
      <formula>$E8=1</formula>
    </cfRule>
    <cfRule type="expression" dxfId="8" priority="11" stopIfTrue="1">
      <formula>$G8=0</formula>
    </cfRule>
  </conditionalFormatting>
  <conditionalFormatting sqref="F13">
    <cfRule type="expression" dxfId="7" priority="7" stopIfTrue="1">
      <formula>$E13=1</formula>
    </cfRule>
    <cfRule type="expression" dxfId="6" priority="8" stopIfTrue="1">
      <formula>$G13=0</formula>
    </cfRule>
  </conditionalFormatting>
  <conditionalFormatting sqref="F13">
    <cfRule type="expression" dxfId="5" priority="1" stopIfTrue="1">
      <formula>$E13=1</formula>
    </cfRule>
    <cfRule type="expression" dxfId="4" priority="2" stopIfTrue="1">
      <formula>$G13=0</formula>
    </cfRule>
  </conditionalFormatting>
  <pageMargins left="0.55118110236220474" right="0.55118110236220474" top="0.59055118110236227" bottom="0.78740157480314965" header="0.51181102362204722" footer="0.51181102362204722"/>
  <pageSetup paperSize="9" scale="45" orientation="landscape" horizontalDpi="1200" verticalDpi="1200" r:id="rId1"/>
  <headerFooter alignWithMargins="0">
    <oddHeader>&amp;RResultados del Modelo de Reciclaje Inclusivo</oddHeader>
  </headerFooter>
  <drawing r:id="rId2"/>
  <legacyDrawing r:id="rId3"/>
</worksheet>
</file>

<file path=xl/worksheets/sheet39.xml><?xml version="1.0" encoding="utf-8"?>
<worksheet xmlns="http://schemas.openxmlformats.org/spreadsheetml/2006/main" xmlns:r="http://schemas.openxmlformats.org/officeDocument/2006/relationships">
  <sheetPr codeName="Sheet3">
    <tabColor rgb="FF002451"/>
    <pageSetUpPr fitToPage="1"/>
  </sheetPr>
  <dimension ref="A1:R155"/>
  <sheetViews>
    <sheetView showRowColHeaders="0" zoomScale="80" zoomScaleNormal="80" workbookViewId="0">
      <pane ySplit="2" topLeftCell="A80" activePane="bottomLeft" state="frozen"/>
      <selection activeCell="Z8" sqref="Z8"/>
      <selection pane="bottomLeft" activeCell="C97" sqref="C97"/>
    </sheetView>
  </sheetViews>
  <sheetFormatPr defaultRowHeight="15"/>
  <cols>
    <col min="1" max="1" width="16.5703125" style="28" customWidth="1"/>
    <col min="2" max="2" width="9.140625" style="28"/>
    <col min="3" max="3" width="48.42578125" style="28" customWidth="1"/>
    <col min="4" max="4" width="9.140625" style="28"/>
    <col min="5" max="5" width="51.28515625" style="28" bestFit="1" customWidth="1"/>
    <col min="6" max="16384" width="9.140625" style="28"/>
  </cols>
  <sheetData>
    <row r="1" spans="1:5">
      <c r="C1" s="28">
        <v>2</v>
      </c>
      <c r="E1" s="28" t="s">
        <v>520</v>
      </c>
    </row>
    <row r="2" spans="1:5">
      <c r="C2" s="332" t="s">
        <v>521</v>
      </c>
      <c r="D2" s="80"/>
      <c r="E2" s="80" t="s">
        <v>522</v>
      </c>
    </row>
    <row r="3" spans="1:5">
      <c r="A3" s="28" t="s">
        <v>774</v>
      </c>
      <c r="C3" s="28" t="s">
        <v>874</v>
      </c>
      <c r="E3" s="28" t="s">
        <v>821</v>
      </c>
    </row>
    <row r="5" spans="1:5">
      <c r="A5" s="28" t="s">
        <v>523</v>
      </c>
      <c r="C5" s="28" t="s">
        <v>822</v>
      </c>
      <c r="E5" s="28" t="s">
        <v>526</v>
      </c>
    </row>
    <row r="6" spans="1:5">
      <c r="A6" s="28" t="s">
        <v>525</v>
      </c>
      <c r="C6" s="28" t="s">
        <v>823</v>
      </c>
      <c r="E6" s="28" t="s">
        <v>528</v>
      </c>
    </row>
    <row r="7" spans="1:5">
      <c r="A7" s="28" t="s">
        <v>527</v>
      </c>
      <c r="C7" s="28" t="s">
        <v>2170</v>
      </c>
      <c r="E7" s="28" t="s">
        <v>524</v>
      </c>
    </row>
    <row r="8" spans="1:5">
      <c r="A8" s="28" t="s">
        <v>529</v>
      </c>
      <c r="C8" s="28" t="s">
        <v>824</v>
      </c>
      <c r="E8" s="28" t="s">
        <v>530</v>
      </c>
    </row>
    <row r="9" spans="1:5" ht="15.75">
      <c r="A9" s="28" t="s">
        <v>531</v>
      </c>
      <c r="C9" s="101" t="str">
        <f>UPPER("Explicación del modelo")</f>
        <v>EXPLICACIÓN DEL MODELO</v>
      </c>
    </row>
    <row r="11" spans="1:5">
      <c r="A11" s="28" t="s">
        <v>532</v>
      </c>
      <c r="C11" s="28" t="s">
        <v>825</v>
      </c>
      <c r="E11" s="28" t="s">
        <v>533</v>
      </c>
    </row>
    <row r="12" spans="1:5">
      <c r="A12" s="28" t="s">
        <v>534</v>
      </c>
      <c r="C12" s="28" t="s">
        <v>899</v>
      </c>
      <c r="E12" s="28" t="s">
        <v>535</v>
      </c>
    </row>
    <row r="13" spans="1:5">
      <c r="A13" s="28" t="s">
        <v>536</v>
      </c>
    </row>
    <row r="14" spans="1:5">
      <c r="A14" s="28" t="s">
        <v>537</v>
      </c>
    </row>
    <row r="16" spans="1:5">
      <c r="A16" s="28" t="s">
        <v>538</v>
      </c>
      <c r="C16" s="28" t="s">
        <v>826</v>
      </c>
      <c r="E16" s="28" t="s">
        <v>539</v>
      </c>
    </row>
    <row r="17" spans="1:5">
      <c r="A17" s="28" t="s">
        <v>540</v>
      </c>
      <c r="C17" s="28" t="s">
        <v>827</v>
      </c>
      <c r="E17" s="28" t="s">
        <v>541</v>
      </c>
    </row>
    <row r="18" spans="1:5">
      <c r="A18" s="28" t="s">
        <v>542</v>
      </c>
      <c r="C18" s="28" t="s">
        <v>900</v>
      </c>
      <c r="E18" s="28" t="s">
        <v>543</v>
      </c>
    </row>
    <row r="19" spans="1:5">
      <c r="A19" s="28" t="s">
        <v>544</v>
      </c>
    </row>
    <row r="20" spans="1:5">
      <c r="A20" s="28" t="s">
        <v>545</v>
      </c>
    </row>
    <row r="22" spans="1:5">
      <c r="A22" s="28" t="s">
        <v>546</v>
      </c>
      <c r="C22" s="28" t="s">
        <v>828</v>
      </c>
      <c r="E22" s="28" t="s">
        <v>547</v>
      </c>
    </row>
    <row r="23" spans="1:5">
      <c r="A23" s="28" t="s">
        <v>548</v>
      </c>
      <c r="C23" s="28" t="s">
        <v>829</v>
      </c>
      <c r="E23" s="28" t="s">
        <v>549</v>
      </c>
    </row>
    <row r="24" spans="1:5">
      <c r="A24" s="28" t="s">
        <v>550</v>
      </c>
      <c r="C24" s="28" t="s">
        <v>830</v>
      </c>
      <c r="E24" s="28" t="s">
        <v>551</v>
      </c>
    </row>
    <row r="25" spans="1:5">
      <c r="A25" s="28" t="s">
        <v>552</v>
      </c>
      <c r="C25" s="28" t="s">
        <v>2433</v>
      </c>
      <c r="E25" s="28" t="s">
        <v>2433</v>
      </c>
    </row>
    <row r="26" spans="1:5">
      <c r="A26" s="28" t="s">
        <v>553</v>
      </c>
      <c r="C26" s="28" t="s">
        <v>2432</v>
      </c>
      <c r="E26" s="28" t="s">
        <v>2432</v>
      </c>
    </row>
    <row r="27" spans="1:5">
      <c r="A27" s="28" t="s">
        <v>2430</v>
      </c>
      <c r="C27" s="141" t="s">
        <v>2285</v>
      </c>
      <c r="E27" s="28" t="s">
        <v>2259</v>
      </c>
    </row>
    <row r="28" spans="1:5">
      <c r="A28" s="28" t="s">
        <v>2431</v>
      </c>
      <c r="C28" s="141" t="s">
        <v>2286</v>
      </c>
      <c r="E28" s="28" t="s">
        <v>2260</v>
      </c>
    </row>
    <row r="29" spans="1:5">
      <c r="C29" s="141"/>
    </row>
    <row r="30" spans="1:5">
      <c r="C30" s="141"/>
    </row>
    <row r="32" spans="1:5">
      <c r="A32" s="28" t="s">
        <v>554</v>
      </c>
      <c r="C32" s="28" t="s">
        <v>2262</v>
      </c>
      <c r="E32" s="28" t="s">
        <v>2261</v>
      </c>
    </row>
    <row r="33" spans="1:16">
      <c r="A33" s="28" t="s">
        <v>555</v>
      </c>
      <c r="C33" s="28" t="s">
        <v>831</v>
      </c>
      <c r="E33" s="28" t="s">
        <v>556</v>
      </c>
    </row>
    <row r="34" spans="1:16">
      <c r="A34" s="28" t="s">
        <v>2263</v>
      </c>
      <c r="C34" s="28" t="s">
        <v>2264</v>
      </c>
    </row>
    <row r="35" spans="1:16">
      <c r="A35" s="28" t="s">
        <v>2364</v>
      </c>
      <c r="C35" s="534" t="s">
        <v>2363</v>
      </c>
      <c r="E35" s="28" t="s">
        <v>2362</v>
      </c>
    </row>
    <row r="36" spans="1:16">
      <c r="A36" s="428" t="s">
        <v>108</v>
      </c>
    </row>
    <row r="38" spans="1:16">
      <c r="A38" s="28" t="s">
        <v>557</v>
      </c>
      <c r="C38" s="28" t="s">
        <v>820</v>
      </c>
      <c r="E38" s="28" t="s">
        <v>558</v>
      </c>
    </row>
    <row r="39" spans="1:16">
      <c r="A39" s="28" t="s">
        <v>559</v>
      </c>
      <c r="C39" s="28" t="s">
        <v>832</v>
      </c>
      <c r="E39" s="28" t="s">
        <v>560</v>
      </c>
    </row>
    <row r="40" spans="1:16">
      <c r="A40" s="28" t="s">
        <v>561</v>
      </c>
      <c r="C40" s="28" t="s">
        <v>833</v>
      </c>
      <c r="E40" s="28" t="s">
        <v>562</v>
      </c>
    </row>
    <row r="41" spans="1:16">
      <c r="A41" s="28" t="s">
        <v>563</v>
      </c>
      <c r="C41" s="28" t="s">
        <v>2284</v>
      </c>
      <c r="E41" s="28" t="s">
        <v>564</v>
      </c>
    </row>
    <row r="42" spans="1:16">
      <c r="A42" s="28" t="s">
        <v>565</v>
      </c>
      <c r="C42" s="28" t="s">
        <v>901</v>
      </c>
      <c r="E42" s="28" t="s">
        <v>566</v>
      </c>
    </row>
    <row r="43" spans="1:16">
      <c r="A43" s="28" t="s">
        <v>567</v>
      </c>
      <c r="C43" s="28" t="s">
        <v>837</v>
      </c>
      <c r="E43" s="501" t="s">
        <v>838</v>
      </c>
    </row>
    <row r="44" spans="1:16">
      <c r="A44" s="28" t="s">
        <v>568</v>
      </c>
      <c r="C44" s="28" t="s">
        <v>569</v>
      </c>
      <c r="E44" s="28" t="s">
        <v>569</v>
      </c>
    </row>
    <row r="45" spans="1:16">
      <c r="A45" s="28" t="s">
        <v>570</v>
      </c>
      <c r="C45" s="28" t="s">
        <v>834</v>
      </c>
      <c r="E45" s="28" t="s">
        <v>571</v>
      </c>
    </row>
    <row r="46" spans="1:16">
      <c r="A46" s="28" t="s">
        <v>572</v>
      </c>
      <c r="C46" s="28" t="s">
        <v>836</v>
      </c>
      <c r="E46" s="28" t="s">
        <v>573</v>
      </c>
    </row>
    <row r="47" spans="1:16">
      <c r="A47" s="28" t="s">
        <v>574</v>
      </c>
      <c r="C47" s="28" t="s">
        <v>2167</v>
      </c>
      <c r="E47" s="28" t="s">
        <v>575</v>
      </c>
      <c r="K47" s="286"/>
      <c r="L47" s="245"/>
      <c r="M47" s="245"/>
      <c r="N47" s="245"/>
      <c r="O47" s="245"/>
      <c r="P47" s="245"/>
    </row>
    <row r="48" spans="1:16">
      <c r="C48" s="28" t="s">
        <v>2168</v>
      </c>
      <c r="K48" s="286"/>
      <c r="L48" s="245"/>
      <c r="M48" s="245"/>
      <c r="N48" s="245"/>
      <c r="O48" s="245"/>
      <c r="P48" s="245"/>
    </row>
    <row r="49" spans="1:16">
      <c r="A49" s="28" t="s">
        <v>576</v>
      </c>
      <c r="C49" s="28" t="s">
        <v>835</v>
      </c>
      <c r="E49" s="28" t="s">
        <v>660</v>
      </c>
      <c r="K49" s="287"/>
      <c r="L49" s="245"/>
      <c r="M49" s="245"/>
      <c r="N49" s="245"/>
      <c r="O49" s="245"/>
      <c r="P49" s="245"/>
    </row>
    <row r="50" spans="1:16">
      <c r="A50" s="28" t="s">
        <v>577</v>
      </c>
      <c r="C50" s="28" t="s">
        <v>2443</v>
      </c>
      <c r="E50" s="433" t="s">
        <v>2313</v>
      </c>
      <c r="K50" s="286"/>
      <c r="L50" s="245"/>
      <c r="M50" s="245"/>
      <c r="N50" s="245"/>
      <c r="O50" s="245"/>
      <c r="P50" s="245"/>
    </row>
    <row r="51" spans="1:16">
      <c r="A51" s="28" t="s">
        <v>578</v>
      </c>
      <c r="C51" s="28" t="s">
        <v>875</v>
      </c>
      <c r="E51" s="28" t="s">
        <v>16</v>
      </c>
      <c r="K51" s="797"/>
      <c r="L51" s="797"/>
      <c r="M51" s="797"/>
      <c r="N51" s="797"/>
      <c r="O51" s="797"/>
      <c r="P51" s="797"/>
    </row>
    <row r="52" spans="1:16">
      <c r="A52" s="28" t="s">
        <v>579</v>
      </c>
      <c r="C52" s="6" t="s">
        <v>876</v>
      </c>
      <c r="E52" s="6" t="s">
        <v>275</v>
      </c>
      <c r="K52" s="286"/>
      <c r="L52" s="288"/>
      <c r="M52" s="288"/>
      <c r="N52" s="245"/>
      <c r="O52" s="245"/>
      <c r="P52" s="245"/>
    </row>
    <row r="53" spans="1:16">
      <c r="A53" s="28" t="s">
        <v>580</v>
      </c>
      <c r="C53" s="6" t="s">
        <v>877</v>
      </c>
      <c r="E53" s="6" t="s">
        <v>330</v>
      </c>
      <c r="K53" s="797"/>
      <c r="L53" s="797"/>
      <c r="M53" s="797"/>
      <c r="N53" s="797"/>
      <c r="O53" s="797"/>
      <c r="P53" s="289"/>
    </row>
    <row r="54" spans="1:16">
      <c r="A54" s="28" t="s">
        <v>581</v>
      </c>
      <c r="C54" s="6" t="s">
        <v>2337</v>
      </c>
      <c r="E54" s="6" t="s">
        <v>2339</v>
      </c>
      <c r="K54" s="286"/>
      <c r="L54" s="288"/>
      <c r="M54" s="288"/>
      <c r="N54" s="288"/>
      <c r="O54" s="288"/>
      <c r="P54" s="245"/>
    </row>
    <row r="55" spans="1:16">
      <c r="A55" s="28" t="s">
        <v>582</v>
      </c>
      <c r="C55" s="6" t="s">
        <v>881</v>
      </c>
      <c r="E55" s="6" t="s">
        <v>251</v>
      </c>
      <c r="K55" s="797"/>
      <c r="L55" s="797"/>
      <c r="M55" s="797"/>
      <c r="N55" s="797"/>
      <c r="O55" s="797"/>
      <c r="P55" s="797"/>
    </row>
    <row r="56" spans="1:16">
      <c r="A56" s="28" t="s">
        <v>583</v>
      </c>
      <c r="C56" s="6" t="s">
        <v>882</v>
      </c>
      <c r="E56" s="6" t="s">
        <v>52</v>
      </c>
      <c r="K56" s="797"/>
      <c r="L56" s="797"/>
      <c r="M56" s="797"/>
      <c r="N56" s="797"/>
      <c r="O56" s="797"/>
      <c r="P56" s="797"/>
    </row>
    <row r="57" spans="1:16">
      <c r="A57" s="28" t="s">
        <v>584</v>
      </c>
      <c r="C57" s="6" t="s">
        <v>883</v>
      </c>
      <c r="E57" s="6" t="s">
        <v>53</v>
      </c>
      <c r="K57" s="286"/>
      <c r="L57" s="288"/>
      <c r="M57" s="288"/>
      <c r="N57" s="288"/>
      <c r="O57" s="288"/>
      <c r="P57" s="245"/>
    </row>
    <row r="58" spans="1:16">
      <c r="A58" s="28" t="s">
        <v>585</v>
      </c>
      <c r="C58" s="6" t="s">
        <v>884</v>
      </c>
      <c r="E58" s="6" t="s">
        <v>319</v>
      </c>
    </row>
    <row r="59" spans="1:16">
      <c r="A59" s="28" t="s">
        <v>586</v>
      </c>
      <c r="C59" s="6" t="s">
        <v>885</v>
      </c>
      <c r="E59" s="6" t="s">
        <v>320</v>
      </c>
    </row>
    <row r="60" spans="1:16">
      <c r="A60" s="28" t="s">
        <v>616</v>
      </c>
      <c r="C60" s="6" t="s">
        <v>886</v>
      </c>
      <c r="E60" s="6" t="s">
        <v>54</v>
      </c>
    </row>
    <row r="61" spans="1:16">
      <c r="A61" s="28" t="s">
        <v>617</v>
      </c>
      <c r="C61" s="6" t="s">
        <v>887</v>
      </c>
      <c r="E61" s="6" t="s">
        <v>55</v>
      </c>
    </row>
    <row r="62" spans="1:16">
      <c r="A62" s="28" t="s">
        <v>618</v>
      </c>
      <c r="C62" s="6" t="s">
        <v>888</v>
      </c>
      <c r="E62" s="6" t="s">
        <v>128</v>
      </c>
    </row>
    <row r="63" spans="1:16">
      <c r="C63" s="6" t="s">
        <v>2338</v>
      </c>
      <c r="E63" s="6" t="s">
        <v>2340</v>
      </c>
    </row>
    <row r="64" spans="1:16">
      <c r="A64" s="28" t="s">
        <v>619</v>
      </c>
      <c r="C64" s="6" t="s">
        <v>902</v>
      </c>
      <c r="E64" s="6" t="s">
        <v>58</v>
      </c>
    </row>
    <row r="65" spans="1:18">
      <c r="A65" s="28" t="s">
        <v>620</v>
      </c>
      <c r="C65" s="6"/>
    </row>
    <row r="66" spans="1:18">
      <c r="A66" s="28" t="s">
        <v>621</v>
      </c>
      <c r="C66" s="6" t="s">
        <v>839</v>
      </c>
      <c r="E66" s="6" t="s">
        <v>48</v>
      </c>
    </row>
    <row r="67" spans="1:18">
      <c r="A67" s="28" t="s">
        <v>622</v>
      </c>
      <c r="C67" s="6" t="s">
        <v>840</v>
      </c>
      <c r="E67" s="6" t="s">
        <v>56</v>
      </c>
    </row>
    <row r="68" spans="1:18">
      <c r="A68" s="28" t="s">
        <v>623</v>
      </c>
      <c r="C68" s="6" t="s">
        <v>841</v>
      </c>
      <c r="E68" s="6" t="s">
        <v>49</v>
      </c>
      <c r="I68"/>
      <c r="J68"/>
      <c r="K68"/>
      <c r="L68"/>
      <c r="M68"/>
      <c r="N68"/>
      <c r="O68"/>
      <c r="P68"/>
      <c r="Q68"/>
      <c r="R68"/>
    </row>
    <row r="69" spans="1:18">
      <c r="A69" s="28" t="s">
        <v>624</v>
      </c>
      <c r="C69" s="6" t="s">
        <v>842</v>
      </c>
      <c r="E69" s="6" t="s">
        <v>186</v>
      </c>
      <c r="I69"/>
      <c r="J69"/>
      <c r="K69"/>
      <c r="L69"/>
      <c r="M69"/>
      <c r="N69"/>
      <c r="O69"/>
      <c r="P69"/>
      <c r="Q69"/>
      <c r="R69"/>
    </row>
    <row r="70" spans="1:18">
      <c r="A70" s="28" t="s">
        <v>625</v>
      </c>
      <c r="C70" s="6" t="s">
        <v>843</v>
      </c>
      <c r="E70" s="6" t="s">
        <v>136</v>
      </c>
      <c r="I70"/>
      <c r="J70"/>
      <c r="K70"/>
      <c r="L70"/>
      <c r="M70"/>
      <c r="N70"/>
      <c r="O70"/>
      <c r="P70"/>
      <c r="Q70"/>
      <c r="R70"/>
    </row>
    <row r="71" spans="1:18">
      <c r="A71" s="28" t="s">
        <v>626</v>
      </c>
      <c r="C71" s="6" t="s">
        <v>844</v>
      </c>
      <c r="E71" s="6" t="s">
        <v>63</v>
      </c>
      <c r="I71"/>
      <c r="J71"/>
      <c r="K71"/>
      <c r="L71"/>
      <c r="M71"/>
      <c r="N71"/>
      <c r="O71"/>
      <c r="P71"/>
      <c r="Q71"/>
      <c r="R71"/>
    </row>
    <row r="72" spans="1:18">
      <c r="A72" s="28" t="s">
        <v>627</v>
      </c>
      <c r="C72" s="6" t="s">
        <v>878</v>
      </c>
      <c r="E72" s="6" t="s">
        <v>819</v>
      </c>
      <c r="I72"/>
      <c r="J72"/>
      <c r="K72"/>
      <c r="L72"/>
      <c r="M72"/>
      <c r="N72"/>
      <c r="O72"/>
      <c r="P72"/>
      <c r="Q72"/>
      <c r="R72"/>
    </row>
    <row r="73" spans="1:18">
      <c r="A73" s="28" t="s">
        <v>628</v>
      </c>
      <c r="C73" s="6" t="s">
        <v>845</v>
      </c>
      <c r="E73" s="6" t="s">
        <v>818</v>
      </c>
    </row>
    <row r="74" spans="1:18">
      <c r="A74" s="28" t="s">
        <v>629</v>
      </c>
      <c r="C74" s="433" t="s">
        <v>846</v>
      </c>
      <c r="E74" s="433" t="s">
        <v>758</v>
      </c>
      <c r="I74"/>
      <c r="J74"/>
      <c r="K74"/>
      <c r="L74"/>
      <c r="M74"/>
      <c r="N74"/>
      <c r="O74"/>
      <c r="P74"/>
      <c r="Q74"/>
      <c r="R74"/>
    </row>
    <row r="75" spans="1:18">
      <c r="A75" s="28" t="s">
        <v>630</v>
      </c>
      <c r="C75" s="433" t="s">
        <v>847</v>
      </c>
      <c r="E75" s="433" t="s">
        <v>759</v>
      </c>
      <c r="I75"/>
      <c r="J75"/>
      <c r="K75"/>
      <c r="L75"/>
      <c r="M75"/>
      <c r="N75"/>
      <c r="O75"/>
      <c r="P75"/>
      <c r="Q75"/>
      <c r="R75"/>
    </row>
    <row r="76" spans="1:18">
      <c r="A76" s="28" t="s">
        <v>631</v>
      </c>
      <c r="C76" s="433" t="s">
        <v>848</v>
      </c>
      <c r="E76" s="433" t="s">
        <v>760</v>
      </c>
      <c r="I76"/>
      <c r="J76"/>
      <c r="K76"/>
      <c r="L76"/>
      <c r="M76"/>
      <c r="N76"/>
      <c r="O76"/>
      <c r="P76"/>
      <c r="Q76"/>
      <c r="R76"/>
    </row>
    <row r="77" spans="1:18">
      <c r="A77" s="28" t="s">
        <v>632</v>
      </c>
      <c r="C77" s="433" t="s">
        <v>849</v>
      </c>
      <c r="E77" s="433" t="s">
        <v>761</v>
      </c>
      <c r="I77"/>
      <c r="J77"/>
      <c r="K77"/>
      <c r="L77"/>
      <c r="M77"/>
      <c r="N77"/>
      <c r="O77"/>
      <c r="P77"/>
      <c r="Q77"/>
      <c r="R77"/>
    </row>
    <row r="78" spans="1:18">
      <c r="A78" s="28" t="s">
        <v>664</v>
      </c>
      <c r="C78" s="433" t="s">
        <v>850</v>
      </c>
      <c r="E78" s="433" t="s">
        <v>663</v>
      </c>
      <c r="I78"/>
      <c r="J78"/>
      <c r="K78"/>
      <c r="L78"/>
      <c r="M78"/>
      <c r="N78"/>
      <c r="O78"/>
      <c r="P78"/>
      <c r="Q78"/>
      <c r="R78"/>
    </row>
    <row r="79" spans="1:18">
      <c r="A79" s="28" t="s">
        <v>665</v>
      </c>
      <c r="C79" s="6" t="s">
        <v>851</v>
      </c>
      <c r="E79" s="6" t="s">
        <v>97</v>
      </c>
      <c r="I79"/>
      <c r="J79"/>
      <c r="K79"/>
      <c r="L79"/>
      <c r="M79"/>
      <c r="N79"/>
      <c r="O79"/>
      <c r="P79"/>
      <c r="Q79"/>
      <c r="R79"/>
    </row>
    <row r="80" spans="1:18" customFormat="1">
      <c r="A80" s="28" t="s">
        <v>666</v>
      </c>
      <c r="C80" t="s">
        <v>852</v>
      </c>
      <c r="E80" t="s">
        <v>188</v>
      </c>
    </row>
    <row r="81" spans="1:18" customFormat="1">
      <c r="A81" s="28" t="s">
        <v>667</v>
      </c>
      <c r="C81" t="s">
        <v>879</v>
      </c>
      <c r="E81" t="s">
        <v>38</v>
      </c>
    </row>
    <row r="82" spans="1:18" customFormat="1">
      <c r="A82" s="28" t="s">
        <v>668</v>
      </c>
      <c r="C82" t="s">
        <v>853</v>
      </c>
      <c r="E82" t="s">
        <v>187</v>
      </c>
    </row>
    <row r="83" spans="1:18" customFormat="1">
      <c r="A83" s="28" t="s">
        <v>762</v>
      </c>
      <c r="C83" t="s">
        <v>903</v>
      </c>
      <c r="E83" t="s">
        <v>28</v>
      </c>
    </row>
    <row r="84" spans="1:18" customFormat="1">
      <c r="A84" s="28" t="s">
        <v>763</v>
      </c>
      <c r="C84" t="s">
        <v>854</v>
      </c>
      <c r="E84" t="s">
        <v>288</v>
      </c>
    </row>
    <row r="85" spans="1:18" customFormat="1">
      <c r="A85" s="28" t="s">
        <v>764</v>
      </c>
      <c r="C85" s="28" t="s">
        <v>855</v>
      </c>
      <c r="E85" t="s">
        <v>321</v>
      </c>
    </row>
    <row r="86" spans="1:18" customFormat="1">
      <c r="A86" s="28" t="s">
        <v>765</v>
      </c>
      <c r="C86" s="28" t="s">
        <v>856</v>
      </c>
      <c r="E86" t="s">
        <v>322</v>
      </c>
    </row>
    <row r="87" spans="1:18" customFormat="1">
      <c r="A87" s="28" t="s">
        <v>766</v>
      </c>
      <c r="C87" s="28" t="s">
        <v>857</v>
      </c>
      <c r="E87" t="s">
        <v>323</v>
      </c>
    </row>
    <row r="88" spans="1:18" customFormat="1">
      <c r="A88" s="28" t="s">
        <v>817</v>
      </c>
      <c r="C88" s="28" t="s">
        <v>858</v>
      </c>
      <c r="E88" t="s">
        <v>331</v>
      </c>
    </row>
    <row r="89" spans="1:18" customFormat="1"/>
    <row r="90" spans="1:18" customFormat="1"/>
    <row r="91" spans="1:18" customFormat="1">
      <c r="A91" t="s">
        <v>587</v>
      </c>
      <c r="C91" t="s">
        <v>905</v>
      </c>
      <c r="E91" t="s">
        <v>588</v>
      </c>
    </row>
    <row r="92" spans="1:18" customFormat="1">
      <c r="A92" t="s">
        <v>589</v>
      </c>
      <c r="C92" t="s">
        <v>904</v>
      </c>
      <c r="E92" t="s">
        <v>590</v>
      </c>
    </row>
    <row r="93" spans="1:18" ht="18.75">
      <c r="A93" s="28" t="s">
        <v>591</v>
      </c>
      <c r="C93" s="429" t="s">
        <v>859</v>
      </c>
      <c r="E93" s="429" t="s">
        <v>592</v>
      </c>
      <c r="I93"/>
      <c r="J93"/>
      <c r="K93"/>
      <c r="L93"/>
      <c r="M93"/>
      <c r="N93"/>
      <c r="O93"/>
      <c r="P93"/>
      <c r="Q93"/>
      <c r="R93"/>
    </row>
    <row r="94" spans="1:18" ht="18.75">
      <c r="A94" s="28" t="s">
        <v>593</v>
      </c>
      <c r="C94" s="430" t="s">
        <v>860</v>
      </c>
      <c r="E94" s="430" t="s">
        <v>135</v>
      </c>
      <c r="I94"/>
      <c r="J94"/>
      <c r="K94"/>
      <c r="L94"/>
      <c r="M94"/>
      <c r="N94"/>
      <c r="O94"/>
      <c r="P94"/>
      <c r="Q94"/>
      <c r="R94"/>
    </row>
    <row r="95" spans="1:18" ht="18.75">
      <c r="A95" s="28" t="s">
        <v>594</v>
      </c>
      <c r="C95" s="431" t="s">
        <v>2341</v>
      </c>
      <c r="E95" s="431" t="s">
        <v>595</v>
      </c>
      <c r="I95"/>
      <c r="J95"/>
      <c r="K95"/>
      <c r="L95"/>
      <c r="M95"/>
      <c r="N95"/>
      <c r="O95"/>
      <c r="P95"/>
      <c r="Q95"/>
      <c r="R95"/>
    </row>
    <row r="96" spans="1:18" ht="18.75">
      <c r="A96" s="28" t="s">
        <v>596</v>
      </c>
      <c r="C96" s="431" t="s">
        <v>2697</v>
      </c>
      <c r="E96" s="431" t="s">
        <v>597</v>
      </c>
    </row>
    <row r="97" spans="1:5" ht="18.75">
      <c r="A97" s="28" t="s">
        <v>598</v>
      </c>
      <c r="C97" s="503" t="s">
        <v>889</v>
      </c>
      <c r="E97" s="431" t="s">
        <v>880</v>
      </c>
    </row>
    <row r="98" spans="1:5" ht="18.75">
      <c r="A98" s="28" t="s">
        <v>599</v>
      </c>
      <c r="C98" s="504" t="s">
        <v>890</v>
      </c>
      <c r="E98" s="432" t="s">
        <v>600</v>
      </c>
    </row>
    <row r="99" spans="1:5">
      <c r="A99" s="28" t="s">
        <v>602</v>
      </c>
      <c r="C99" s="224" t="s">
        <v>178</v>
      </c>
      <c r="E99" s="224" t="s">
        <v>178</v>
      </c>
    </row>
    <row r="100" spans="1:5">
      <c r="A100" s="28" t="s">
        <v>603</v>
      </c>
      <c r="C100" s="290" t="s">
        <v>891</v>
      </c>
      <c r="E100" s="223" t="s">
        <v>180</v>
      </c>
    </row>
    <row r="101" spans="1:5">
      <c r="A101" s="28" t="s">
        <v>604</v>
      </c>
      <c r="C101" s="72" t="s">
        <v>2255</v>
      </c>
      <c r="E101" s="223" t="s">
        <v>248</v>
      </c>
    </row>
    <row r="102" spans="1:5">
      <c r="A102" s="28" t="s">
        <v>605</v>
      </c>
      <c r="C102" s="226" t="s">
        <v>861</v>
      </c>
      <c r="E102" s="226" t="s">
        <v>179</v>
      </c>
    </row>
    <row r="103" spans="1:5">
      <c r="A103" s="28" t="s">
        <v>606</v>
      </c>
      <c r="C103" s="502" t="s">
        <v>892</v>
      </c>
      <c r="E103" s="227" t="s">
        <v>181</v>
      </c>
    </row>
    <row r="104" spans="1:5">
      <c r="A104" s="28" t="s">
        <v>607</v>
      </c>
      <c r="C104" s="502" t="s">
        <v>893</v>
      </c>
      <c r="E104" s="227" t="s">
        <v>182</v>
      </c>
    </row>
    <row r="105" spans="1:5">
      <c r="A105" s="28" t="s">
        <v>608</v>
      </c>
      <c r="C105" s="28" t="s">
        <v>894</v>
      </c>
      <c r="E105" s="28" t="s">
        <v>601</v>
      </c>
    </row>
    <row r="106" spans="1:5">
      <c r="A106" s="28" t="s">
        <v>609</v>
      </c>
      <c r="C106" s="28" t="s">
        <v>895</v>
      </c>
      <c r="E106" s="28" t="s">
        <v>276</v>
      </c>
    </row>
    <row r="107" spans="1:5">
      <c r="A107" s="28" t="s">
        <v>610</v>
      </c>
      <c r="C107" s="28" t="s">
        <v>862</v>
      </c>
      <c r="E107" s="28" t="s">
        <v>67</v>
      </c>
    </row>
    <row r="108" spans="1:5">
      <c r="A108" s="28" t="s">
        <v>611</v>
      </c>
      <c r="C108" s="80" t="s">
        <v>863</v>
      </c>
      <c r="E108" s="80" t="s">
        <v>633</v>
      </c>
    </row>
    <row r="109" spans="1:5">
      <c r="A109" s="28" t="s">
        <v>612</v>
      </c>
      <c r="C109" s="80" t="s">
        <v>864</v>
      </c>
      <c r="E109" s="80" t="s">
        <v>634</v>
      </c>
    </row>
    <row r="110" spans="1:5">
      <c r="A110" s="28" t="s">
        <v>613</v>
      </c>
      <c r="C110" s="80" t="s">
        <v>865</v>
      </c>
      <c r="E110" s="80" t="s">
        <v>635</v>
      </c>
    </row>
    <row r="111" spans="1:5">
      <c r="A111" s="28" t="s">
        <v>614</v>
      </c>
      <c r="C111" s="80" t="s">
        <v>866</v>
      </c>
      <c r="E111" s="80" t="s">
        <v>636</v>
      </c>
    </row>
    <row r="112" spans="1:5">
      <c r="A112" s="28" t="s">
        <v>615</v>
      </c>
      <c r="C112" s="80" t="s">
        <v>867</v>
      </c>
      <c r="E112" s="80" t="s">
        <v>637</v>
      </c>
    </row>
    <row r="113" spans="1:5">
      <c r="A113" s="28" t="s">
        <v>639</v>
      </c>
      <c r="C113" s="80" t="s">
        <v>898</v>
      </c>
      <c r="E113" s="80" t="s">
        <v>638</v>
      </c>
    </row>
    <row r="114" spans="1:5">
      <c r="A114" s="28" t="s">
        <v>640</v>
      </c>
    </row>
    <row r="115" spans="1:5">
      <c r="A115" s="28" t="s">
        <v>641</v>
      </c>
      <c r="C115" s="28" t="s">
        <v>868</v>
      </c>
      <c r="E115" s="28" t="s">
        <v>216</v>
      </c>
    </row>
    <row r="116" spans="1:5">
      <c r="A116" s="28" t="s">
        <v>642</v>
      </c>
      <c r="C116" s="28" t="s">
        <v>869</v>
      </c>
      <c r="E116" s="28" t="s">
        <v>661</v>
      </c>
    </row>
    <row r="117" spans="1:5">
      <c r="A117" s="28" t="s">
        <v>643</v>
      </c>
      <c r="C117" s="28" t="s">
        <v>870</v>
      </c>
      <c r="E117" s="28" t="s">
        <v>129</v>
      </c>
    </row>
    <row r="118" spans="1:5">
      <c r="A118" s="28" t="s">
        <v>644</v>
      </c>
      <c r="C118" s="28" t="s">
        <v>896</v>
      </c>
      <c r="E118" s="28" t="s">
        <v>662</v>
      </c>
    </row>
    <row r="119" spans="1:5">
      <c r="A119" s="28" t="s">
        <v>645</v>
      </c>
      <c r="C119" s="28" t="s">
        <v>897</v>
      </c>
      <c r="E119" s="28" t="s">
        <v>138</v>
      </c>
    </row>
    <row r="120" spans="1:5">
      <c r="A120" s="28" t="s">
        <v>646</v>
      </c>
    </row>
    <row r="121" spans="1:5">
      <c r="A121" s="28" t="s">
        <v>647</v>
      </c>
      <c r="C121" s="28" t="s">
        <v>871</v>
      </c>
      <c r="E121" s="28" t="s">
        <v>771</v>
      </c>
    </row>
    <row r="122" spans="1:5">
      <c r="A122" s="28" t="s">
        <v>648</v>
      </c>
      <c r="C122" s="28" t="s">
        <v>872</v>
      </c>
      <c r="E122" s="28" t="s">
        <v>772</v>
      </c>
    </row>
    <row r="123" spans="1:5">
      <c r="A123" s="28" t="s">
        <v>649</v>
      </c>
      <c r="C123" s="28" t="s">
        <v>873</v>
      </c>
      <c r="E123" s="28" t="s">
        <v>773</v>
      </c>
    </row>
    <row r="124" spans="1:5">
      <c r="A124" s="28" t="s">
        <v>650</v>
      </c>
      <c r="C124" s="28" t="s">
        <v>2295</v>
      </c>
      <c r="E124" s="141" t="s">
        <v>2256</v>
      </c>
    </row>
    <row r="125" spans="1:5">
      <c r="A125" s="28" t="s">
        <v>651</v>
      </c>
      <c r="C125" s="28" t="s">
        <v>2296</v>
      </c>
      <c r="E125" s="141" t="s">
        <v>2257</v>
      </c>
    </row>
    <row r="126" spans="1:5">
      <c r="A126" s="28" t="s">
        <v>652</v>
      </c>
      <c r="C126" s="28" t="s">
        <v>2297</v>
      </c>
      <c r="E126" s="565" t="s">
        <v>775</v>
      </c>
    </row>
    <row r="127" spans="1:5">
      <c r="A127" s="28" t="s">
        <v>653</v>
      </c>
      <c r="C127" s="28" t="s">
        <v>2298</v>
      </c>
      <c r="E127" s="565" t="s">
        <v>776</v>
      </c>
    </row>
    <row r="128" spans="1:5">
      <c r="A128" s="28" t="s">
        <v>654</v>
      </c>
      <c r="C128" s="28" t="s">
        <v>2299</v>
      </c>
      <c r="E128" s="565" t="s">
        <v>777</v>
      </c>
    </row>
    <row r="129" spans="1:5">
      <c r="A129" s="28" t="s">
        <v>655</v>
      </c>
      <c r="C129" s="28" t="s">
        <v>2300</v>
      </c>
      <c r="E129" s="566" t="s">
        <v>713</v>
      </c>
    </row>
    <row r="130" spans="1:5">
      <c r="A130" s="28" t="s">
        <v>656</v>
      </c>
      <c r="C130" s="28" t="s">
        <v>2301</v>
      </c>
      <c r="E130" s="566" t="s">
        <v>715</v>
      </c>
    </row>
    <row r="131" spans="1:5">
      <c r="A131" s="28" t="s">
        <v>657</v>
      </c>
      <c r="C131" s="28" t="s">
        <v>2302</v>
      </c>
      <c r="E131" s="566" t="s">
        <v>717</v>
      </c>
    </row>
    <row r="132" spans="1:5">
      <c r="A132" s="28" t="s">
        <v>658</v>
      </c>
      <c r="C132" s="28" t="s">
        <v>178</v>
      </c>
      <c r="E132" s="566" t="s">
        <v>720</v>
      </c>
    </row>
    <row r="133" spans="1:5" ht="15.75">
      <c r="A133" s="28" t="s">
        <v>659</v>
      </c>
      <c r="C133" s="736" t="s">
        <v>2683</v>
      </c>
      <c r="E133" s="566" t="s">
        <v>722</v>
      </c>
    </row>
    <row r="134" spans="1:5" ht="15.75">
      <c r="A134" s="28" t="s">
        <v>2258</v>
      </c>
      <c r="C134" s="736" t="s">
        <v>2684</v>
      </c>
      <c r="E134" s="566" t="s">
        <v>724</v>
      </c>
    </row>
    <row r="135" spans="1:5">
      <c r="A135" s="28" t="s">
        <v>2314</v>
      </c>
      <c r="C135" s="28" t="s">
        <v>2303</v>
      </c>
      <c r="E135" s="141" t="s">
        <v>2287</v>
      </c>
    </row>
    <row r="136" spans="1:5">
      <c r="A136" s="28" t="s">
        <v>2315</v>
      </c>
      <c r="C136" s="28" t="s">
        <v>2304</v>
      </c>
      <c r="E136" s="141" t="s">
        <v>2288</v>
      </c>
    </row>
    <row r="137" spans="1:5">
      <c r="A137" s="28" t="s">
        <v>2316</v>
      </c>
      <c r="C137" s="28" t="s">
        <v>2305</v>
      </c>
      <c r="E137" s="141" t="s">
        <v>30</v>
      </c>
    </row>
    <row r="138" spans="1:5">
      <c r="A138" s="28" t="s">
        <v>2317</v>
      </c>
      <c r="C138" s="28" t="s">
        <v>178</v>
      </c>
      <c r="E138" s="141" t="s">
        <v>178</v>
      </c>
    </row>
    <row r="139" spans="1:5">
      <c r="A139" s="28" t="s">
        <v>2318</v>
      </c>
      <c r="C139" s="28" t="s">
        <v>2306</v>
      </c>
      <c r="E139" s="141" t="s">
        <v>2289</v>
      </c>
    </row>
    <row r="140" spans="1:5">
      <c r="A140" s="28" t="s">
        <v>2319</v>
      </c>
      <c r="C140" s="28" t="s">
        <v>2307</v>
      </c>
      <c r="E140" s="141" t="s">
        <v>2290</v>
      </c>
    </row>
    <row r="141" spans="1:5">
      <c r="A141" s="28" t="s">
        <v>2320</v>
      </c>
      <c r="C141" s="28" t="s">
        <v>2308</v>
      </c>
      <c r="E141" s="141" t="s">
        <v>2291</v>
      </c>
    </row>
    <row r="142" spans="1:5">
      <c r="A142" s="28" t="s">
        <v>2321</v>
      </c>
      <c r="C142" s="28" t="s">
        <v>2309</v>
      </c>
      <c r="E142" s="141" t="s">
        <v>2292</v>
      </c>
    </row>
    <row r="143" spans="1:5">
      <c r="A143" s="28" t="s">
        <v>2322</v>
      </c>
      <c r="C143" s="28" t="s">
        <v>2310</v>
      </c>
      <c r="E143" s="141" t="s">
        <v>2293</v>
      </c>
    </row>
    <row r="144" spans="1:5">
      <c r="A144" s="28" t="s">
        <v>2323</v>
      </c>
      <c r="C144" s="28" t="s">
        <v>2311</v>
      </c>
      <c r="E144" s="141" t="s">
        <v>2294</v>
      </c>
    </row>
    <row r="145" spans="1:5">
      <c r="A145" s="28" t="s">
        <v>2324</v>
      </c>
    </row>
    <row r="146" spans="1:5">
      <c r="C146" s="28" t="s">
        <v>2329</v>
      </c>
      <c r="E146" s="28" t="s">
        <v>2325</v>
      </c>
    </row>
    <row r="148" spans="1:5">
      <c r="C148" s="28" t="s">
        <v>2330</v>
      </c>
      <c r="E148" s="571" t="s">
        <v>2326</v>
      </c>
    </row>
    <row r="149" spans="1:5">
      <c r="C149" s="28" t="s">
        <v>2331</v>
      </c>
      <c r="E149" s="571" t="s">
        <v>2327</v>
      </c>
    </row>
    <row r="150" spans="1:5">
      <c r="C150" s="28" t="s">
        <v>2330</v>
      </c>
      <c r="E150" s="571" t="s">
        <v>2326</v>
      </c>
    </row>
    <row r="152" spans="1:5">
      <c r="C152" s="28" t="s">
        <v>2332</v>
      </c>
      <c r="E152" s="571" t="s">
        <v>2328</v>
      </c>
    </row>
    <row r="153" spans="1:5">
      <c r="C153" s="28" t="s">
        <v>2333</v>
      </c>
      <c r="E153" s="95" t="s">
        <v>2131</v>
      </c>
    </row>
    <row r="154" spans="1:5">
      <c r="C154" s="28" t="s">
        <v>2334</v>
      </c>
      <c r="E154" s="95" t="s">
        <v>2132</v>
      </c>
    </row>
    <row r="155" spans="1:5">
      <c r="C155" s="28" t="s">
        <v>2335</v>
      </c>
      <c r="E155" s="95" t="s">
        <v>2133</v>
      </c>
    </row>
  </sheetData>
  <mergeCells count="3">
    <mergeCell ref="K51:P51"/>
    <mergeCell ref="K53:O53"/>
    <mergeCell ref="K55:P56"/>
  </mergeCells>
  <pageMargins left="0.55118110236220474" right="0.55118110236220474" top="0.59055118110236227" bottom="0.78740157480314965" header="0.51181102362204722" footer="0.51181102362204722"/>
  <pageSetup paperSize="9" scale="26" orientation="landscape" r:id="rId1"/>
  <headerFooter alignWithMargins="0">
    <oddHeader>&amp;RResultados del Modelo de Reciclaje Inclusivo</oddHeader>
  </headerFooter>
  <drawing r:id="rId2"/>
</worksheet>
</file>

<file path=xl/worksheets/sheet40.xml><?xml version="1.0" encoding="utf-8"?>
<worksheet xmlns="http://schemas.openxmlformats.org/spreadsheetml/2006/main" xmlns:r="http://schemas.openxmlformats.org/officeDocument/2006/relationships">
  <sheetPr codeName="Sheet23">
    <tabColor rgb="FFFFC000"/>
    <pageSetUpPr fitToPage="1"/>
  </sheetPr>
  <dimension ref="A2:W75"/>
  <sheetViews>
    <sheetView showRowColHeaders="0" zoomScale="80" zoomScaleNormal="80" workbookViewId="0">
      <selection activeCell="K3" sqref="K3"/>
    </sheetView>
  </sheetViews>
  <sheetFormatPr defaultRowHeight="11.25"/>
  <cols>
    <col min="1" max="1" width="25.28515625" style="6" customWidth="1"/>
    <col min="2" max="2" width="9.140625" style="6"/>
    <col min="3" max="3" width="28.42578125" style="6" bestFit="1" customWidth="1"/>
    <col min="4" max="4" width="4" style="6" bestFit="1" customWidth="1"/>
    <col min="5" max="5" width="4.5703125" style="6" bestFit="1" customWidth="1"/>
    <col min="6" max="6" width="24" style="6" customWidth="1"/>
    <col min="7" max="7" width="39" style="6" customWidth="1"/>
    <col min="8" max="8" width="9.28515625" style="6" bestFit="1" customWidth="1"/>
    <col min="9" max="9" width="9.5703125" style="6" bestFit="1" customWidth="1"/>
    <col min="10" max="16" width="9.28515625" style="6" bestFit="1" customWidth="1"/>
    <col min="17" max="18" width="9.28515625" style="6" customWidth="1"/>
    <col min="19" max="19" width="9.28515625" style="6" bestFit="1" customWidth="1"/>
    <col min="20" max="20" width="9.140625" style="6"/>
    <col min="21" max="23" width="9.28515625" style="6" bestFit="1" customWidth="1"/>
    <col min="24" max="16384" width="9.140625" style="6"/>
  </cols>
  <sheetData>
    <row r="2" spans="1:23">
      <c r="A2" s="6" t="s">
        <v>22</v>
      </c>
      <c r="H2" s="6">
        <v>1</v>
      </c>
      <c r="I2" s="6">
        <v>1</v>
      </c>
      <c r="J2" s="6">
        <v>2</v>
      </c>
      <c r="K2" s="6">
        <v>3</v>
      </c>
      <c r="L2" s="6">
        <v>4</v>
      </c>
      <c r="M2" s="6">
        <v>5</v>
      </c>
      <c r="N2" s="6">
        <v>6</v>
      </c>
      <c r="O2" s="6">
        <v>7</v>
      </c>
      <c r="P2" s="6">
        <v>8</v>
      </c>
      <c r="Q2" s="6">
        <v>9</v>
      </c>
      <c r="R2" s="6">
        <v>10</v>
      </c>
      <c r="S2" s="6">
        <v>11</v>
      </c>
    </row>
    <row r="3" spans="1:23">
      <c r="A3" s="6" t="s">
        <v>876</v>
      </c>
      <c r="C3" s="6" t="s">
        <v>23</v>
      </c>
      <c r="D3" s="6" t="s">
        <v>24</v>
      </c>
      <c r="E3" s="6" t="s">
        <v>25</v>
      </c>
      <c r="F3" s="6" t="s">
        <v>26</v>
      </c>
      <c r="H3" s="6" t="str">
        <f>A3</f>
        <v>Ponderación de EIU</v>
      </c>
      <c r="I3" s="6" t="str">
        <f t="shared" ref="I3:P3" si="0">INDEX($A$4:$A$12,I2)</f>
        <v>Ponderación equitativa</v>
      </c>
      <c r="J3" s="6" t="str">
        <f t="shared" si="0"/>
        <v>Extra#1</v>
      </c>
      <c r="K3" s="6" t="str">
        <f t="shared" si="0"/>
        <v>Extra#2</v>
      </c>
      <c r="L3" s="6" t="str">
        <f t="shared" si="0"/>
        <v>Extra#3</v>
      </c>
      <c r="M3" s="6" t="str">
        <f t="shared" si="0"/>
        <v>Extra#4</v>
      </c>
      <c r="N3" s="6" t="str">
        <f t="shared" si="0"/>
        <v>Extra#5</v>
      </c>
      <c r="O3" s="6" t="str">
        <f t="shared" si="0"/>
        <v>Extra#6</v>
      </c>
      <c r="P3" s="6" t="str">
        <f t="shared" si="0"/>
        <v>Extra#7</v>
      </c>
      <c r="Q3" s="6" t="str">
        <f>INDEX($A$4:$A$14,Q2)</f>
        <v>Extra#8</v>
      </c>
      <c r="R3" s="6" t="str">
        <f t="shared" ref="R3:S3" si="1">INDEX($A$4:$A$14,R2)</f>
        <v>Extra#9</v>
      </c>
      <c r="S3" s="6" t="str">
        <f t="shared" si="1"/>
        <v>Extra#10</v>
      </c>
      <c r="U3" s="6" t="s">
        <v>139</v>
      </c>
      <c r="W3" s="6">
        <f>IF(SUM(W5:W75)=0,0,1)</f>
        <v>0</v>
      </c>
    </row>
    <row r="4" spans="1:23">
      <c r="A4" s="6" t="s">
        <v>877</v>
      </c>
    </row>
    <row r="5" spans="1:23">
      <c r="A5" s="6" t="s">
        <v>2337</v>
      </c>
      <c r="C5" s="6" t="str">
        <f>tblIndiSets!A6</f>
        <v>NORM</v>
      </c>
      <c r="D5" s="6">
        <f>tblIndiSets!B6</f>
        <v>2</v>
      </c>
      <c r="E5" s="6">
        <f ca="1">INDEX(OFFSET(lu_indicode,0,2),D5)</f>
        <v>1</v>
      </c>
      <c r="F5" s="6" t="str">
        <f>tblIndiSets!C6</f>
        <v>1) NORMATIVA</v>
      </c>
      <c r="G5" s="6" t="str">
        <f ca="1">IF(E5=1,UPPER(F5),F5)</f>
        <v>1) NORMATIVA</v>
      </c>
      <c r="H5" s="6">
        <v>1</v>
      </c>
      <c r="I5" s="6">
        <v>1</v>
      </c>
      <c r="J5" s="6">
        <v>1</v>
      </c>
      <c r="K5" s="6">
        <v>1</v>
      </c>
      <c r="L5" s="6">
        <v>1</v>
      </c>
      <c r="M5" s="6">
        <v>1</v>
      </c>
      <c r="N5" s="6">
        <v>1</v>
      </c>
      <c r="O5" s="6">
        <v>1</v>
      </c>
      <c r="P5" s="6">
        <v>1</v>
      </c>
      <c r="Q5" s="6">
        <v>1</v>
      </c>
      <c r="R5" s="6">
        <v>1</v>
      </c>
      <c r="S5" s="6">
        <v>1</v>
      </c>
      <c r="U5" s="6">
        <f>H5</f>
        <v>1</v>
      </c>
      <c r="V5" s="6">
        <f>Weights!G8</f>
        <v>1</v>
      </c>
      <c r="W5" s="6">
        <f>IF(AND(V5=U5),0,1)</f>
        <v>0</v>
      </c>
    </row>
    <row r="6" spans="1:23">
      <c r="A6" s="6" t="s">
        <v>881</v>
      </c>
      <c r="C6" s="6" t="str">
        <f>tblIndiSets!A7</f>
        <v>ORG</v>
      </c>
      <c r="D6" s="6">
        <f>tblIndiSets!B7</f>
        <v>22</v>
      </c>
      <c r="E6" s="6">
        <f ca="1">INDEX(OFFSET(lu_indicode,0,2),D6)</f>
        <v>1</v>
      </c>
      <c r="F6" s="6" t="str">
        <f>tblIndiSets!C7</f>
        <v>2) ORGANIZATIVA</v>
      </c>
      <c r="G6" s="6" t="str">
        <f ca="1">IF(E6=1,UPPER(F6),F6)</f>
        <v>2) ORGANIZATIVA</v>
      </c>
      <c r="H6" s="6">
        <v>1</v>
      </c>
      <c r="I6" s="6">
        <v>1</v>
      </c>
      <c r="J6" s="6">
        <v>1</v>
      </c>
      <c r="K6" s="6">
        <v>1</v>
      </c>
      <c r="L6" s="6">
        <v>1</v>
      </c>
      <c r="M6" s="6">
        <v>1</v>
      </c>
      <c r="N6" s="6">
        <v>1</v>
      </c>
      <c r="O6" s="6">
        <v>1</v>
      </c>
      <c r="P6" s="6">
        <v>1</v>
      </c>
      <c r="Q6" s="6">
        <v>1</v>
      </c>
      <c r="R6" s="6">
        <v>1</v>
      </c>
      <c r="S6" s="6">
        <v>1</v>
      </c>
      <c r="U6" s="6">
        <f t="shared" ref="U6:U69" si="2">H6</f>
        <v>1</v>
      </c>
      <c r="V6" s="6">
        <f>Weights!G9</f>
        <v>1</v>
      </c>
      <c r="W6" s="6">
        <f t="shared" ref="W6:W22" si="3">IF(AND(V6=U6),0,1)</f>
        <v>0</v>
      </c>
    </row>
    <row r="7" spans="1:23">
      <c r="A7" s="6" t="str">
        <f>lang!C56</f>
        <v>Extra#3</v>
      </c>
      <c r="C7" s="6" t="str">
        <f>tblIndiSets!A8</f>
        <v>MERC</v>
      </c>
      <c r="D7" s="6">
        <f>tblIndiSets!B8</f>
        <v>33</v>
      </c>
      <c r="E7" s="6">
        <f ca="1">INDEX(OFFSET(lu_indicode,0,2),D7)</f>
        <v>1</v>
      </c>
      <c r="F7" s="6" t="str">
        <f>tblIndiSets!C8</f>
        <v>3) MERCADO</v>
      </c>
      <c r="G7" s="6" t="str">
        <f ca="1">IF(E7=1,UPPER(F7),F7)</f>
        <v>3) MERCADO</v>
      </c>
      <c r="H7" s="6">
        <v>1</v>
      </c>
      <c r="I7" s="6">
        <v>1</v>
      </c>
      <c r="J7" s="6">
        <v>1</v>
      </c>
      <c r="K7" s="6">
        <v>1</v>
      </c>
      <c r="L7" s="6">
        <v>1</v>
      </c>
      <c r="M7" s="6">
        <v>1</v>
      </c>
      <c r="N7" s="6">
        <v>1</v>
      </c>
      <c r="O7" s="6">
        <v>1</v>
      </c>
      <c r="P7" s="6">
        <v>1</v>
      </c>
      <c r="Q7" s="6">
        <v>1</v>
      </c>
      <c r="R7" s="6">
        <v>1</v>
      </c>
      <c r="S7" s="6">
        <v>1</v>
      </c>
      <c r="U7" s="6">
        <f t="shared" si="2"/>
        <v>1</v>
      </c>
      <c r="V7" s="6">
        <f>Weights!G10</f>
        <v>1</v>
      </c>
      <c r="W7" s="6">
        <f t="shared" si="3"/>
        <v>0</v>
      </c>
    </row>
    <row r="8" spans="1:23">
      <c r="A8" s="6" t="str">
        <f>lang!C57</f>
        <v>Extra#4</v>
      </c>
    </row>
    <row r="9" spans="1:23">
      <c r="A9" s="6" t="str">
        <f>lang!C58</f>
        <v>Extra#5</v>
      </c>
    </row>
    <row r="10" spans="1:23">
      <c r="A10" s="6" t="str">
        <f>lang!C59</f>
        <v>Extra#6</v>
      </c>
      <c r="C10" s="116" t="str">
        <f>tblIndiSets!A69</f>
        <v>NORM</v>
      </c>
      <c r="D10" s="59">
        <f>tblIndiSets!B69</f>
        <v>2</v>
      </c>
      <c r="E10" s="59">
        <f t="shared" ref="E10" ca="1" si="4">INDEX(OFFSET(lu_indicode,0,2),D10)</f>
        <v>1</v>
      </c>
      <c r="F10" s="59" t="str">
        <f>tblIndiSets!C69</f>
        <v>1) NORMATIVA</v>
      </c>
      <c r="G10" s="59" t="str">
        <f ca="1">IF(E10=1,UPPER(F10),F10)</f>
        <v>1) NORMATIVA</v>
      </c>
      <c r="H10" s="59"/>
      <c r="I10" s="59"/>
      <c r="J10" s="59"/>
      <c r="K10" s="59"/>
      <c r="L10" s="59"/>
      <c r="M10" s="59"/>
      <c r="N10" s="59"/>
      <c r="O10" s="59"/>
      <c r="P10" s="59"/>
      <c r="Q10" s="59"/>
      <c r="R10" s="59"/>
      <c r="S10" s="59"/>
      <c r="T10" s="59"/>
    </row>
    <row r="11" spans="1:23">
      <c r="A11" s="6" t="str">
        <f>lang!C60</f>
        <v>Extra#7</v>
      </c>
      <c r="C11" s="116" t="str">
        <f>tblIndiSets!A70</f>
        <v>NORM1.1</v>
      </c>
      <c r="D11" s="59">
        <f>tblIndiSets!B70</f>
        <v>3</v>
      </c>
      <c r="E11" s="59">
        <f t="shared" ref="E11:E22" ca="1" si="5">INDEX(OFFSET(lu_indicode,0,2),D11)</f>
        <v>2</v>
      </c>
      <c r="F11" s="59" t="str">
        <f>tblIndiSets!C70</f>
        <v>1.1) Normativa sobre gestión de residuos</v>
      </c>
      <c r="G11" s="59" t="str">
        <f t="shared" ref="G11:G22" ca="1" si="6">IF(E11=1,UPPER(F11),F11)</f>
        <v>1.1) Normativa sobre gestión de residuos</v>
      </c>
      <c r="H11" s="6">
        <v>1</v>
      </c>
      <c r="I11" s="6">
        <v>0.10810810810810811</v>
      </c>
      <c r="J11" s="6">
        <v>1</v>
      </c>
      <c r="K11" s="6">
        <v>1</v>
      </c>
      <c r="L11" s="6">
        <v>1</v>
      </c>
      <c r="M11" s="6">
        <v>1</v>
      </c>
      <c r="N11" s="6">
        <v>1</v>
      </c>
      <c r="O11" s="6">
        <v>1</v>
      </c>
      <c r="P11" s="6">
        <v>1</v>
      </c>
      <c r="Q11" s="6">
        <v>1</v>
      </c>
      <c r="R11" s="6">
        <v>1</v>
      </c>
      <c r="S11" s="6">
        <v>0.10810810810810811</v>
      </c>
      <c r="U11" s="6">
        <f t="shared" si="2"/>
        <v>1</v>
      </c>
      <c r="V11" s="6">
        <f>Weights!G14</f>
        <v>1</v>
      </c>
      <c r="W11" s="6">
        <f t="shared" si="3"/>
        <v>0</v>
      </c>
    </row>
    <row r="12" spans="1:23" s="59" customFormat="1">
      <c r="A12" s="6" t="str">
        <f>lang!C61</f>
        <v>Extra#8</v>
      </c>
      <c r="C12" s="116" t="str">
        <f>tblIndiSets!A71</f>
        <v>NORM1.2</v>
      </c>
      <c r="D12" s="59">
        <f>tblIndiSets!B71</f>
        <v>8</v>
      </c>
      <c r="E12" s="59">
        <f t="shared" ca="1" si="5"/>
        <v>2</v>
      </c>
      <c r="F12" s="59" t="str">
        <f>tblIndiSets!C71</f>
        <v>1.2) Integración del reciclador de base</v>
      </c>
      <c r="G12" s="59" t="str">
        <f t="shared" ca="1" si="6"/>
        <v>1.2) Integración del reciclador de base</v>
      </c>
      <c r="H12" s="6">
        <v>1</v>
      </c>
      <c r="I12" s="6">
        <v>0.21621621621621623</v>
      </c>
      <c r="J12" s="6">
        <v>1</v>
      </c>
      <c r="K12" s="6">
        <v>1</v>
      </c>
      <c r="L12" s="6">
        <v>1</v>
      </c>
      <c r="M12" s="6">
        <v>1</v>
      </c>
      <c r="N12" s="6">
        <v>1</v>
      </c>
      <c r="O12" s="6">
        <v>1</v>
      </c>
      <c r="P12" s="6">
        <v>1</v>
      </c>
      <c r="Q12" s="6">
        <v>1</v>
      </c>
      <c r="R12" s="6">
        <v>1</v>
      </c>
      <c r="S12" s="6">
        <v>0.21621621621621623</v>
      </c>
      <c r="T12" s="6"/>
      <c r="U12" s="6">
        <f t="shared" si="2"/>
        <v>1</v>
      </c>
      <c r="V12" s="6">
        <f>Weights!G15</f>
        <v>1</v>
      </c>
      <c r="W12" s="6">
        <f t="shared" si="3"/>
        <v>0</v>
      </c>
    </row>
    <row r="13" spans="1:23">
      <c r="A13" s="6" t="str">
        <f>lang!C62</f>
        <v>Extra#9</v>
      </c>
      <c r="C13" s="116" t="str">
        <f>tblIndiSets!A72</f>
        <v>NORM1.3</v>
      </c>
      <c r="D13" s="59">
        <f>tblIndiSets!B72</f>
        <v>17</v>
      </c>
      <c r="E13" s="59">
        <f t="shared" ca="1" si="5"/>
        <v>2</v>
      </c>
      <c r="F13" s="59" t="str">
        <f>tblIndiSets!C72</f>
        <v>1.3) Generación de información</v>
      </c>
      <c r="G13" s="59" t="str">
        <f t="shared" ca="1" si="6"/>
        <v>1.3) Generación de información</v>
      </c>
      <c r="H13" s="6">
        <v>1</v>
      </c>
      <c r="I13" s="6">
        <v>5.4054054054054057E-2</v>
      </c>
      <c r="J13" s="6">
        <v>1</v>
      </c>
      <c r="K13" s="6">
        <v>1</v>
      </c>
      <c r="L13" s="6">
        <v>1</v>
      </c>
      <c r="M13" s="6">
        <v>1</v>
      </c>
      <c r="N13" s="6">
        <v>1</v>
      </c>
      <c r="O13" s="6">
        <v>1</v>
      </c>
      <c r="P13" s="6">
        <v>1</v>
      </c>
      <c r="Q13" s="6">
        <v>1</v>
      </c>
      <c r="R13" s="6">
        <v>1</v>
      </c>
      <c r="S13" s="6">
        <v>5.4054054054054057E-2</v>
      </c>
      <c r="U13" s="6">
        <f t="shared" si="2"/>
        <v>1</v>
      </c>
      <c r="V13" s="6">
        <f>Weights!G16</f>
        <v>1</v>
      </c>
      <c r="W13" s="6">
        <f t="shared" si="3"/>
        <v>0</v>
      </c>
    </row>
    <row r="14" spans="1:23">
      <c r="A14" s="6" t="s">
        <v>2338</v>
      </c>
      <c r="C14" s="116" t="str">
        <f>tblIndiSets!A73</f>
        <v>NORM1.4</v>
      </c>
      <c r="D14" s="59">
        <f>tblIndiSets!B73</f>
        <v>20</v>
      </c>
      <c r="E14" s="59">
        <f t="shared" ca="1" si="5"/>
        <v>2</v>
      </c>
      <c r="F14" s="59" t="str">
        <f>tblIndiSets!C73</f>
        <v>1.4) Salud pública y el medioambiente</v>
      </c>
      <c r="G14" s="59" t="str">
        <f t="shared" ca="1" si="6"/>
        <v>1.4) Salud pública y el medioambiente</v>
      </c>
      <c r="H14" s="6">
        <v>1</v>
      </c>
      <c r="I14" s="6">
        <v>2.7027027027027029E-2</v>
      </c>
      <c r="J14" s="6">
        <v>1</v>
      </c>
      <c r="K14" s="6">
        <v>1</v>
      </c>
      <c r="L14" s="6">
        <v>1</v>
      </c>
      <c r="M14" s="6">
        <v>1</v>
      </c>
      <c r="N14" s="6">
        <v>1</v>
      </c>
      <c r="O14" s="6">
        <v>1</v>
      </c>
      <c r="P14" s="6">
        <v>1</v>
      </c>
      <c r="Q14" s="6">
        <v>1</v>
      </c>
      <c r="R14" s="6">
        <v>1</v>
      </c>
      <c r="S14" s="6">
        <v>2.7027027027027029E-2</v>
      </c>
      <c r="U14" s="6">
        <f t="shared" si="2"/>
        <v>1</v>
      </c>
      <c r="V14" s="6">
        <f>Weights!G17</f>
        <v>1</v>
      </c>
      <c r="W14" s="6">
        <f t="shared" si="3"/>
        <v>0</v>
      </c>
    </row>
    <row r="15" spans="1:23">
      <c r="C15" s="116" t="str">
        <f>tblIndiSets!A74</f>
        <v>ORG</v>
      </c>
      <c r="D15" s="59">
        <f>tblIndiSets!B74</f>
        <v>22</v>
      </c>
      <c r="E15" s="59">
        <f t="shared" ca="1" si="5"/>
        <v>1</v>
      </c>
      <c r="F15" s="59" t="str">
        <f>tblIndiSets!C74</f>
        <v>2) ORGANIZATIVA</v>
      </c>
      <c r="G15" s="59" t="str">
        <f t="shared" ca="1" si="6"/>
        <v>2) ORGANIZATIVA</v>
      </c>
      <c r="W15" s="6">
        <f t="shared" si="3"/>
        <v>0</v>
      </c>
    </row>
    <row r="16" spans="1:23">
      <c r="C16" s="116" t="str">
        <f>tblIndiSets!A75</f>
        <v>ORG2.1</v>
      </c>
      <c r="D16" s="59">
        <f>tblIndiSets!B75</f>
        <v>23</v>
      </c>
      <c r="E16" s="59">
        <f t="shared" ca="1" si="5"/>
        <v>2</v>
      </c>
      <c r="F16" s="59" t="str">
        <f>tblIndiSets!C75</f>
        <v>2.1) Asociatividad</v>
      </c>
      <c r="G16" s="59" t="str">
        <f t="shared" ca="1" si="6"/>
        <v>2.1) Asociatividad</v>
      </c>
      <c r="H16" s="6">
        <v>1</v>
      </c>
      <c r="I16" s="6">
        <v>0.13513513513513514</v>
      </c>
      <c r="J16" s="6">
        <v>1</v>
      </c>
      <c r="K16" s="6">
        <v>1</v>
      </c>
      <c r="L16" s="6">
        <v>1</v>
      </c>
      <c r="M16" s="6">
        <v>1</v>
      </c>
      <c r="N16" s="6">
        <v>1</v>
      </c>
      <c r="O16" s="6">
        <v>1</v>
      </c>
      <c r="P16" s="6">
        <v>1</v>
      </c>
      <c r="Q16" s="6">
        <v>1</v>
      </c>
      <c r="R16" s="6">
        <v>1</v>
      </c>
      <c r="S16" s="6">
        <v>0.13513513513513514</v>
      </c>
      <c r="U16" s="6">
        <f t="shared" si="2"/>
        <v>1</v>
      </c>
      <c r="V16" s="6">
        <f>Weights!G19</f>
        <v>1</v>
      </c>
      <c r="W16" s="6">
        <f t="shared" si="3"/>
        <v>0</v>
      </c>
    </row>
    <row r="17" spans="3:23">
      <c r="C17" s="116" t="str">
        <f>tblIndiSets!A76</f>
        <v>ORG2.2</v>
      </c>
      <c r="D17" s="59">
        <f>tblIndiSets!B76</f>
        <v>29</v>
      </c>
      <c r="E17" s="59">
        <f t="shared" ca="1" si="5"/>
        <v>2</v>
      </c>
      <c r="F17" s="59" t="str">
        <f>tblIndiSets!C76</f>
        <v>2.2) Organizaciones comerciales</v>
      </c>
      <c r="G17" s="59" t="str">
        <f t="shared" ca="1" si="6"/>
        <v>2.2) Organizaciones comerciales</v>
      </c>
      <c r="H17" s="6">
        <v>1</v>
      </c>
      <c r="I17" s="6">
        <v>8.1081081081081086E-2</v>
      </c>
      <c r="J17" s="6">
        <v>1</v>
      </c>
      <c r="K17" s="6">
        <v>1</v>
      </c>
      <c r="L17" s="6">
        <v>1</v>
      </c>
      <c r="M17" s="6">
        <v>1</v>
      </c>
      <c r="N17" s="6">
        <v>1</v>
      </c>
      <c r="O17" s="6">
        <v>1</v>
      </c>
      <c r="P17" s="6">
        <v>1</v>
      </c>
      <c r="Q17" s="6">
        <v>1</v>
      </c>
      <c r="R17" s="6">
        <v>1</v>
      </c>
      <c r="S17" s="6">
        <v>8.1081081081081086E-2</v>
      </c>
      <c r="U17" s="6">
        <f t="shared" si="2"/>
        <v>1</v>
      </c>
      <c r="V17" s="6">
        <f>Weights!G20</f>
        <v>1</v>
      </c>
      <c r="W17" s="6">
        <f t="shared" si="3"/>
        <v>0</v>
      </c>
    </row>
    <row r="18" spans="3:23">
      <c r="C18" s="116" t="str">
        <f>tblIndiSets!A77</f>
        <v>MERC</v>
      </c>
      <c r="D18" s="59">
        <f>tblIndiSets!B77</f>
        <v>33</v>
      </c>
      <c r="E18" s="59">
        <f t="shared" ca="1" si="5"/>
        <v>1</v>
      </c>
      <c r="F18" s="59" t="str">
        <f>tblIndiSets!C77</f>
        <v>3) MERCADO</v>
      </c>
      <c r="G18" s="59" t="str">
        <f t="shared" ca="1" si="6"/>
        <v>3) MERCADO</v>
      </c>
      <c r="W18" s="6">
        <f t="shared" si="3"/>
        <v>0</v>
      </c>
    </row>
    <row r="19" spans="3:23">
      <c r="C19" s="116" t="str">
        <f>tblIndiSets!A78</f>
        <v>MERC3.1</v>
      </c>
      <c r="D19" s="59">
        <f>tblIndiSets!B78</f>
        <v>34</v>
      </c>
      <c r="E19" s="59">
        <f t="shared" ca="1" si="5"/>
        <v>2</v>
      </c>
      <c r="F19" s="59" t="str">
        <f>tblIndiSets!C78</f>
        <v>3.1) Condiciones de acceso y almacenamiento de residuos</v>
      </c>
      <c r="G19" s="59" t="str">
        <f t="shared" ca="1" si="6"/>
        <v>3.1) Condiciones de acceso y almacenamiento de residuos</v>
      </c>
      <c r="H19" s="6">
        <v>1</v>
      </c>
      <c r="I19" s="6">
        <v>0.10810810810810811</v>
      </c>
      <c r="J19" s="6">
        <v>1</v>
      </c>
      <c r="K19" s="6">
        <v>1</v>
      </c>
      <c r="L19" s="6">
        <v>1</v>
      </c>
      <c r="M19" s="6">
        <v>1</v>
      </c>
      <c r="N19" s="6">
        <v>1</v>
      </c>
      <c r="O19" s="6">
        <v>1</v>
      </c>
      <c r="P19" s="6">
        <v>1</v>
      </c>
      <c r="Q19" s="6">
        <v>1</v>
      </c>
      <c r="R19" s="6">
        <v>1</v>
      </c>
      <c r="S19" s="6">
        <v>0.10810810810810811</v>
      </c>
      <c r="U19" s="6">
        <f t="shared" si="2"/>
        <v>1</v>
      </c>
      <c r="V19" s="6">
        <f>Weights!G22</f>
        <v>1</v>
      </c>
      <c r="W19" s="6">
        <f t="shared" si="3"/>
        <v>0</v>
      </c>
    </row>
    <row r="20" spans="3:23">
      <c r="C20" s="116" t="str">
        <f>tblIndiSets!A79</f>
        <v>MERC3.2</v>
      </c>
      <c r="D20" s="59">
        <f>tblIndiSets!B79</f>
        <v>39</v>
      </c>
      <c r="E20" s="59">
        <f t="shared" ca="1" si="5"/>
        <v>2</v>
      </c>
      <c r="F20" s="59" t="str">
        <f>tblIndiSets!C79</f>
        <v>3.2) Condiciones para la comercialización de material reciclable</v>
      </c>
      <c r="G20" s="59" t="str">
        <f t="shared" ca="1" si="6"/>
        <v>3.2) Condiciones para la comercialización de material reciclable</v>
      </c>
      <c r="H20" s="6">
        <v>1</v>
      </c>
      <c r="I20" s="6">
        <v>5.4054054054054057E-2</v>
      </c>
      <c r="J20" s="6">
        <v>1</v>
      </c>
      <c r="K20" s="6">
        <v>1</v>
      </c>
      <c r="L20" s="6">
        <v>1</v>
      </c>
      <c r="M20" s="6">
        <v>1</v>
      </c>
      <c r="N20" s="6">
        <v>1</v>
      </c>
      <c r="O20" s="6">
        <v>1</v>
      </c>
      <c r="P20" s="6">
        <v>1</v>
      </c>
      <c r="Q20" s="6">
        <v>1</v>
      </c>
      <c r="R20" s="6">
        <v>1</v>
      </c>
      <c r="S20" s="6">
        <v>5.4054054054054057E-2</v>
      </c>
      <c r="U20" s="6">
        <f t="shared" si="2"/>
        <v>1</v>
      </c>
      <c r="V20" s="6">
        <f>Weights!G23</f>
        <v>1</v>
      </c>
      <c r="W20" s="6">
        <f t="shared" si="3"/>
        <v>0</v>
      </c>
    </row>
    <row r="21" spans="3:23">
      <c r="C21" s="116" t="str">
        <f>tblIndiSets!A80</f>
        <v>MERC3.3</v>
      </c>
      <c r="D21" s="59">
        <f>tblIndiSets!B80</f>
        <v>42</v>
      </c>
      <c r="E21" s="59">
        <f t="shared" ca="1" si="5"/>
        <v>2</v>
      </c>
      <c r="F21" s="59" t="str">
        <f>tblIndiSets!C80</f>
        <v>3.3) Ingreso de los recicladores de base</v>
      </c>
      <c r="G21" s="59" t="str">
        <f t="shared" ca="1" si="6"/>
        <v>3.3) Ingreso de los recicladores de base</v>
      </c>
      <c r="H21" s="6">
        <v>1</v>
      </c>
      <c r="I21" s="6">
        <v>0.10810810810810811</v>
      </c>
      <c r="J21" s="6">
        <v>1</v>
      </c>
      <c r="K21" s="6">
        <v>1</v>
      </c>
      <c r="L21" s="6">
        <v>1</v>
      </c>
      <c r="M21" s="6">
        <v>1</v>
      </c>
      <c r="N21" s="6">
        <v>1</v>
      </c>
      <c r="O21" s="6">
        <v>1</v>
      </c>
      <c r="P21" s="6">
        <v>1</v>
      </c>
      <c r="Q21" s="6">
        <v>1</v>
      </c>
      <c r="R21" s="6">
        <v>1</v>
      </c>
      <c r="S21" s="6">
        <v>0.10810810810810811</v>
      </c>
      <c r="U21" s="6">
        <f t="shared" si="2"/>
        <v>1</v>
      </c>
      <c r="V21" s="6">
        <f>Weights!G24</f>
        <v>1</v>
      </c>
      <c r="W21" s="6">
        <f t="shared" si="3"/>
        <v>0</v>
      </c>
    </row>
    <row r="22" spans="3:23">
      <c r="C22" s="116" t="str">
        <f>tblIndiSets!A81</f>
        <v>MERC3.4</v>
      </c>
      <c r="D22" s="59">
        <f>tblIndiSets!B81</f>
        <v>47</v>
      </c>
      <c r="E22" s="59">
        <f t="shared" ca="1" si="5"/>
        <v>2</v>
      </c>
      <c r="F22" s="59" t="str">
        <f>tblIndiSets!C81</f>
        <v>3.4) Condiciones de trabajo de los recicladores de base</v>
      </c>
      <c r="G22" s="59" t="str">
        <f t="shared" ca="1" si="6"/>
        <v>3.4) Condiciones de trabajo de los recicladores de base</v>
      </c>
      <c r="H22" s="6">
        <v>1</v>
      </c>
      <c r="I22" s="6">
        <v>0.10810810810810811</v>
      </c>
      <c r="J22" s="6">
        <v>1</v>
      </c>
      <c r="K22" s="6">
        <v>1</v>
      </c>
      <c r="L22" s="6">
        <v>1</v>
      </c>
      <c r="M22" s="6">
        <v>1</v>
      </c>
      <c r="N22" s="6">
        <v>1</v>
      </c>
      <c r="O22" s="6">
        <v>1</v>
      </c>
      <c r="P22" s="6">
        <v>1</v>
      </c>
      <c r="Q22" s="6">
        <v>1</v>
      </c>
      <c r="R22" s="6">
        <v>1</v>
      </c>
      <c r="S22" s="6">
        <v>0.10810810810810811</v>
      </c>
      <c r="U22" s="6">
        <f t="shared" si="2"/>
        <v>1</v>
      </c>
      <c r="V22" s="6">
        <f>Weights!G25</f>
        <v>1</v>
      </c>
      <c r="W22" s="6">
        <f t="shared" si="3"/>
        <v>0</v>
      </c>
    </row>
    <row r="23" spans="3:23">
      <c r="C23" s="116"/>
      <c r="D23" s="59"/>
      <c r="E23" s="59"/>
      <c r="F23" s="59"/>
      <c r="G23" s="59"/>
    </row>
    <row r="24" spans="3:23">
      <c r="C24" s="116"/>
      <c r="D24" s="59"/>
      <c r="E24" s="59"/>
      <c r="F24" s="59"/>
      <c r="G24" s="59"/>
    </row>
    <row r="25" spans="3:23">
      <c r="C25" s="116"/>
      <c r="D25" s="59"/>
      <c r="E25" s="59"/>
      <c r="F25" s="59"/>
      <c r="G25" s="59"/>
    </row>
    <row r="26" spans="3:23">
      <c r="C26" s="116" t="str">
        <f>tblIndiSets!A13</f>
        <v>NORM</v>
      </c>
      <c r="D26" s="59">
        <f>tblIndiSets!B13</f>
        <v>2</v>
      </c>
      <c r="E26" s="59">
        <f t="shared" ref="E26" ca="1" si="7">INDEX(OFFSET(lu_indicode,0,2),D26)</f>
        <v>1</v>
      </c>
      <c r="F26" s="59" t="str">
        <f>tblIndiSets!C13</f>
        <v>1) NORMATIVA</v>
      </c>
      <c r="G26" s="59" t="str">
        <f t="shared" ref="G26" ca="1" si="8">IF(E26=1,UPPER(F26),F26)</f>
        <v>1) NORMATIVA</v>
      </c>
    </row>
    <row r="27" spans="3:23">
      <c r="C27" s="116" t="str">
        <f>tblIndiSets!A14</f>
        <v>NORM1.1</v>
      </c>
      <c r="D27" s="59">
        <f>tblIndiSets!B14</f>
        <v>3</v>
      </c>
      <c r="E27" s="59">
        <f t="shared" ref="E27:E28" ca="1" si="9">INDEX(OFFSET(lu_indicode,0,2),D27)</f>
        <v>2</v>
      </c>
      <c r="F27" s="59" t="str">
        <f>tblIndiSets!C14</f>
        <v>1.1) Normativa sobre gestión de residuos</v>
      </c>
      <c r="G27" s="59" t="str">
        <f t="shared" ref="G27:G28" ca="1" si="10">IF(E27=1,UPPER(F27),F27)</f>
        <v>1.1) Normativa sobre gestión de residuos</v>
      </c>
    </row>
    <row r="28" spans="3:23">
      <c r="C28" s="116" t="str">
        <f>tblIndiSets!A15</f>
        <v>NORM1.1.1</v>
      </c>
      <c r="D28" s="59">
        <f>tblIndiSets!B15</f>
        <v>4</v>
      </c>
      <c r="E28" s="59">
        <f t="shared" ca="1" si="9"/>
        <v>3</v>
      </c>
      <c r="F28" s="59" t="str">
        <f>tblIndiSets!C15</f>
        <v>1.1.1) 1.¿ Existe un marco legal nacional para la gestión de residuos orientado al reciclaje con la inclusión de actores informales?</v>
      </c>
      <c r="G28" s="59" t="str">
        <f t="shared" ca="1" si="10"/>
        <v>1.1.1) 1.¿ Existe un marco legal nacional para la gestión de residuos orientado al reciclaje con la inclusión de actores informales?</v>
      </c>
      <c r="H28" s="6">
        <v>1</v>
      </c>
      <c r="I28" s="6">
        <v>1</v>
      </c>
      <c r="J28" s="6">
        <v>1</v>
      </c>
      <c r="K28" s="6">
        <v>1</v>
      </c>
      <c r="L28" s="6">
        <v>1</v>
      </c>
      <c r="M28" s="6">
        <v>1</v>
      </c>
      <c r="N28" s="6">
        <v>1</v>
      </c>
      <c r="O28" s="6">
        <v>1</v>
      </c>
      <c r="P28" s="6">
        <v>1</v>
      </c>
      <c r="Q28" s="6">
        <v>1</v>
      </c>
      <c r="R28" s="6">
        <v>1</v>
      </c>
      <c r="S28" s="6">
        <v>1</v>
      </c>
      <c r="U28" s="6">
        <f t="shared" si="2"/>
        <v>1</v>
      </c>
      <c r="V28" s="6">
        <f>Weights!G31</f>
        <v>1</v>
      </c>
      <c r="W28" s="6">
        <f t="shared" ref="W28" si="11">IF(AND(V28=U28),0,1)</f>
        <v>0</v>
      </c>
    </row>
    <row r="29" spans="3:23">
      <c r="C29" s="116" t="str">
        <f>tblIndiSets!A16</f>
        <v>NORM1.1.2</v>
      </c>
      <c r="D29" s="59">
        <f>tblIndiSets!B16</f>
        <v>5</v>
      </c>
      <c r="E29" s="59">
        <f t="shared" ref="E29:E75" ca="1" si="12">INDEX(OFFSET(lu_indicode,0,2),D29)</f>
        <v>3</v>
      </c>
      <c r="F29" s="59" t="str">
        <f>tblIndiSets!C16</f>
        <v>1.1.2) 2.¿Existe un marco legal municipal para la gestión de residuos orientado al reciclaje y la inclusión de actores informales?</v>
      </c>
      <c r="G29" s="59" t="str">
        <f t="shared" ref="G29:G75" ca="1" si="13">IF(E29=1,UPPER(F29),F29)</f>
        <v>1.1.2) 2.¿Existe un marco legal municipal para la gestión de residuos orientado al reciclaje y la inclusión de actores informales?</v>
      </c>
      <c r="H29" s="6">
        <v>1</v>
      </c>
      <c r="I29" s="6">
        <v>1</v>
      </c>
      <c r="J29" s="6">
        <v>1</v>
      </c>
      <c r="K29" s="6">
        <v>1</v>
      </c>
      <c r="L29" s="6">
        <v>1</v>
      </c>
      <c r="M29" s="6">
        <v>1</v>
      </c>
      <c r="N29" s="6">
        <v>1</v>
      </c>
      <c r="O29" s="6">
        <v>1</v>
      </c>
      <c r="P29" s="6">
        <v>1</v>
      </c>
      <c r="Q29" s="6">
        <v>1</v>
      </c>
      <c r="R29" s="6">
        <v>1</v>
      </c>
      <c r="S29" s="6">
        <v>1</v>
      </c>
      <c r="U29" s="6">
        <f t="shared" si="2"/>
        <v>1</v>
      </c>
      <c r="V29" s="6">
        <f>Weights!G32</f>
        <v>1</v>
      </c>
      <c r="W29" s="6">
        <f t="shared" ref="W29:W75" si="14">IF(AND(V29=U29),0,1)</f>
        <v>0</v>
      </c>
    </row>
    <row r="30" spans="3:23">
      <c r="C30" s="116" t="str">
        <f>tblIndiSets!A17</f>
        <v>NORM1.1.3</v>
      </c>
      <c r="D30" s="59">
        <f>tblIndiSets!B17</f>
        <v>6</v>
      </c>
      <c r="E30" s="59">
        <f t="shared" ca="1" si="12"/>
        <v>3</v>
      </c>
      <c r="F30" s="59" t="str">
        <f>tblIndiSets!C17</f>
        <v>1.1.3) 3.¿Son las políticas municipales suficientemente estables para garantizar la continuidad en materia de políticas de reciclaje inclusivo?</v>
      </c>
      <c r="G30" s="59" t="str">
        <f t="shared" ca="1" si="13"/>
        <v>1.1.3) 3.¿Son las políticas municipales suficientemente estables para garantizar la continuidad en materia de políticas de reciclaje inclusivo?</v>
      </c>
      <c r="H30" s="6">
        <v>1</v>
      </c>
      <c r="I30" s="6">
        <v>1</v>
      </c>
      <c r="J30" s="6">
        <v>1</v>
      </c>
      <c r="K30" s="6">
        <v>1</v>
      </c>
      <c r="L30" s="6">
        <v>1</v>
      </c>
      <c r="M30" s="6">
        <v>1</v>
      </c>
      <c r="N30" s="6">
        <v>1</v>
      </c>
      <c r="O30" s="6">
        <v>1</v>
      </c>
      <c r="P30" s="6">
        <v>1</v>
      </c>
      <c r="Q30" s="6">
        <v>1</v>
      </c>
      <c r="R30" s="6">
        <v>1</v>
      </c>
      <c r="S30" s="6">
        <v>1</v>
      </c>
      <c r="U30" s="6">
        <f t="shared" si="2"/>
        <v>1</v>
      </c>
      <c r="V30" s="6">
        <f>Weights!G33</f>
        <v>1</v>
      </c>
      <c r="W30" s="6">
        <f t="shared" si="14"/>
        <v>0</v>
      </c>
    </row>
    <row r="31" spans="3:23">
      <c r="C31" s="116" t="str">
        <f>tblIndiSets!A18</f>
        <v>NORM1.1.4</v>
      </c>
      <c r="D31" s="59">
        <f>tblIndiSets!B18</f>
        <v>7</v>
      </c>
      <c r="E31" s="59">
        <f t="shared" ca="1" si="12"/>
        <v>3</v>
      </c>
      <c r="F31" s="59" t="str">
        <f>tblIndiSets!C18</f>
        <v>1.1.4) 4.¿Existe un presupuesto (o mecanismo de financiación) municipal asignado para el reciclaje inclusivo?</v>
      </c>
      <c r="G31" s="59" t="str">
        <f t="shared" ca="1" si="13"/>
        <v>1.1.4) 4.¿Existe un presupuesto (o mecanismo de financiación) municipal asignado para el reciclaje inclusivo?</v>
      </c>
      <c r="H31" s="6">
        <v>1</v>
      </c>
      <c r="I31" s="6">
        <v>1</v>
      </c>
      <c r="J31" s="6">
        <v>1</v>
      </c>
      <c r="K31" s="6">
        <v>1</v>
      </c>
      <c r="L31" s="6">
        <v>1</v>
      </c>
      <c r="M31" s="6">
        <v>1</v>
      </c>
      <c r="N31" s="6">
        <v>1</v>
      </c>
      <c r="O31" s="6">
        <v>1</v>
      </c>
      <c r="P31" s="6">
        <v>1</v>
      </c>
      <c r="Q31" s="6">
        <v>1</v>
      </c>
      <c r="R31" s="6">
        <v>1</v>
      </c>
      <c r="S31" s="6">
        <v>1</v>
      </c>
      <c r="U31" s="6">
        <f t="shared" si="2"/>
        <v>1</v>
      </c>
      <c r="V31" s="6">
        <f>Weights!G34</f>
        <v>1</v>
      </c>
      <c r="W31" s="6">
        <f t="shared" si="14"/>
        <v>0</v>
      </c>
    </row>
    <row r="32" spans="3:23">
      <c r="C32" s="116" t="str">
        <f>tblIndiSets!A19</f>
        <v>NORM1.2</v>
      </c>
      <c r="D32" s="59">
        <f>tblIndiSets!B19</f>
        <v>8</v>
      </c>
      <c r="E32" s="59">
        <f t="shared" ca="1" si="12"/>
        <v>2</v>
      </c>
      <c r="F32" s="59" t="str">
        <f>tblIndiSets!C19</f>
        <v>1.2) Integración del reciclador de base</v>
      </c>
      <c r="G32" s="59" t="str">
        <f t="shared" ca="1" si="13"/>
        <v>1.2) Integración del reciclador de base</v>
      </c>
    </row>
    <row r="33" spans="1:23">
      <c r="C33" s="116" t="str">
        <f>tblIndiSets!A20</f>
        <v>NORM1.2.1</v>
      </c>
      <c r="D33" s="59">
        <f>tblIndiSets!B20</f>
        <v>9</v>
      </c>
      <c r="E33" s="59">
        <f t="shared" ca="1" si="12"/>
        <v>3</v>
      </c>
      <c r="F33" s="59" t="str">
        <f>tblIndiSets!C20</f>
        <v>1.2.1) 5.¿Existe reconocimiento legal de la ocupación de reciclador de base?</v>
      </c>
      <c r="G33" s="59" t="str">
        <f t="shared" ca="1" si="13"/>
        <v>1.2.1) 5.¿Existe reconocimiento legal de la ocupación de reciclador de base?</v>
      </c>
      <c r="H33" s="6">
        <v>1</v>
      </c>
      <c r="I33" s="6">
        <v>1</v>
      </c>
      <c r="J33" s="6">
        <v>1</v>
      </c>
      <c r="K33" s="6">
        <v>1</v>
      </c>
      <c r="L33" s="6">
        <v>1</v>
      </c>
      <c r="M33" s="6">
        <v>1</v>
      </c>
      <c r="N33" s="6">
        <v>1</v>
      </c>
      <c r="O33" s="6">
        <v>1</v>
      </c>
      <c r="P33" s="6">
        <v>1</v>
      </c>
      <c r="Q33" s="6">
        <v>1</v>
      </c>
      <c r="R33" s="6">
        <v>1</v>
      </c>
      <c r="S33" s="6">
        <v>1</v>
      </c>
      <c r="U33" s="6">
        <f t="shared" si="2"/>
        <v>1</v>
      </c>
      <c r="V33" s="6">
        <f>Weights!G36</f>
        <v>1</v>
      </c>
      <c r="W33" s="6">
        <f t="shared" si="14"/>
        <v>0</v>
      </c>
    </row>
    <row r="34" spans="1:23">
      <c r="C34" s="116" t="str">
        <f>tblIndiSets!A21</f>
        <v>NORM1.2.2</v>
      </c>
      <c r="D34" s="59">
        <f>tblIndiSets!B21</f>
        <v>10</v>
      </c>
      <c r="E34" s="59">
        <f t="shared" ca="1" si="12"/>
        <v>3</v>
      </c>
      <c r="F34" s="59" t="str">
        <f>tblIndiSets!C21</f>
        <v>1.2.2) 6.¿Se reconoce a los recicladores de base como prestadores de servicio en la gestión de residuos?</v>
      </c>
      <c r="G34" s="59" t="str">
        <f t="shared" ca="1" si="13"/>
        <v>1.2.2) 6.¿Se reconoce a los recicladores de base como prestadores de servicio en la gestión de residuos?</v>
      </c>
      <c r="H34" s="6">
        <v>1</v>
      </c>
      <c r="I34" s="6">
        <v>1</v>
      </c>
      <c r="J34" s="6">
        <v>1</v>
      </c>
      <c r="K34" s="6">
        <v>1</v>
      </c>
      <c r="L34" s="6">
        <v>1</v>
      </c>
      <c r="M34" s="6">
        <v>1</v>
      </c>
      <c r="N34" s="6">
        <v>1</v>
      </c>
      <c r="O34" s="6">
        <v>1</v>
      </c>
      <c r="P34" s="6">
        <v>1</v>
      </c>
      <c r="Q34" s="6">
        <v>1</v>
      </c>
      <c r="R34" s="6">
        <v>1</v>
      </c>
      <c r="S34" s="6">
        <v>1</v>
      </c>
      <c r="U34" s="6">
        <f t="shared" si="2"/>
        <v>1</v>
      </c>
      <c r="V34" s="6">
        <f>Weights!G37</f>
        <v>1</v>
      </c>
      <c r="W34" s="6">
        <f t="shared" si="14"/>
        <v>0</v>
      </c>
    </row>
    <row r="35" spans="1:23">
      <c r="C35" s="116" t="str">
        <f>tblIndiSets!A22</f>
        <v>NORM1.2.3</v>
      </c>
      <c r="D35" s="59">
        <f>tblIndiSets!B22</f>
        <v>11</v>
      </c>
      <c r="E35" s="59">
        <f t="shared" ca="1" si="12"/>
        <v>3</v>
      </c>
      <c r="F35" s="59" t="str">
        <f>tblIndiSets!C22</f>
        <v>1.2.3) 7.¿Se ha identificado la población de recicladores de base a través de un censo?</v>
      </c>
      <c r="G35" s="59" t="str">
        <f t="shared" ca="1" si="13"/>
        <v>1.2.3) 7.¿Se ha identificado la población de recicladores de base a través de un censo?</v>
      </c>
      <c r="H35" s="6">
        <v>1</v>
      </c>
      <c r="I35" s="6">
        <v>1</v>
      </c>
      <c r="J35" s="6">
        <v>1</v>
      </c>
      <c r="K35" s="6">
        <v>1</v>
      </c>
      <c r="L35" s="6">
        <v>1</v>
      </c>
      <c r="M35" s="6">
        <v>1</v>
      </c>
      <c r="N35" s="6">
        <v>1</v>
      </c>
      <c r="O35" s="6">
        <v>1</v>
      </c>
      <c r="P35" s="6">
        <v>1</v>
      </c>
      <c r="Q35" s="6">
        <v>1</v>
      </c>
      <c r="R35" s="6">
        <v>1</v>
      </c>
      <c r="S35" s="6">
        <v>1</v>
      </c>
      <c r="U35" s="6">
        <f t="shared" si="2"/>
        <v>1</v>
      </c>
      <c r="V35" s="6">
        <f>Weights!G38</f>
        <v>1</v>
      </c>
      <c r="W35" s="6">
        <f t="shared" si="14"/>
        <v>0</v>
      </c>
    </row>
    <row r="36" spans="1:23" ht="12" thickBot="1">
      <c r="C36" s="116" t="str">
        <f>tblIndiSets!A23</f>
        <v>NORM1.2.4</v>
      </c>
      <c r="D36" s="59">
        <f>tblIndiSets!B23</f>
        <v>12</v>
      </c>
      <c r="E36" s="59">
        <f t="shared" ca="1" si="12"/>
        <v>3</v>
      </c>
      <c r="F36" s="59" t="str">
        <f>tblIndiSets!C23</f>
        <v>1.2.4) 8.¿Cuál es el grado de transparencia e inclusión en los procesos de licitación para el reciclaje?</v>
      </c>
      <c r="G36" s="59" t="str">
        <f t="shared" ca="1" si="13"/>
        <v>1.2.4) 8.¿Cuál es el grado de transparencia e inclusión en los procesos de licitación para el reciclaje?</v>
      </c>
      <c r="H36" s="6">
        <v>1</v>
      </c>
      <c r="I36" s="6">
        <v>1</v>
      </c>
      <c r="J36" s="6">
        <v>1</v>
      </c>
      <c r="K36" s="6">
        <v>1</v>
      </c>
      <c r="L36" s="6">
        <v>1</v>
      </c>
      <c r="M36" s="6">
        <v>1</v>
      </c>
      <c r="N36" s="6">
        <v>1</v>
      </c>
      <c r="O36" s="6">
        <v>1</v>
      </c>
      <c r="P36" s="6">
        <v>1</v>
      </c>
      <c r="Q36" s="6">
        <v>1</v>
      </c>
      <c r="R36" s="6">
        <v>1</v>
      </c>
      <c r="S36" s="6">
        <v>1</v>
      </c>
      <c r="U36" s="6">
        <f t="shared" si="2"/>
        <v>1</v>
      </c>
      <c r="V36" s="6">
        <f>Weights!G39</f>
        <v>1</v>
      </c>
      <c r="W36" s="6">
        <f t="shared" si="14"/>
        <v>0</v>
      </c>
    </row>
    <row r="37" spans="1:23">
      <c r="A37" s="192"/>
      <c r="C37" s="116" t="str">
        <f>tblIndiSets!A24</f>
        <v>NORM1.2.5</v>
      </c>
      <c r="D37" s="59">
        <f>tblIndiSets!B24</f>
        <v>13</v>
      </c>
      <c r="E37" s="59">
        <f t="shared" ca="1" si="12"/>
        <v>3</v>
      </c>
      <c r="F37" s="59" t="str">
        <f>tblIndiSets!C24</f>
        <v>1.2.5) 9.¿La normativa/ estrategia municipal de residuos sólidos: fue desarrollada de manera participativa?</v>
      </c>
      <c r="G37" s="59" t="str">
        <f t="shared" ca="1" si="13"/>
        <v>1.2.5) 9.¿La normativa/ estrategia municipal de residuos sólidos: fue desarrollada de manera participativa?</v>
      </c>
      <c r="H37" s="6">
        <v>1</v>
      </c>
      <c r="I37" s="6">
        <v>1</v>
      </c>
      <c r="J37" s="6">
        <v>1</v>
      </c>
      <c r="K37" s="6">
        <v>1</v>
      </c>
      <c r="L37" s="6">
        <v>1</v>
      </c>
      <c r="M37" s="6">
        <v>1</v>
      </c>
      <c r="N37" s="6">
        <v>1</v>
      </c>
      <c r="O37" s="6">
        <v>1</v>
      </c>
      <c r="P37" s="6">
        <v>1</v>
      </c>
      <c r="Q37" s="6">
        <v>1</v>
      </c>
      <c r="R37" s="6">
        <v>1</v>
      </c>
      <c r="S37" s="6">
        <v>1</v>
      </c>
      <c r="U37" s="6">
        <f t="shared" si="2"/>
        <v>1</v>
      </c>
      <c r="V37" s="6">
        <f>Weights!G40</f>
        <v>1</v>
      </c>
      <c r="W37" s="6">
        <f t="shared" si="14"/>
        <v>0</v>
      </c>
    </row>
    <row r="38" spans="1:23" ht="36">
      <c r="A38" s="193" t="str">
        <f>lang!C106</f>
        <v>El perfil de ponderación ha sido cambiado del default de EIU</v>
      </c>
      <c r="C38" s="116" t="str">
        <f>tblIndiSets!A25</f>
        <v>NORM1.2.6</v>
      </c>
      <c r="D38" s="59">
        <f>tblIndiSets!B25</f>
        <v>14</v>
      </c>
      <c r="E38" s="59">
        <f t="shared" ca="1" si="12"/>
        <v>3</v>
      </c>
      <c r="F38" s="59" t="str">
        <f>tblIndiSets!C25</f>
        <v>1.2.6) 10.¿Hay programas de formación/capacitación a nivel municipal?</v>
      </c>
      <c r="G38" s="59" t="str">
        <f t="shared" ca="1" si="13"/>
        <v>1.2.6) 10.¿Hay programas de formación/capacitación a nivel municipal?</v>
      </c>
      <c r="H38" s="6">
        <v>1</v>
      </c>
      <c r="I38" s="6">
        <v>1</v>
      </c>
      <c r="J38" s="6">
        <v>1</v>
      </c>
      <c r="K38" s="6">
        <v>1</v>
      </c>
      <c r="L38" s="6">
        <v>1</v>
      </c>
      <c r="M38" s="6">
        <v>1</v>
      </c>
      <c r="N38" s="6">
        <v>1</v>
      </c>
      <c r="O38" s="6">
        <v>1</v>
      </c>
      <c r="P38" s="6">
        <v>1</v>
      </c>
      <c r="Q38" s="6">
        <v>1</v>
      </c>
      <c r="R38" s="6">
        <v>1</v>
      </c>
      <c r="S38" s="6">
        <v>1</v>
      </c>
      <c r="U38" s="6">
        <f t="shared" si="2"/>
        <v>1</v>
      </c>
      <c r="V38" s="6">
        <f>Weights!G41</f>
        <v>1</v>
      </c>
      <c r="W38" s="6">
        <f t="shared" si="14"/>
        <v>0</v>
      </c>
    </row>
    <row r="39" spans="1:23">
      <c r="C39" s="116" t="str">
        <f>tblIndiSets!A26</f>
        <v>NORM1.2.7</v>
      </c>
      <c r="D39" s="59">
        <f>tblIndiSets!B26</f>
        <v>15</v>
      </c>
      <c r="E39" s="59">
        <f t="shared" ca="1" si="12"/>
        <v>3</v>
      </c>
      <c r="F39" s="59" t="str">
        <f>tblIndiSets!C26</f>
        <v>1.2.7) 11.¿Existen incentivos, programas y/o acciones concretas para el fortalecimiento de la ocupación del reciclador de base?</v>
      </c>
      <c r="G39" s="59" t="str">
        <f t="shared" ca="1" si="13"/>
        <v>1.2.7) 11.¿Existen incentivos, programas y/o acciones concretas para el fortalecimiento de la ocupación del reciclador de base?</v>
      </c>
      <c r="H39" s="6">
        <v>1</v>
      </c>
      <c r="I39" s="6">
        <v>1</v>
      </c>
      <c r="J39" s="6">
        <v>1</v>
      </c>
      <c r="K39" s="6">
        <v>1</v>
      </c>
      <c r="L39" s="6">
        <v>1</v>
      </c>
      <c r="M39" s="6">
        <v>1</v>
      </c>
      <c r="N39" s="6">
        <v>1</v>
      </c>
      <c r="O39" s="6">
        <v>1</v>
      </c>
      <c r="P39" s="6">
        <v>1</v>
      </c>
      <c r="Q39" s="6">
        <v>1</v>
      </c>
      <c r="R39" s="6">
        <v>1</v>
      </c>
      <c r="S39" s="6">
        <v>1</v>
      </c>
      <c r="U39" s="6">
        <f t="shared" si="2"/>
        <v>1</v>
      </c>
      <c r="V39" s="6">
        <f>Weights!G42</f>
        <v>1</v>
      </c>
      <c r="W39" s="6">
        <f t="shared" si="14"/>
        <v>0</v>
      </c>
    </row>
    <row r="40" spans="1:23">
      <c r="C40" s="116" t="str">
        <f>tblIndiSets!A27</f>
        <v>NORM1.2.8</v>
      </c>
      <c r="D40" s="59">
        <f>tblIndiSets!B27</f>
        <v>16</v>
      </c>
      <c r="E40" s="59">
        <f t="shared" ca="1" si="12"/>
        <v>3</v>
      </c>
      <c r="F40" s="59" t="str">
        <f>tblIndiSets!C27</f>
        <v xml:space="preserve">1.2.8) 12.¿Existen incentivos de reciclaje para los usuarios? </v>
      </c>
      <c r="G40" s="59" t="str">
        <f t="shared" ca="1" si="13"/>
        <v xml:space="preserve">1.2.8) 12.¿Existen incentivos de reciclaje para los usuarios? </v>
      </c>
      <c r="H40" s="6">
        <v>1</v>
      </c>
      <c r="I40" s="6">
        <v>1</v>
      </c>
      <c r="J40" s="6">
        <v>1</v>
      </c>
      <c r="K40" s="6">
        <v>1</v>
      </c>
      <c r="L40" s="6">
        <v>1</v>
      </c>
      <c r="M40" s="6">
        <v>1</v>
      </c>
      <c r="N40" s="6">
        <v>1</v>
      </c>
      <c r="O40" s="6">
        <v>1</v>
      </c>
      <c r="P40" s="6">
        <v>1</v>
      </c>
      <c r="Q40" s="6">
        <v>1</v>
      </c>
      <c r="R40" s="6">
        <v>1</v>
      </c>
      <c r="S40" s="6">
        <v>1</v>
      </c>
      <c r="U40" s="6">
        <f t="shared" si="2"/>
        <v>1</v>
      </c>
      <c r="V40" s="6">
        <f>Weights!G43</f>
        <v>1</v>
      </c>
      <c r="W40" s="6">
        <f t="shared" si="14"/>
        <v>0</v>
      </c>
    </row>
    <row r="41" spans="1:23">
      <c r="C41" s="116" t="str">
        <f>tblIndiSets!A28</f>
        <v>NORM1.3</v>
      </c>
      <c r="D41" s="59">
        <f>tblIndiSets!B28</f>
        <v>17</v>
      </c>
      <c r="E41" s="59">
        <f t="shared" ca="1" si="12"/>
        <v>2</v>
      </c>
      <c r="F41" s="59" t="str">
        <f>tblIndiSets!C28</f>
        <v>1.3) Generación de información</v>
      </c>
      <c r="G41" s="59" t="str">
        <f t="shared" ca="1" si="13"/>
        <v>1.3) Generación de información</v>
      </c>
    </row>
    <row r="42" spans="1:23">
      <c r="C42" s="116" t="str">
        <f>tblIndiSets!A29</f>
        <v>NORM1.3.1</v>
      </c>
      <c r="D42" s="59">
        <f>tblIndiSets!B29</f>
        <v>18</v>
      </c>
      <c r="E42" s="59">
        <f t="shared" ca="1" si="12"/>
        <v>3</v>
      </c>
      <c r="F42" s="59" t="str">
        <f>tblIndiSets!C29</f>
        <v>1.3.1) 13.¿Hay un sistema municipal de recolección de información de reciclaje inclusivo?</v>
      </c>
      <c r="G42" s="59" t="str">
        <f t="shared" ca="1" si="13"/>
        <v>1.3.1) 13.¿Hay un sistema municipal de recolección de información de reciclaje inclusivo?</v>
      </c>
      <c r="H42" s="6">
        <v>1</v>
      </c>
      <c r="I42" s="6">
        <v>1</v>
      </c>
      <c r="J42" s="6">
        <v>1</v>
      </c>
      <c r="K42" s="6">
        <v>1</v>
      </c>
      <c r="L42" s="6">
        <v>1</v>
      </c>
      <c r="M42" s="6">
        <v>1</v>
      </c>
      <c r="N42" s="6">
        <v>1</v>
      </c>
      <c r="O42" s="6">
        <v>1</v>
      </c>
      <c r="P42" s="6">
        <v>1</v>
      </c>
      <c r="Q42" s="6">
        <v>1</v>
      </c>
      <c r="R42" s="6">
        <v>1</v>
      </c>
      <c r="S42" s="6">
        <v>1</v>
      </c>
      <c r="U42" s="6">
        <f t="shared" si="2"/>
        <v>1</v>
      </c>
      <c r="V42" s="6">
        <f>Weights!G45</f>
        <v>1</v>
      </c>
      <c r="W42" s="6">
        <f t="shared" si="14"/>
        <v>0</v>
      </c>
    </row>
    <row r="43" spans="1:23">
      <c r="C43" s="116" t="str">
        <f>tblIndiSets!A30</f>
        <v>NORM1.3.2</v>
      </c>
      <c r="D43" s="59">
        <f>tblIndiSets!B30</f>
        <v>19</v>
      </c>
      <c r="E43" s="59">
        <f t="shared" ca="1" si="12"/>
        <v>3</v>
      </c>
      <c r="F43" s="59" t="str">
        <f>tblIndiSets!C30</f>
        <v>1.3.2) 14.¿Hay campañas de comunicación para fomentar el reciclaje inclusivo con difusión en el municipio?</v>
      </c>
      <c r="G43" s="59" t="str">
        <f t="shared" ca="1" si="13"/>
        <v>1.3.2) 14.¿Hay campañas de comunicación para fomentar el reciclaje inclusivo con difusión en el municipio?</v>
      </c>
      <c r="H43" s="6">
        <v>1</v>
      </c>
      <c r="I43" s="6">
        <v>1</v>
      </c>
      <c r="J43" s="6">
        <v>1</v>
      </c>
      <c r="K43" s="6">
        <v>1</v>
      </c>
      <c r="L43" s="6">
        <v>1</v>
      </c>
      <c r="M43" s="6">
        <v>1</v>
      </c>
      <c r="N43" s="6">
        <v>1</v>
      </c>
      <c r="O43" s="6">
        <v>1</v>
      </c>
      <c r="P43" s="6">
        <v>1</v>
      </c>
      <c r="Q43" s="6">
        <v>1</v>
      </c>
      <c r="R43" s="6">
        <v>1</v>
      </c>
      <c r="S43" s="6">
        <v>1</v>
      </c>
      <c r="U43" s="6">
        <f t="shared" si="2"/>
        <v>1</v>
      </c>
      <c r="V43" s="6">
        <f>Weights!G46</f>
        <v>1</v>
      </c>
      <c r="W43" s="6">
        <f t="shared" si="14"/>
        <v>0</v>
      </c>
    </row>
    <row r="44" spans="1:23">
      <c r="C44" s="116" t="str">
        <f>tblIndiSets!A31</f>
        <v>NORM1.4</v>
      </c>
      <c r="D44" s="59">
        <f>tblIndiSets!B31</f>
        <v>20</v>
      </c>
      <c r="E44" s="59">
        <f t="shared" ca="1" si="12"/>
        <v>2</v>
      </c>
      <c r="F44" s="59" t="str">
        <f>tblIndiSets!C31</f>
        <v>1.4) Salud pública y el medioambiente</v>
      </c>
      <c r="G44" s="59" t="str">
        <f t="shared" ca="1" si="13"/>
        <v>1.4) Salud pública y el medioambiente</v>
      </c>
    </row>
    <row r="45" spans="1:23">
      <c r="C45" s="116" t="str">
        <f>tblIndiSets!A32</f>
        <v>NORM1.4.1</v>
      </c>
      <c r="D45" s="59">
        <f>tblIndiSets!B32</f>
        <v>21</v>
      </c>
      <c r="E45" s="59">
        <f t="shared" ca="1" si="12"/>
        <v>3</v>
      </c>
      <c r="F45" s="59" t="str">
        <f>tblIndiSets!C32</f>
        <v>1.4.1) 15.¿Existe adecuada regulación y control sobre clasificación y manejo de desechos especiales y/o  peligrosos y sobre clasificación en la calle?</v>
      </c>
      <c r="G45" s="59" t="str">
        <f t="shared" ca="1" si="13"/>
        <v>1.4.1) 15.¿Existe adecuada regulación y control sobre clasificación y manejo de desechos especiales y/o  peligrosos y sobre clasificación en la calle?</v>
      </c>
      <c r="H45" s="6">
        <v>1</v>
      </c>
      <c r="I45" s="6">
        <v>1</v>
      </c>
      <c r="J45" s="6">
        <v>1</v>
      </c>
      <c r="K45" s="6">
        <v>1</v>
      </c>
      <c r="L45" s="6">
        <v>1</v>
      </c>
      <c r="M45" s="6">
        <v>1</v>
      </c>
      <c r="N45" s="6">
        <v>1</v>
      </c>
      <c r="O45" s="6">
        <v>1</v>
      </c>
      <c r="P45" s="6">
        <v>1</v>
      </c>
      <c r="Q45" s="6">
        <v>1</v>
      </c>
      <c r="R45" s="6">
        <v>1</v>
      </c>
      <c r="S45" s="6">
        <v>1</v>
      </c>
      <c r="U45" s="6">
        <f t="shared" si="2"/>
        <v>1</v>
      </c>
      <c r="V45" s="6">
        <f>Weights!G48</f>
        <v>1</v>
      </c>
      <c r="W45" s="6">
        <f t="shared" si="14"/>
        <v>0</v>
      </c>
    </row>
    <row r="46" spans="1:23">
      <c r="C46" s="116" t="str">
        <f>tblIndiSets!A33</f>
        <v>ORG</v>
      </c>
      <c r="D46" s="59">
        <f>tblIndiSets!B33</f>
        <v>22</v>
      </c>
      <c r="E46" s="59">
        <f t="shared" ca="1" si="12"/>
        <v>1</v>
      </c>
      <c r="F46" s="59" t="str">
        <f>tblIndiSets!C33</f>
        <v>2) ORGANIZATIVA</v>
      </c>
      <c r="G46" s="59" t="str">
        <f t="shared" ca="1" si="13"/>
        <v>2) ORGANIZATIVA</v>
      </c>
    </row>
    <row r="47" spans="1:23">
      <c r="C47" s="116" t="str">
        <f>tblIndiSets!A34</f>
        <v>ORG2.1</v>
      </c>
      <c r="D47" s="59">
        <f>tblIndiSets!B34</f>
        <v>23</v>
      </c>
      <c r="E47" s="59">
        <f t="shared" ca="1" si="12"/>
        <v>2</v>
      </c>
      <c r="F47" s="59" t="str">
        <f>tblIndiSets!C34</f>
        <v>2.1) Asociatividad</v>
      </c>
      <c r="G47" s="59" t="str">
        <f t="shared" ca="1" si="13"/>
        <v>2.1) Asociatividad</v>
      </c>
    </row>
    <row r="48" spans="1:23">
      <c r="C48" s="116" t="str">
        <f>tblIndiSets!A35</f>
        <v>ORG2.1.1</v>
      </c>
      <c r="D48" s="59">
        <f>tblIndiSets!B35</f>
        <v>24</v>
      </c>
      <c r="E48" s="59">
        <f t="shared" ca="1" si="12"/>
        <v>3</v>
      </c>
      <c r="F48" s="59" t="str">
        <f>tblIndiSets!C35</f>
        <v>2.1.1) 16.¿Cuán dinámicas son las asociaciones?</v>
      </c>
      <c r="G48" s="59" t="str">
        <f t="shared" ca="1" si="13"/>
        <v>2.1.1) 16.¿Cuán dinámicas son las asociaciones?</v>
      </c>
      <c r="H48" s="6">
        <v>1</v>
      </c>
      <c r="I48" s="6">
        <v>1</v>
      </c>
      <c r="J48" s="6">
        <v>1</v>
      </c>
      <c r="K48" s="6">
        <v>1</v>
      </c>
      <c r="L48" s="6">
        <v>1</v>
      </c>
      <c r="M48" s="6">
        <v>1</v>
      </c>
      <c r="N48" s="6">
        <v>1</v>
      </c>
      <c r="O48" s="6">
        <v>1</v>
      </c>
      <c r="P48" s="6">
        <v>1</v>
      </c>
      <c r="Q48" s="6">
        <v>1</v>
      </c>
      <c r="R48" s="6">
        <v>1</v>
      </c>
      <c r="S48" s="6">
        <v>1</v>
      </c>
      <c r="U48" s="6">
        <f t="shared" si="2"/>
        <v>1</v>
      </c>
      <c r="V48" s="6">
        <f>Weights!G51</f>
        <v>1</v>
      </c>
      <c r="W48" s="6">
        <f t="shared" si="14"/>
        <v>0</v>
      </c>
    </row>
    <row r="49" spans="3:23">
      <c r="C49" s="116" t="str">
        <f>tblIndiSets!A36</f>
        <v>ORG2.1.2</v>
      </c>
      <c r="D49" s="59">
        <f>tblIndiSets!B36</f>
        <v>25</v>
      </c>
      <c r="E49" s="59">
        <f t="shared" ca="1" si="12"/>
        <v>3</v>
      </c>
      <c r="F49" s="59" t="str">
        <f>tblIndiSets!C36</f>
        <v xml:space="preserve">2.1.2) 17.¿Qué nivel de inclusión  presentan estas asociaciones? </v>
      </c>
      <c r="G49" s="59" t="str">
        <f t="shared" ca="1" si="13"/>
        <v xml:space="preserve">2.1.2) 17.¿Qué nivel de inclusión  presentan estas asociaciones? </v>
      </c>
      <c r="H49" s="6">
        <v>1</v>
      </c>
      <c r="I49" s="6">
        <v>1</v>
      </c>
      <c r="J49" s="6">
        <v>1</v>
      </c>
      <c r="K49" s="6">
        <v>1</v>
      </c>
      <c r="L49" s="6">
        <v>1</v>
      </c>
      <c r="M49" s="6">
        <v>1</v>
      </c>
      <c r="N49" s="6">
        <v>1</v>
      </c>
      <c r="O49" s="6">
        <v>1</v>
      </c>
      <c r="P49" s="6">
        <v>1</v>
      </c>
      <c r="Q49" s="6">
        <v>1</v>
      </c>
      <c r="R49" s="6">
        <v>1</v>
      </c>
      <c r="S49" s="6">
        <v>1</v>
      </c>
      <c r="U49" s="6">
        <f t="shared" si="2"/>
        <v>1</v>
      </c>
      <c r="V49" s="6">
        <f>Weights!G52</f>
        <v>1</v>
      </c>
      <c r="W49" s="6">
        <f t="shared" si="14"/>
        <v>0</v>
      </c>
    </row>
    <row r="50" spans="3:23">
      <c r="C50" s="116" t="str">
        <f>tblIndiSets!A37</f>
        <v>ORG2.1.3</v>
      </c>
      <c r="D50" s="59">
        <f>tblIndiSets!B37</f>
        <v>26</v>
      </c>
      <c r="E50" s="59">
        <f t="shared" ca="1" si="12"/>
        <v>3</v>
      </c>
      <c r="F50" s="59" t="str">
        <f>tblIndiSets!C37</f>
        <v>2.1.3) 18.¿Las asociaciones: participan en espacios de interlocución o diálogo con pares?</v>
      </c>
      <c r="G50" s="59" t="str">
        <f t="shared" ca="1" si="13"/>
        <v>2.1.3) 18.¿Las asociaciones: participan en espacios de interlocución o diálogo con pares?</v>
      </c>
      <c r="H50" s="6">
        <v>1</v>
      </c>
      <c r="I50" s="6">
        <v>1</v>
      </c>
      <c r="J50" s="6">
        <v>1</v>
      </c>
      <c r="K50" s="6">
        <v>1</v>
      </c>
      <c r="L50" s="6">
        <v>1</v>
      </c>
      <c r="M50" s="6">
        <v>1</v>
      </c>
      <c r="N50" s="6">
        <v>1</v>
      </c>
      <c r="O50" s="6">
        <v>1</v>
      </c>
      <c r="P50" s="6">
        <v>1</v>
      </c>
      <c r="Q50" s="6">
        <v>1</v>
      </c>
      <c r="R50" s="6">
        <v>1</v>
      </c>
      <c r="S50" s="6">
        <v>1</v>
      </c>
      <c r="U50" s="6">
        <f t="shared" si="2"/>
        <v>1</v>
      </c>
      <c r="V50" s="6">
        <f>Weights!G53</f>
        <v>1</v>
      </c>
      <c r="W50" s="6">
        <f t="shared" si="14"/>
        <v>0</v>
      </c>
    </row>
    <row r="51" spans="3:23">
      <c r="C51" s="116" t="str">
        <f>tblIndiSets!A38</f>
        <v>ORG2.1.4</v>
      </c>
      <c r="D51" s="59">
        <f>tblIndiSets!B38</f>
        <v>27</v>
      </c>
      <c r="E51" s="59">
        <f t="shared" ca="1" si="12"/>
        <v>3</v>
      </c>
      <c r="F51" s="59" t="str">
        <f>tblIndiSets!C38</f>
        <v>2.1.4) 19.¿Existen espacios de diálogo y coordinación entre diferentes actores de la cadena de valor del reciclaje?</v>
      </c>
      <c r="G51" s="59" t="str">
        <f t="shared" ca="1" si="13"/>
        <v>2.1.4) 19.¿Existen espacios de diálogo y coordinación entre diferentes actores de la cadena de valor del reciclaje?</v>
      </c>
      <c r="H51" s="6">
        <v>1</v>
      </c>
      <c r="I51" s="6">
        <v>1</v>
      </c>
      <c r="J51" s="6">
        <v>1</v>
      </c>
      <c r="K51" s="6">
        <v>1</v>
      </c>
      <c r="L51" s="6">
        <v>1</v>
      </c>
      <c r="M51" s="6">
        <v>1</v>
      </c>
      <c r="N51" s="6">
        <v>1</v>
      </c>
      <c r="O51" s="6">
        <v>1</v>
      </c>
      <c r="P51" s="6">
        <v>1</v>
      </c>
      <c r="Q51" s="6">
        <v>1</v>
      </c>
      <c r="R51" s="6">
        <v>1</v>
      </c>
      <c r="S51" s="6">
        <v>1</v>
      </c>
      <c r="U51" s="6">
        <f t="shared" si="2"/>
        <v>1</v>
      </c>
      <c r="V51" s="6">
        <f>Weights!G54</f>
        <v>1</v>
      </c>
      <c r="W51" s="6">
        <f t="shared" ref="W51:W52" si="15">IF(AND(V51=U51),0,1)</f>
        <v>0</v>
      </c>
    </row>
    <row r="52" spans="3:23">
      <c r="C52" s="116" t="str">
        <f>tblIndiSets!A39</f>
        <v>ORG2.1.5</v>
      </c>
      <c r="D52" s="59">
        <f>tblIndiSets!B39</f>
        <v>28</v>
      </c>
      <c r="E52" s="59">
        <f t="shared" ca="1" si="12"/>
        <v>3</v>
      </c>
      <c r="F52" s="59" t="str">
        <f>tblIndiSets!C39</f>
        <v>2.1.5) 20.¿Cuál es el nivel de representación de las mujeres en las asociaciones?</v>
      </c>
      <c r="G52" s="59" t="str">
        <f t="shared" ca="1" si="13"/>
        <v>2.1.5) 20.¿Cuál es el nivel de representación de las mujeres en las asociaciones?</v>
      </c>
      <c r="H52" s="6">
        <v>1</v>
      </c>
      <c r="I52" s="6">
        <v>1</v>
      </c>
      <c r="J52" s="6">
        <v>1</v>
      </c>
      <c r="K52" s="6">
        <v>1</v>
      </c>
      <c r="L52" s="6">
        <v>1</v>
      </c>
      <c r="M52" s="6">
        <v>1</v>
      </c>
      <c r="N52" s="6">
        <v>1</v>
      </c>
      <c r="O52" s="6">
        <v>1</v>
      </c>
      <c r="P52" s="6">
        <v>1</v>
      </c>
      <c r="Q52" s="6">
        <v>1</v>
      </c>
      <c r="R52" s="6">
        <v>1</v>
      </c>
      <c r="S52" s="6">
        <v>1</v>
      </c>
      <c r="U52" s="6">
        <f t="shared" si="2"/>
        <v>1</v>
      </c>
      <c r="V52" s="6">
        <f>Weights!G55</f>
        <v>1</v>
      </c>
      <c r="W52" s="6">
        <f t="shared" si="15"/>
        <v>0</v>
      </c>
    </row>
    <row r="53" spans="3:23">
      <c r="C53" s="116" t="str">
        <f>tblIndiSets!A40</f>
        <v>ORG2.2</v>
      </c>
      <c r="D53" s="59">
        <f>tblIndiSets!B40</f>
        <v>29</v>
      </c>
      <c r="E53" s="59">
        <f t="shared" ca="1" si="12"/>
        <v>2</v>
      </c>
      <c r="F53" s="59" t="str">
        <f>tblIndiSets!C40</f>
        <v>2.2) Organizaciones comerciales</v>
      </c>
      <c r="G53" s="59" t="str">
        <f t="shared" ca="1" si="13"/>
        <v>2.2) Organizaciones comerciales</v>
      </c>
      <c r="S53" s="6" t="e">
        <v>#N/A</v>
      </c>
    </row>
    <row r="54" spans="3:23">
      <c r="C54" s="116" t="str">
        <f>tblIndiSets!A41</f>
        <v>ORG2.2.1</v>
      </c>
      <c r="D54" s="59">
        <f>tblIndiSets!B41</f>
        <v>30</v>
      </c>
      <c r="E54" s="59">
        <f t="shared" ca="1" si="12"/>
        <v>3</v>
      </c>
      <c r="F54" s="59" t="str">
        <f>tblIndiSets!C41</f>
        <v xml:space="preserve">2.2.1) 21.¿Existen organizaciones de recicladores con actividad comercial en el municipio (cooperativas y/o microempresas)? </v>
      </c>
      <c r="G54" s="59" t="str">
        <f t="shared" ca="1" si="13"/>
        <v xml:space="preserve">2.2.1) 21.¿Existen organizaciones de recicladores con actividad comercial en el municipio (cooperativas y/o microempresas)? </v>
      </c>
      <c r="H54" s="6">
        <v>1</v>
      </c>
      <c r="I54" s="6">
        <v>1</v>
      </c>
      <c r="J54" s="6">
        <v>1</v>
      </c>
      <c r="K54" s="6">
        <v>1</v>
      </c>
      <c r="L54" s="6">
        <v>1</v>
      </c>
      <c r="M54" s="6">
        <v>1</v>
      </c>
      <c r="N54" s="6">
        <v>1</v>
      </c>
      <c r="O54" s="6">
        <v>1</v>
      </c>
      <c r="P54" s="6">
        <v>1</v>
      </c>
      <c r="Q54" s="6">
        <v>1</v>
      </c>
      <c r="R54" s="6">
        <v>1</v>
      </c>
      <c r="S54" s="6">
        <v>1</v>
      </c>
      <c r="U54" s="6">
        <f t="shared" si="2"/>
        <v>1</v>
      </c>
      <c r="V54" s="6">
        <f>Weights!G57</f>
        <v>1</v>
      </c>
      <c r="W54" s="6">
        <f t="shared" si="14"/>
        <v>0</v>
      </c>
    </row>
    <row r="55" spans="3:23">
      <c r="C55" s="116" t="str">
        <f>tblIndiSets!A42</f>
        <v>ORG2.2.2</v>
      </c>
      <c r="D55" s="59">
        <f>tblIndiSets!B42</f>
        <v>31</v>
      </c>
      <c r="E55" s="59">
        <f t="shared" ca="1" si="12"/>
        <v>3</v>
      </c>
      <c r="F55" s="59" t="str">
        <f>tblIndiSets!C42</f>
        <v>2.2.2) 22.¿Cuál es el nivel de participación de las organizaciones de recicladores en la cadena de valor del reciclaje?</v>
      </c>
      <c r="G55" s="59" t="str">
        <f t="shared" ca="1" si="13"/>
        <v>2.2.2) 22.¿Cuál es el nivel de participación de las organizaciones de recicladores en la cadena de valor del reciclaje?</v>
      </c>
      <c r="H55" s="6">
        <v>1</v>
      </c>
      <c r="I55" s="6">
        <v>1</v>
      </c>
      <c r="J55" s="6">
        <v>1</v>
      </c>
      <c r="K55" s="6">
        <v>1</v>
      </c>
      <c r="L55" s="6">
        <v>1</v>
      </c>
      <c r="M55" s="6">
        <v>1</v>
      </c>
      <c r="N55" s="6">
        <v>1</v>
      </c>
      <c r="O55" s="6">
        <v>1</v>
      </c>
      <c r="P55" s="6">
        <v>1</v>
      </c>
      <c r="Q55" s="6">
        <v>1</v>
      </c>
      <c r="R55" s="6">
        <v>1</v>
      </c>
      <c r="S55" s="6">
        <v>1</v>
      </c>
      <c r="U55" s="6">
        <f t="shared" si="2"/>
        <v>1</v>
      </c>
      <c r="V55" s="6">
        <f>Weights!G58</f>
        <v>1</v>
      </c>
      <c r="W55" s="6">
        <f t="shared" si="14"/>
        <v>0</v>
      </c>
    </row>
    <row r="56" spans="3:23">
      <c r="C56" s="116" t="str">
        <f>tblIndiSets!A43</f>
        <v>ORG2.2.3</v>
      </c>
      <c r="D56" s="59">
        <f>tblIndiSets!B43</f>
        <v>32</v>
      </c>
      <c r="E56" s="59">
        <f t="shared" ca="1" si="12"/>
        <v>3</v>
      </c>
      <c r="F56" s="59" t="str">
        <f>tblIndiSets!C43</f>
        <v>2.2.3) 23. Las organizaciones comerciales de recicladores: ¿Tienen acceso a mecanismos de financiamiento?</v>
      </c>
      <c r="G56" s="59" t="str">
        <f t="shared" ca="1" si="13"/>
        <v>2.2.3) 23. Las organizaciones comerciales de recicladores: ¿Tienen acceso a mecanismos de financiamiento?</v>
      </c>
      <c r="H56" s="6">
        <v>1</v>
      </c>
      <c r="I56" s="6">
        <v>1</v>
      </c>
      <c r="J56" s="6">
        <v>1</v>
      </c>
      <c r="K56" s="6">
        <v>1</v>
      </c>
      <c r="L56" s="6">
        <v>1</v>
      </c>
      <c r="M56" s="6">
        <v>1</v>
      </c>
      <c r="N56" s="6">
        <v>1</v>
      </c>
      <c r="O56" s="6">
        <v>1</v>
      </c>
      <c r="P56" s="6">
        <v>1</v>
      </c>
      <c r="Q56" s="6">
        <v>1</v>
      </c>
      <c r="R56" s="6">
        <v>1</v>
      </c>
      <c r="S56" s="6">
        <v>1</v>
      </c>
      <c r="U56" s="6">
        <f t="shared" si="2"/>
        <v>1</v>
      </c>
      <c r="V56" s="6">
        <f>Weights!G59</f>
        <v>1</v>
      </c>
      <c r="W56" s="6">
        <f t="shared" si="14"/>
        <v>0</v>
      </c>
    </row>
    <row r="57" spans="3:23">
      <c r="C57" s="116" t="str">
        <f>tblIndiSets!A44</f>
        <v>MERC</v>
      </c>
      <c r="D57" s="59">
        <f>tblIndiSets!B44</f>
        <v>33</v>
      </c>
      <c r="E57" s="59">
        <f t="shared" ca="1" si="12"/>
        <v>1</v>
      </c>
      <c r="F57" s="59" t="str">
        <f>tblIndiSets!C44</f>
        <v>3) MERCADO</v>
      </c>
      <c r="G57" s="59" t="str">
        <f t="shared" ca="1" si="13"/>
        <v>3) MERCADO</v>
      </c>
    </row>
    <row r="58" spans="3:23">
      <c r="C58" s="116" t="str">
        <f>tblIndiSets!A45</f>
        <v>MERC3.1</v>
      </c>
      <c r="D58" s="59">
        <f>tblIndiSets!B45</f>
        <v>34</v>
      </c>
      <c r="E58" s="59">
        <f t="shared" ca="1" si="12"/>
        <v>2</v>
      </c>
      <c r="F58" s="59" t="str">
        <f>tblIndiSets!C45</f>
        <v>3.1) Condiciones de acceso y almacenamiento de residuos</v>
      </c>
      <c r="G58" s="59" t="str">
        <f t="shared" ca="1" si="13"/>
        <v>3.1) Condiciones de acceso y almacenamiento de residuos</v>
      </c>
    </row>
    <row r="59" spans="3:23">
      <c r="C59" s="116" t="str">
        <f>tblIndiSets!A46</f>
        <v>MERC3.1.1</v>
      </c>
      <c r="D59" s="59">
        <f>tblIndiSets!B46</f>
        <v>35</v>
      </c>
      <c r="E59" s="59">
        <f t="shared" ca="1" si="12"/>
        <v>3</v>
      </c>
      <c r="F59" s="59" t="str">
        <f>tblIndiSets!C46</f>
        <v>3.1.1) 24.¿Cómo es el acceso del material reciclable?</v>
      </c>
      <c r="G59" s="59" t="str">
        <f t="shared" ca="1" si="13"/>
        <v>3.1.1) 24.¿Cómo es el acceso del material reciclable?</v>
      </c>
      <c r="H59" s="6">
        <v>1</v>
      </c>
      <c r="I59" s="6">
        <v>1</v>
      </c>
      <c r="J59" s="6">
        <v>1</v>
      </c>
      <c r="K59" s="6">
        <v>1</v>
      </c>
      <c r="L59" s="6">
        <v>1</v>
      </c>
      <c r="M59" s="6">
        <v>1</v>
      </c>
      <c r="N59" s="6">
        <v>1</v>
      </c>
      <c r="O59" s="6">
        <v>1</v>
      </c>
      <c r="P59" s="6">
        <v>1</v>
      </c>
      <c r="Q59" s="6">
        <v>1</v>
      </c>
      <c r="R59" s="6">
        <v>1</v>
      </c>
      <c r="S59" s="6">
        <v>1</v>
      </c>
      <c r="U59" s="6">
        <f t="shared" si="2"/>
        <v>1</v>
      </c>
      <c r="V59" s="6">
        <f>Weights!G62</f>
        <v>1</v>
      </c>
      <c r="W59" s="6">
        <f t="shared" si="14"/>
        <v>0</v>
      </c>
    </row>
    <row r="60" spans="3:23">
      <c r="C60" s="116" t="str">
        <f>tblIndiSets!A47</f>
        <v>MERC3.1.2</v>
      </c>
      <c r="D60" s="59">
        <f>tblIndiSets!B47</f>
        <v>36</v>
      </c>
      <c r="E60" s="59">
        <f t="shared" ca="1" si="12"/>
        <v>3</v>
      </c>
      <c r="F60" s="59" t="str">
        <f>tblIndiSets!C47</f>
        <v>3.1.2) 25.¿Existen esquemas formales de recolección diferenciada de residuos reciclables en el municipio que involucran a recicladores de base?</v>
      </c>
      <c r="G60" s="59" t="str">
        <f t="shared" ca="1" si="13"/>
        <v>3.1.2) 25.¿Existen esquemas formales de recolección diferenciada de residuos reciclables en el municipio que involucran a recicladores de base?</v>
      </c>
      <c r="H60" s="6">
        <v>1</v>
      </c>
      <c r="I60" s="6">
        <v>1</v>
      </c>
      <c r="J60" s="6">
        <v>1</v>
      </c>
      <c r="K60" s="6">
        <v>1</v>
      </c>
      <c r="L60" s="6">
        <v>1</v>
      </c>
      <c r="M60" s="6">
        <v>1</v>
      </c>
      <c r="N60" s="6">
        <v>1</v>
      </c>
      <c r="O60" s="6">
        <v>1</v>
      </c>
      <c r="P60" s="6">
        <v>1</v>
      </c>
      <c r="Q60" s="6">
        <v>1</v>
      </c>
      <c r="R60" s="6">
        <v>1</v>
      </c>
      <c r="S60" s="6">
        <v>1</v>
      </c>
      <c r="U60" s="6">
        <f t="shared" si="2"/>
        <v>1</v>
      </c>
      <c r="V60" s="6">
        <f>Weights!G63</f>
        <v>1</v>
      </c>
      <c r="W60" s="6">
        <f t="shared" si="14"/>
        <v>0</v>
      </c>
    </row>
    <row r="61" spans="3:23">
      <c r="C61" s="116" t="str">
        <f>tblIndiSets!A48</f>
        <v>MERC3.1.3</v>
      </c>
      <c r="D61" s="59">
        <f>tblIndiSets!B48</f>
        <v>37</v>
      </c>
      <c r="E61" s="59">
        <f t="shared" ca="1" si="12"/>
        <v>3</v>
      </c>
      <c r="F61" s="59" t="str">
        <f>tblIndiSets!C48</f>
        <v>3.1.3) 26.¿Los recicladores tienen acceso a instalaciones para el almacenamiento y la clasificación de materiales?</v>
      </c>
      <c r="G61" s="59" t="str">
        <f t="shared" ca="1" si="13"/>
        <v>3.1.3) 26.¿Los recicladores tienen acceso a instalaciones para el almacenamiento y la clasificación de materiales?</v>
      </c>
      <c r="H61" s="6">
        <v>1</v>
      </c>
      <c r="I61" s="6">
        <v>1</v>
      </c>
      <c r="J61" s="6">
        <v>1</v>
      </c>
      <c r="K61" s="6">
        <v>1</v>
      </c>
      <c r="L61" s="6">
        <v>1</v>
      </c>
      <c r="M61" s="6">
        <v>1</v>
      </c>
      <c r="N61" s="6">
        <v>1</v>
      </c>
      <c r="O61" s="6">
        <v>1</v>
      </c>
      <c r="P61" s="6">
        <v>1</v>
      </c>
      <c r="Q61" s="6">
        <v>1</v>
      </c>
      <c r="R61" s="6">
        <v>1</v>
      </c>
      <c r="S61" s="6">
        <v>1</v>
      </c>
      <c r="U61" s="6">
        <f t="shared" si="2"/>
        <v>1</v>
      </c>
      <c r="V61" s="6">
        <f>Weights!G64</f>
        <v>1</v>
      </c>
      <c r="W61" s="6">
        <f t="shared" si="14"/>
        <v>0</v>
      </c>
    </row>
    <row r="62" spans="3:23">
      <c r="C62" s="116" t="str">
        <f>tblIndiSets!A49</f>
        <v>MERC3.1.4</v>
      </c>
      <c r="D62" s="59">
        <f>tblIndiSets!B49</f>
        <v>38</v>
      </c>
      <c r="E62" s="59">
        <f t="shared" ca="1" si="12"/>
        <v>3</v>
      </c>
      <c r="F62" s="59" t="str">
        <f>tblIndiSets!C49</f>
        <v>3.1.4) 27.¿Cuál es el nivel de desarrollo técnico alcanzado en la clasificación (o pre-procesamiento) de materiales reciclables por parte de agrupaciones de recicladores?</v>
      </c>
      <c r="G62" s="59" t="str">
        <f t="shared" ca="1" si="13"/>
        <v>3.1.4) 27.¿Cuál es el nivel de desarrollo técnico alcanzado en la clasificación (o pre-procesamiento) de materiales reciclables por parte de agrupaciones de recicladores?</v>
      </c>
      <c r="H62" s="6">
        <v>1</v>
      </c>
      <c r="I62" s="6">
        <v>1</v>
      </c>
      <c r="J62" s="6">
        <v>1</v>
      </c>
      <c r="K62" s="6">
        <v>1</v>
      </c>
      <c r="L62" s="6">
        <v>1</v>
      </c>
      <c r="M62" s="6">
        <v>1</v>
      </c>
      <c r="N62" s="6">
        <v>1</v>
      </c>
      <c r="O62" s="6">
        <v>1</v>
      </c>
      <c r="P62" s="6">
        <v>1</v>
      </c>
      <c r="Q62" s="6">
        <v>1</v>
      </c>
      <c r="R62" s="6">
        <v>1</v>
      </c>
      <c r="S62" s="6">
        <v>1</v>
      </c>
      <c r="U62" s="6">
        <f t="shared" si="2"/>
        <v>1</v>
      </c>
      <c r="V62" s="6">
        <f>Weights!G65</f>
        <v>1</v>
      </c>
      <c r="W62" s="6">
        <f t="shared" si="14"/>
        <v>0</v>
      </c>
    </row>
    <row r="63" spans="3:23">
      <c r="C63" s="116" t="str">
        <f>tblIndiSets!A50</f>
        <v>MERC3.2</v>
      </c>
      <c r="D63" s="59">
        <f>tblIndiSets!B50</f>
        <v>39</v>
      </c>
      <c r="E63" s="59">
        <f t="shared" ca="1" si="12"/>
        <v>2</v>
      </c>
      <c r="F63" s="59" t="str">
        <f>tblIndiSets!C50</f>
        <v>3.2) Condiciones para la comercialización de material reciclable</v>
      </c>
      <c r="G63" s="59" t="str">
        <f t="shared" ca="1" si="13"/>
        <v>3.2) Condiciones para la comercialización de material reciclable</v>
      </c>
    </row>
    <row r="64" spans="3:23">
      <c r="C64" s="116" t="str">
        <f>tblIndiSets!A51</f>
        <v>MERC3.2.1</v>
      </c>
      <c r="D64" s="59">
        <f>tblIndiSets!B51</f>
        <v>40</v>
      </c>
      <c r="E64" s="59">
        <f t="shared" ca="1" si="12"/>
        <v>3</v>
      </c>
      <c r="F64" s="59" t="str">
        <f>tblIndiSets!C51</f>
        <v>3.2.1) 28.¿Cuál es la diferencia de valor del material en los diferentes eslabones de la cadena del reciclaje?</v>
      </c>
      <c r="G64" s="59" t="str">
        <f t="shared" ca="1" si="13"/>
        <v>3.2.1) 28.¿Cuál es la diferencia de valor del material en los diferentes eslabones de la cadena del reciclaje?</v>
      </c>
      <c r="H64" s="6">
        <v>1</v>
      </c>
      <c r="I64" s="6">
        <v>1</v>
      </c>
      <c r="J64" s="6">
        <v>1</v>
      </c>
      <c r="K64" s="6">
        <v>1</v>
      </c>
      <c r="L64" s="6">
        <v>1</v>
      </c>
      <c r="M64" s="6">
        <v>1</v>
      </c>
      <c r="N64" s="6">
        <v>1</v>
      </c>
      <c r="O64" s="6">
        <v>1</v>
      </c>
      <c r="P64" s="6">
        <v>1</v>
      </c>
      <c r="Q64" s="6">
        <v>1</v>
      </c>
      <c r="R64" s="6">
        <v>1</v>
      </c>
      <c r="S64" s="6">
        <v>1</v>
      </c>
      <c r="U64" s="6">
        <f t="shared" si="2"/>
        <v>1</v>
      </c>
      <c r="V64" s="6">
        <f>Weights!G67</f>
        <v>1</v>
      </c>
      <c r="W64" s="6">
        <f t="shared" si="14"/>
        <v>0</v>
      </c>
    </row>
    <row r="65" spans="3:23">
      <c r="C65" s="116" t="str">
        <f>tblIndiSets!A52</f>
        <v>MERC3.2.2</v>
      </c>
      <c r="D65" s="59">
        <f>tblIndiSets!B52</f>
        <v>41</v>
      </c>
      <c r="E65" s="59">
        <f t="shared" ca="1" si="12"/>
        <v>3</v>
      </c>
      <c r="F65" s="59" t="str">
        <f>tblIndiSets!C52</f>
        <v>3.2.2) 29.¿Cuál es el nivel de desarrollo de la industria transformadora a nivel nacional?</v>
      </c>
      <c r="G65" s="59" t="str">
        <f t="shared" ca="1" si="13"/>
        <v>3.2.2) 29.¿Cuál es el nivel de desarrollo de la industria transformadora a nivel nacional?</v>
      </c>
      <c r="H65" s="6">
        <v>1</v>
      </c>
      <c r="I65" s="6">
        <v>1</v>
      </c>
      <c r="J65" s="6">
        <v>1</v>
      </c>
      <c r="K65" s="6">
        <v>1</v>
      </c>
      <c r="L65" s="6">
        <v>1</v>
      </c>
      <c r="M65" s="6">
        <v>1</v>
      </c>
      <c r="N65" s="6">
        <v>1</v>
      </c>
      <c r="O65" s="6">
        <v>1</v>
      </c>
      <c r="P65" s="6">
        <v>1</v>
      </c>
      <c r="Q65" s="6">
        <v>1</v>
      </c>
      <c r="R65" s="6">
        <v>1</v>
      </c>
      <c r="S65" s="6">
        <v>1</v>
      </c>
      <c r="U65" s="6">
        <f t="shared" si="2"/>
        <v>1</v>
      </c>
      <c r="V65" s="6">
        <f>Weights!G68</f>
        <v>1</v>
      </c>
      <c r="W65" s="6">
        <f t="shared" si="14"/>
        <v>0</v>
      </c>
    </row>
    <row r="66" spans="3:23">
      <c r="C66" s="116" t="str">
        <f>tblIndiSets!A53</f>
        <v>MERC3.3</v>
      </c>
      <c r="D66" s="59">
        <f>tblIndiSets!B53</f>
        <v>42</v>
      </c>
      <c r="E66" s="59">
        <f t="shared" ca="1" si="12"/>
        <v>2</v>
      </c>
      <c r="F66" s="59" t="str">
        <f>tblIndiSets!C53</f>
        <v>3.3) Ingreso de los recicladores de base</v>
      </c>
      <c r="G66" s="59" t="str">
        <f t="shared" ca="1" si="13"/>
        <v>3.3) Ingreso de los recicladores de base</v>
      </c>
    </row>
    <row r="67" spans="3:23">
      <c r="C67" s="116" t="str">
        <f>tblIndiSets!A54</f>
        <v>MERC3.3.1</v>
      </c>
      <c r="D67" s="59">
        <f>tblIndiSets!B54</f>
        <v>43</v>
      </c>
      <c r="E67" s="59">
        <f t="shared" ca="1" si="12"/>
        <v>3</v>
      </c>
      <c r="F67" s="59" t="str">
        <f>tblIndiSets!C54</f>
        <v>3.3.1) 30.¿Se permite la contratación con agrupaciones de recicladores de base en el sistema de gestión de residuos del municipio?</v>
      </c>
      <c r="G67" s="59" t="str">
        <f t="shared" ca="1" si="13"/>
        <v>3.3.1) 30.¿Se permite la contratación con agrupaciones de recicladores de base en el sistema de gestión de residuos del municipio?</v>
      </c>
      <c r="H67" s="6">
        <v>1</v>
      </c>
      <c r="I67" s="6">
        <v>1</v>
      </c>
      <c r="J67" s="6">
        <v>1</v>
      </c>
      <c r="K67" s="6">
        <v>1</v>
      </c>
      <c r="L67" s="6">
        <v>1</v>
      </c>
      <c r="M67" s="6">
        <v>1</v>
      </c>
      <c r="N67" s="6">
        <v>1</v>
      </c>
      <c r="O67" s="6">
        <v>1</v>
      </c>
      <c r="P67" s="6">
        <v>1</v>
      </c>
      <c r="Q67" s="6">
        <v>1</v>
      </c>
      <c r="R67" s="6">
        <v>1</v>
      </c>
      <c r="S67" s="6">
        <v>1</v>
      </c>
      <c r="U67" s="6">
        <f t="shared" si="2"/>
        <v>1</v>
      </c>
      <c r="V67" s="6">
        <f>Weights!G70</f>
        <v>1</v>
      </c>
      <c r="W67" s="6">
        <f t="shared" si="14"/>
        <v>0</v>
      </c>
    </row>
    <row r="68" spans="3:23">
      <c r="C68" s="116" t="str">
        <f>tblIndiSets!A55</f>
        <v>MERC3.3.2</v>
      </c>
      <c r="D68" s="59">
        <f>tblIndiSets!B55</f>
        <v>44</v>
      </c>
      <c r="E68" s="59">
        <f t="shared" ca="1" si="12"/>
        <v>3</v>
      </c>
      <c r="F68" s="59" t="str">
        <f>tblIndiSets!C55</f>
        <v>3.3.2) 31.¿Existen mecanismos de pago periódico fijo para los recicladores de base por servicios prestados?</v>
      </c>
      <c r="G68" s="59" t="str">
        <f t="shared" ca="1" si="13"/>
        <v>3.3.2) 31.¿Existen mecanismos de pago periódico fijo para los recicladores de base por servicios prestados?</v>
      </c>
      <c r="H68" s="6">
        <v>1</v>
      </c>
      <c r="I68" s="6">
        <v>1</v>
      </c>
      <c r="J68" s="6">
        <v>1</v>
      </c>
      <c r="K68" s="6">
        <v>1</v>
      </c>
      <c r="L68" s="6">
        <v>1</v>
      </c>
      <c r="M68" s="6">
        <v>1</v>
      </c>
      <c r="N68" s="6">
        <v>1</v>
      </c>
      <c r="O68" s="6">
        <v>1</v>
      </c>
      <c r="P68" s="6">
        <v>1</v>
      </c>
      <c r="Q68" s="6">
        <v>1</v>
      </c>
      <c r="R68" s="6">
        <v>1</v>
      </c>
      <c r="S68" s="6">
        <v>1</v>
      </c>
      <c r="U68" s="6">
        <f t="shared" si="2"/>
        <v>1</v>
      </c>
      <c r="V68" s="6">
        <f>Weights!G71</f>
        <v>1</v>
      </c>
      <c r="W68" s="6">
        <f t="shared" si="14"/>
        <v>0</v>
      </c>
    </row>
    <row r="69" spans="3:23">
      <c r="C69" s="116" t="str">
        <f>tblIndiSets!A56</f>
        <v>MERC3.3.3</v>
      </c>
      <c r="D69" s="59">
        <f>tblIndiSets!B56</f>
        <v>45</v>
      </c>
      <c r="E69" s="59">
        <f t="shared" ca="1" si="12"/>
        <v>3</v>
      </c>
      <c r="F69" s="59" t="str">
        <f>tblIndiSets!C56</f>
        <v>3.3.3) 32.¿Existen programas de diversificación de los servicios prestados por recicladores?</v>
      </c>
      <c r="G69" s="59" t="str">
        <f t="shared" ca="1" si="13"/>
        <v>3.3.3) 32.¿Existen programas de diversificación de los servicios prestados por recicladores?</v>
      </c>
      <c r="H69" s="6">
        <v>1</v>
      </c>
      <c r="I69" s="6">
        <v>1</v>
      </c>
      <c r="J69" s="6">
        <v>1</v>
      </c>
      <c r="K69" s="6">
        <v>1</v>
      </c>
      <c r="L69" s="6">
        <v>1</v>
      </c>
      <c r="M69" s="6">
        <v>1</v>
      </c>
      <c r="N69" s="6">
        <v>1</v>
      </c>
      <c r="O69" s="6">
        <v>1</v>
      </c>
      <c r="P69" s="6">
        <v>1</v>
      </c>
      <c r="Q69" s="6">
        <v>1</v>
      </c>
      <c r="R69" s="6">
        <v>1</v>
      </c>
      <c r="S69" s="6">
        <v>1</v>
      </c>
      <c r="U69" s="6">
        <f t="shared" si="2"/>
        <v>1</v>
      </c>
      <c r="V69" s="6">
        <f>Weights!G72</f>
        <v>1</v>
      </c>
      <c r="W69" s="6">
        <f t="shared" si="14"/>
        <v>0</v>
      </c>
    </row>
    <row r="70" spans="3:23">
      <c r="C70" s="116" t="str">
        <f>tblIndiSets!A57</f>
        <v>MERC3.3.4</v>
      </c>
      <c r="D70" s="59">
        <f>tblIndiSets!B57</f>
        <v>46</v>
      </c>
      <c r="E70" s="59">
        <f t="shared" ca="1" si="12"/>
        <v>3</v>
      </c>
      <c r="F70" s="59" t="str">
        <f>tblIndiSets!C57</f>
        <v>3.3.4) 33. Ingreso promedio de los recicladores con respecto al salario mínimo nacional</v>
      </c>
      <c r="G70" s="59" t="str">
        <f t="shared" ca="1" si="13"/>
        <v>3.3.4) 33. Ingreso promedio de los recicladores con respecto al salario mínimo nacional</v>
      </c>
      <c r="H70" s="6">
        <v>1</v>
      </c>
      <c r="I70" s="6">
        <v>1</v>
      </c>
      <c r="J70" s="6">
        <v>1</v>
      </c>
      <c r="K70" s="6">
        <v>1</v>
      </c>
      <c r="L70" s="6">
        <v>1</v>
      </c>
      <c r="M70" s="6">
        <v>1</v>
      </c>
      <c r="N70" s="6">
        <v>1</v>
      </c>
      <c r="O70" s="6">
        <v>1</v>
      </c>
      <c r="P70" s="6">
        <v>1</v>
      </c>
      <c r="Q70" s="6">
        <v>1</v>
      </c>
      <c r="R70" s="6">
        <v>1</v>
      </c>
      <c r="S70" s="6">
        <v>1</v>
      </c>
      <c r="U70" s="6">
        <f t="shared" ref="U70:U75" si="16">H70</f>
        <v>1</v>
      </c>
      <c r="V70" s="6">
        <f>Weights!G73</f>
        <v>1</v>
      </c>
      <c r="W70" s="6">
        <f t="shared" si="14"/>
        <v>0</v>
      </c>
    </row>
    <row r="71" spans="3:23">
      <c r="C71" s="116" t="str">
        <f>tblIndiSets!A58</f>
        <v>MERC3.4</v>
      </c>
      <c r="D71" s="59">
        <f>tblIndiSets!B58</f>
        <v>47</v>
      </c>
      <c r="E71" s="59">
        <f t="shared" ca="1" si="12"/>
        <v>2</v>
      </c>
      <c r="F71" s="59" t="str">
        <f>tblIndiSets!C58</f>
        <v>3.4) Condiciones de trabajo de los recicladores de base</v>
      </c>
      <c r="G71" s="59" t="str">
        <f t="shared" ca="1" si="13"/>
        <v>3.4) Condiciones de trabajo de los recicladores de base</v>
      </c>
    </row>
    <row r="72" spans="3:23">
      <c r="C72" s="116" t="str">
        <f>tblIndiSets!A59</f>
        <v>MERC3.4.1</v>
      </c>
      <c r="D72" s="59">
        <f>tblIndiSets!B59</f>
        <v>48</v>
      </c>
      <c r="E72" s="59">
        <f t="shared" ca="1" si="12"/>
        <v>3</v>
      </c>
      <c r="F72" s="59" t="str">
        <f>tblIndiSets!C59</f>
        <v>3.4.1) 34.¿Existe trabajo infantil en la cadena de manejo de residuos?</v>
      </c>
      <c r="G72" s="59" t="str">
        <f t="shared" ca="1" si="13"/>
        <v>3.4.1) 34.¿Existe trabajo infantil en la cadena de manejo de residuos?</v>
      </c>
      <c r="H72" s="6">
        <v>1</v>
      </c>
      <c r="I72" s="6">
        <v>1</v>
      </c>
      <c r="J72" s="6">
        <v>1</v>
      </c>
      <c r="K72" s="6">
        <v>1</v>
      </c>
      <c r="L72" s="6">
        <v>1</v>
      </c>
      <c r="M72" s="6">
        <v>1</v>
      </c>
      <c r="N72" s="6">
        <v>1</v>
      </c>
      <c r="O72" s="6">
        <v>1</v>
      </c>
      <c r="P72" s="6">
        <v>1</v>
      </c>
      <c r="Q72" s="6">
        <v>1</v>
      </c>
      <c r="R72" s="6">
        <v>1</v>
      </c>
      <c r="S72" s="6">
        <v>1</v>
      </c>
      <c r="U72" s="6">
        <f t="shared" si="16"/>
        <v>1</v>
      </c>
      <c r="V72" s="6">
        <f>Weights!G75</f>
        <v>1</v>
      </c>
      <c r="W72" s="6">
        <f t="shared" si="14"/>
        <v>0</v>
      </c>
    </row>
    <row r="73" spans="3:23">
      <c r="C73" s="116" t="str">
        <f>tblIndiSets!A60</f>
        <v>MERC3.4.2</v>
      </c>
      <c r="D73" s="59">
        <f>tblIndiSets!B60</f>
        <v>49</v>
      </c>
      <c r="E73" s="59">
        <f t="shared" ca="1" si="12"/>
        <v>3</v>
      </c>
      <c r="F73" s="59" t="str">
        <f>tblIndiSets!C60</f>
        <v>3.4.2) 35.¿Cuál es el nivel de enfoque de género en las condiciones de trabajo?</v>
      </c>
      <c r="G73" s="59" t="str">
        <f t="shared" ca="1" si="13"/>
        <v>3.4.2) 35.¿Cuál es el nivel de enfoque de género en las condiciones de trabajo?</v>
      </c>
      <c r="H73" s="6">
        <v>1</v>
      </c>
      <c r="I73" s="6">
        <v>1</v>
      </c>
      <c r="J73" s="6">
        <v>1</v>
      </c>
      <c r="K73" s="6">
        <v>1</v>
      </c>
      <c r="L73" s="6">
        <v>1</v>
      </c>
      <c r="M73" s="6">
        <v>1</v>
      </c>
      <c r="N73" s="6">
        <v>1</v>
      </c>
      <c r="O73" s="6">
        <v>1</v>
      </c>
      <c r="P73" s="6">
        <v>1</v>
      </c>
      <c r="Q73" s="6">
        <v>1</v>
      </c>
      <c r="R73" s="6">
        <v>1</v>
      </c>
      <c r="S73" s="6">
        <v>1</v>
      </c>
      <c r="U73" s="6">
        <f t="shared" si="16"/>
        <v>1</v>
      </c>
      <c r="V73" s="6">
        <f>Weights!G76</f>
        <v>1</v>
      </c>
      <c r="W73" s="6">
        <f t="shared" si="14"/>
        <v>0</v>
      </c>
    </row>
    <row r="74" spans="3:23">
      <c r="C74" s="116" t="str">
        <f>tblIndiSets!A61</f>
        <v>MERC3.4.3</v>
      </c>
      <c r="D74" s="59">
        <f>tblIndiSets!B61</f>
        <v>50</v>
      </c>
      <c r="E74" s="59">
        <f t="shared" ca="1" si="12"/>
        <v>3</v>
      </c>
      <c r="F74" s="59" t="str">
        <f>tblIndiSets!C61</f>
        <v>3.4.3) 36.¿Hay planes inclusivos de cierre de vertederos a cielo abierto?</v>
      </c>
      <c r="G74" s="59" t="str">
        <f t="shared" ca="1" si="13"/>
        <v>3.4.3) 36.¿Hay planes inclusivos de cierre de vertederos a cielo abierto?</v>
      </c>
      <c r="H74" s="6">
        <v>1</v>
      </c>
      <c r="I74" s="6">
        <v>1</v>
      </c>
      <c r="J74" s="6">
        <v>1</v>
      </c>
      <c r="K74" s="6">
        <v>1</v>
      </c>
      <c r="L74" s="6">
        <v>1</v>
      </c>
      <c r="M74" s="6">
        <v>1</v>
      </c>
      <c r="N74" s="6">
        <v>1</v>
      </c>
      <c r="O74" s="6">
        <v>1</v>
      </c>
      <c r="P74" s="6">
        <v>1</v>
      </c>
      <c r="Q74" s="6">
        <v>1</v>
      </c>
      <c r="R74" s="6">
        <v>1</v>
      </c>
      <c r="S74" s="6">
        <v>1</v>
      </c>
      <c r="U74" s="6">
        <f t="shared" si="16"/>
        <v>1</v>
      </c>
      <c r="V74" s="6">
        <f>Weights!G77</f>
        <v>1</v>
      </c>
      <c r="W74" s="6">
        <f t="shared" si="14"/>
        <v>0</v>
      </c>
    </row>
    <row r="75" spans="3:23">
      <c r="C75" s="116" t="str">
        <f>tblIndiSets!A62</f>
        <v>MERC3.4.4</v>
      </c>
      <c r="D75" s="59">
        <f>tblIndiSets!B62</f>
        <v>51</v>
      </c>
      <c r="E75" s="59">
        <f t="shared" ca="1" si="12"/>
        <v>3</v>
      </c>
      <c r="F75" s="59" t="str">
        <f>tblIndiSets!C62</f>
        <v>3.4.4) 37.¿Los recicladores tienen acceso a herramientas de trabajo adecuadas?</v>
      </c>
      <c r="G75" s="59" t="str">
        <f t="shared" ca="1" si="13"/>
        <v>3.4.4) 37.¿Los recicladores tienen acceso a herramientas de trabajo adecuadas?</v>
      </c>
      <c r="H75" s="6">
        <v>1</v>
      </c>
      <c r="I75" s="6">
        <v>1</v>
      </c>
      <c r="J75" s="6">
        <v>1</v>
      </c>
      <c r="K75" s="6">
        <v>1</v>
      </c>
      <c r="L75" s="6">
        <v>1</v>
      </c>
      <c r="M75" s="6">
        <v>1</v>
      </c>
      <c r="N75" s="6">
        <v>1</v>
      </c>
      <c r="O75" s="6">
        <v>1</v>
      </c>
      <c r="P75" s="6">
        <v>1</v>
      </c>
      <c r="Q75" s="6">
        <v>1</v>
      </c>
      <c r="R75" s="6">
        <v>1</v>
      </c>
      <c r="S75" s="6">
        <v>1</v>
      </c>
      <c r="U75" s="6">
        <f t="shared" si="16"/>
        <v>1</v>
      </c>
      <c r="V75" s="6">
        <f>Weights!G78</f>
        <v>1</v>
      </c>
      <c r="W75" s="6">
        <f t="shared" si="14"/>
        <v>0</v>
      </c>
    </row>
  </sheetData>
  <phoneticPr fontId="4" type="noConversion"/>
  <pageMargins left="0.55118110236220474" right="0.55118110236220474" top="0.59055118110236227" bottom="0.78740157480314965" header="0.51181102362204722" footer="0.51181102362204722"/>
  <pageSetup paperSize="9" scale="51" orientation="landscape" horizontalDpi="1200" verticalDpi="1200" r:id="rId1"/>
  <headerFooter alignWithMargins="0">
    <oddHeader>&amp;RResultados del Modelo de Reciclaje Inclusivo</oddHeader>
  </headerFooter>
</worksheet>
</file>

<file path=xl/worksheets/sheet41.xml><?xml version="1.0" encoding="utf-8"?>
<worksheet xmlns="http://schemas.openxmlformats.org/spreadsheetml/2006/main" xmlns:r="http://schemas.openxmlformats.org/officeDocument/2006/relationships">
  <sheetPr codeName="Sheet8">
    <tabColor rgb="FFFFC000"/>
    <pageSetUpPr fitToPage="1"/>
  </sheetPr>
  <dimension ref="A1:BU223"/>
  <sheetViews>
    <sheetView showRowColHeaders="0" topLeftCell="C1" zoomScale="80" zoomScaleNormal="80" workbookViewId="0">
      <pane ySplit="1" topLeftCell="A2" activePane="bottomLeft" state="frozen"/>
      <selection activeCell="U4" sqref="U4"/>
      <selection pane="bottomLeft" activeCell="AA2" sqref="AA2:AA52"/>
    </sheetView>
  </sheetViews>
  <sheetFormatPr defaultRowHeight="15"/>
  <cols>
    <col min="1" max="1" width="9.140625" style="1"/>
    <col min="2" max="2" width="74.28515625" style="1" bestFit="1" customWidth="1"/>
    <col min="3" max="27" width="9.140625" style="1"/>
    <col min="32" max="32" width="13.140625" style="146" customWidth="1"/>
    <col min="33" max="33" width="9.28515625" style="146" bestFit="1" customWidth="1"/>
    <col min="34" max="34" width="17" style="146" bestFit="1" customWidth="1"/>
    <col min="35" max="35" width="12.42578125" style="146" bestFit="1" customWidth="1"/>
    <col min="36" max="36" width="17.5703125" style="146" bestFit="1" customWidth="1"/>
    <col min="37" max="37" width="19.5703125" style="146" customWidth="1"/>
    <col min="38" max="38" width="18.28515625" style="146" bestFit="1" customWidth="1"/>
    <col min="39" max="39" width="16.42578125" style="146" bestFit="1" customWidth="1"/>
    <col min="40" max="40" width="18.5703125" style="146" bestFit="1" customWidth="1"/>
    <col min="41" max="41" width="20" style="146" bestFit="1" customWidth="1"/>
    <col min="42" max="45" width="14.28515625" style="147" customWidth="1"/>
    <col min="47" max="49" width="9.140625" style="1"/>
    <col min="50" max="50" width="28" style="1" customWidth="1"/>
    <col min="51" max="16384" width="9.140625" style="1"/>
  </cols>
  <sheetData>
    <row r="1" spans="1:73" ht="15.75" thickBot="1">
      <c r="B1" s="25">
        <v>1</v>
      </c>
      <c r="C1" s="1" t="str">
        <f>Scores!P4</f>
        <v>Asunción</v>
      </c>
      <c r="D1" s="1" t="str">
        <f>Scores!Q4</f>
        <v>Bogotá</v>
      </c>
      <c r="E1" s="1" t="str">
        <f>Scores!R4</f>
        <v>Buenos Aires</v>
      </c>
      <c r="F1" s="1" t="str">
        <f>Scores!S4</f>
        <v>Ciudad de Belice</v>
      </c>
      <c r="G1" s="1" t="str">
        <f>Scores!T4</f>
        <v>Ciudad de México</v>
      </c>
      <c r="H1" s="1" t="str">
        <f>Scores!U4</f>
        <v>Lima</v>
      </c>
      <c r="I1" s="1" t="str">
        <f>Scores!V4</f>
        <v>Montevideo</v>
      </c>
      <c r="J1" s="1" t="str">
        <f>Scores!W4</f>
        <v>Quito</v>
      </c>
      <c r="K1" s="1" t="str">
        <f>Scores!X4</f>
        <v>San José</v>
      </c>
      <c r="L1" s="1" t="str">
        <f>Scores!Y4</f>
        <v>San Pablo</v>
      </c>
      <c r="M1" s="1" t="str">
        <f>Scores!Z4</f>
        <v>Santa Cruz</v>
      </c>
      <c r="N1" s="1" t="str">
        <f>Scores!AA4</f>
        <v>Santiago de Chile</v>
      </c>
      <c r="O1" s="1" t="str">
        <f>Scores!AB4</f>
        <v>Escriba el nombre de la ciudad</v>
      </c>
      <c r="P1" s="1" t="str">
        <f>Scores!AC4</f>
        <v>Ciudad_02</v>
      </c>
      <c r="Q1" s="1" t="str">
        <f>Scores!AD4</f>
        <v>Ciudad_03</v>
      </c>
      <c r="R1" s="1" t="str">
        <f>Scores!AE4</f>
        <v>Ciudad_04</v>
      </c>
      <c r="S1" s="1" t="str">
        <f>Scores!AF4</f>
        <v>Ciudad_05</v>
      </c>
      <c r="T1" s="1" t="str">
        <f>Scores!AG4</f>
        <v>Ciudad_06</v>
      </c>
      <c r="U1" s="1" t="str">
        <f>Scores!AH4</f>
        <v>Ciudad_07</v>
      </c>
      <c r="V1" s="1" t="str">
        <f>Scores!AI4</f>
        <v>Ciudad_08</v>
      </c>
      <c r="W1" s="1" t="str">
        <f>Scores!AJ4</f>
        <v>Ciudad_09</v>
      </c>
      <c r="X1" s="1" t="str">
        <f>Scores!AK4</f>
        <v>Ciudad_10</v>
      </c>
      <c r="Z1" s="6" t="str">
        <f>"Average: "&amp;AV1</f>
        <v>Average: Todas las regiones/Grupos</v>
      </c>
      <c r="AA1" s="6" t="s">
        <v>2439</v>
      </c>
      <c r="AF1" s="60"/>
      <c r="AG1" s="60" t="s">
        <v>255</v>
      </c>
      <c r="AH1" s="60" t="str">
        <f>AP1</f>
        <v>Average: Alto ingreso</v>
      </c>
      <c r="AI1" s="60" t="str">
        <f t="shared" ref="AI1:AK2" si="0">AQ1</f>
        <v>Average: Medio ingreso</v>
      </c>
      <c r="AJ1" s="60" t="str">
        <f t="shared" si="0"/>
        <v>Average: Medio-bajo ingreso</v>
      </c>
      <c r="AK1" s="60" t="str">
        <f t="shared" si="0"/>
        <v>Average: Bajo ingreso</v>
      </c>
      <c r="AL1" s="60"/>
      <c r="AM1" s="60"/>
      <c r="AN1" s="60"/>
      <c r="AO1" s="60"/>
      <c r="AP1" s="61" t="str">
        <f>"Average: "&amp;AX28</f>
        <v>Average: Alto ingreso</v>
      </c>
      <c r="AQ1" s="61" t="str">
        <f>"Average: "&amp;AX32</f>
        <v>Average: Medio ingreso</v>
      </c>
      <c r="AR1" s="61" t="str">
        <f>"Average: "&amp;AX36</f>
        <v>Average: Medio-bajo ingreso</v>
      </c>
      <c r="AS1" s="61" t="str">
        <f>"Average: "&amp;AX40</f>
        <v>Average: Bajo ingreso</v>
      </c>
      <c r="AU1" s="6"/>
      <c r="AV1" s="1" t="str">
        <f>INDEX(tblTerritories!AM3:AM11,AW1)</f>
        <v>Todas las regiones/Grupos</v>
      </c>
      <c r="AW1" s="100">
        <f>uxb_works!$B$8</f>
        <v>1</v>
      </c>
      <c r="AX1" s="6" t="s">
        <v>168</v>
      </c>
      <c r="AY1" s="1">
        <v>1</v>
      </c>
      <c r="AZ1" s="1">
        <f>AY1+1</f>
        <v>2</v>
      </c>
      <c r="BA1" s="1">
        <f t="shared" ref="BA1:BJ1" si="1">AZ1+1</f>
        <v>3</v>
      </c>
      <c r="BB1" s="1">
        <f t="shared" si="1"/>
        <v>4</v>
      </c>
      <c r="BC1" s="1">
        <f t="shared" si="1"/>
        <v>5</v>
      </c>
      <c r="BD1" s="1">
        <f t="shared" si="1"/>
        <v>6</v>
      </c>
      <c r="BE1" s="1">
        <f t="shared" si="1"/>
        <v>7</v>
      </c>
      <c r="BF1" s="1">
        <f t="shared" si="1"/>
        <v>8</v>
      </c>
      <c r="BG1" s="1">
        <f t="shared" si="1"/>
        <v>9</v>
      </c>
      <c r="BH1" s="1">
        <f t="shared" si="1"/>
        <v>10</v>
      </c>
      <c r="BI1" s="1">
        <f t="shared" si="1"/>
        <v>11</v>
      </c>
      <c r="BJ1" s="1">
        <f t="shared" si="1"/>
        <v>12</v>
      </c>
    </row>
    <row r="2" spans="1:73">
      <c r="A2" s="1">
        <v>2</v>
      </c>
      <c r="B2" s="1" t="str">
        <f>Scores!N5</f>
        <v>CATEGORÍA</v>
      </c>
      <c r="C2" s="1">
        <f ca="1">ROUND(Scores!P5,$B$1)</f>
        <v>29.5</v>
      </c>
      <c r="D2" s="1">
        <f ca="1">ROUND(Scores!Q5,$B$1)</f>
        <v>65.099999999999994</v>
      </c>
      <c r="E2" s="1">
        <f ca="1">ROUND(Scores!R5,$B$1)</f>
        <v>78.8</v>
      </c>
      <c r="F2" s="1">
        <f ca="1">ROUND(Scores!S5,$B$1)</f>
        <v>17.399999999999999</v>
      </c>
      <c r="G2" s="1">
        <f ca="1">ROUND(Scores!T5,$B$1)</f>
        <v>45.3</v>
      </c>
      <c r="H2" s="1">
        <f ca="1">ROUND(Scores!U5,$B$1)</f>
        <v>53.8</v>
      </c>
      <c r="I2" s="1">
        <f ca="1">ROUND(Scores!V5,$B$1)</f>
        <v>39.299999999999997</v>
      </c>
      <c r="J2" s="1">
        <f ca="1">ROUND(Scores!W5,$B$1)</f>
        <v>41.2</v>
      </c>
      <c r="K2" s="1">
        <f ca="1">ROUND(Scores!X5,$B$1)</f>
        <v>17.399999999999999</v>
      </c>
      <c r="L2" s="1">
        <f ca="1">ROUND(Scores!Y5,$B$1)</f>
        <v>70.5</v>
      </c>
      <c r="M2" s="1">
        <f ca="1">ROUND(Scores!Z5,$B$1)</f>
        <v>48.8</v>
      </c>
      <c r="N2" s="1">
        <f ca="1">ROUND(Scores!AA5,$B$1)</f>
        <v>43</v>
      </c>
      <c r="O2" s="1">
        <f ca="1">ROUND(Scores!AB5,$B$1)</f>
        <v>6.4</v>
      </c>
      <c r="P2" s="1">
        <f>ROUND(Scores!AC5,$B$1)</f>
        <v>0</v>
      </c>
      <c r="Q2" s="1">
        <f>ROUND(Scores!AD5,$B$1)</f>
        <v>0</v>
      </c>
      <c r="R2" s="1">
        <f>ROUND(Scores!AE5,$B$1)</f>
        <v>0</v>
      </c>
      <c r="S2" s="1">
        <f>ROUND(Scores!AF5,$B$1)</f>
        <v>0</v>
      </c>
      <c r="T2" s="1">
        <f>ROUND(Scores!AG5,$B$1)</f>
        <v>0</v>
      </c>
      <c r="U2" s="1">
        <f>ROUND(Scores!AH5,$B$1)</f>
        <v>0</v>
      </c>
      <c r="V2" s="1">
        <f>ROUND(Scores!AI5,$B$1)</f>
        <v>0</v>
      </c>
      <c r="W2" s="1">
        <f>ROUND(Scores!AJ5,$B$1)</f>
        <v>0</v>
      </c>
      <c r="X2" s="1">
        <f>ROUND(Scores!AK5,$B$1)</f>
        <v>0</v>
      </c>
      <c r="Z2" s="1">
        <f ca="1">AVERAGE(INDIRECT("C"&amp;$A2&amp;":"&amp;$C$54&amp;$A2))</f>
        <v>45.841666666666661</v>
      </c>
      <c r="AA2" s="1">
        <f ca="1">AVERAGE(C2:N2)</f>
        <v>45.841666666666661</v>
      </c>
      <c r="AG2" s="146">
        <f ca="1">Z2</f>
        <v>45.841666666666661</v>
      </c>
      <c r="AH2" s="146">
        <f ca="1">AP2</f>
        <v>59.4</v>
      </c>
      <c r="AI2" s="146">
        <f t="shared" ca="1" si="0"/>
        <v>40.599999999999994</v>
      </c>
      <c r="AJ2" s="146">
        <f t="shared" ca="1" si="0"/>
        <v>47.5</v>
      </c>
      <c r="AK2" s="146">
        <f t="shared" ca="1" si="0"/>
        <v>31.899999999999995</v>
      </c>
      <c r="AP2" s="147">
        <f t="shared" ref="AP2:AP52" ca="1" si="2">SUMIF($AY$29:$BJ$29,1,$C2:$N2)/$AV$29</f>
        <v>59.4</v>
      </c>
      <c r="AQ2" s="147">
        <f t="shared" ref="AQ2:AQ52" ca="1" si="3">SUMIF($AY$33:$BJ$33,1,$C2:$N2)/$AV$33</f>
        <v>40.599999999999994</v>
      </c>
      <c r="AR2" s="147">
        <f t="shared" ref="AR2:AR52" ca="1" si="4">SUMIF($AY$37:$BJ$37,1,$C2:$N2)/$AV$37</f>
        <v>47.5</v>
      </c>
      <c r="AS2" s="147">
        <f t="shared" ref="AS2:AS52" ca="1" si="5">SUMIF($AY$41:$BJ$41,1,$C2:$N2)/$AV$41</f>
        <v>31.899999999999995</v>
      </c>
      <c r="AT2">
        <f ca="1">Z2</f>
        <v>45.841666666666661</v>
      </c>
      <c r="AV2" s="1">
        <f>SUM(AY2:BJ2)</f>
        <v>12</v>
      </c>
      <c r="AX2" s="6" t="s">
        <v>169</v>
      </c>
      <c r="AY2" s="1">
        <f>INDEX(tblTerritories!$AS$3:$BD$14,AY1,$AW$1)</f>
        <v>1</v>
      </c>
      <c r="AZ2" s="1">
        <f>INDEX(tblTerritories!$AS$3:$BD$14,AZ1,$AW$1)</f>
        <v>1</v>
      </c>
      <c r="BA2" s="1">
        <f>INDEX(tblTerritories!$AS$3:$BD$14,BA1,$AW$1)</f>
        <v>1</v>
      </c>
      <c r="BB2" s="1">
        <f>INDEX(tblTerritories!$AS$3:$BD$14,BB1,$AW$1)</f>
        <v>1</v>
      </c>
      <c r="BC2" s="1">
        <f>INDEX(tblTerritories!$AS$3:$BD$14,BC1,$AW$1)</f>
        <v>1</v>
      </c>
      <c r="BD2" s="1">
        <f>INDEX(tblTerritories!$AS$3:$BD$14,BD1,$AW$1)</f>
        <v>1</v>
      </c>
      <c r="BE2" s="1">
        <f>INDEX(tblTerritories!$AS$3:$BD$14,BE1,$AW$1)</f>
        <v>1</v>
      </c>
      <c r="BF2" s="1">
        <f>INDEX(tblTerritories!$AS$3:$BD$14,BF1,$AW$1)</f>
        <v>1</v>
      </c>
      <c r="BG2" s="1">
        <f>INDEX(tblTerritories!$AS$3:$BD$14,BG1,$AW$1)</f>
        <v>1</v>
      </c>
      <c r="BH2" s="1">
        <f>INDEX(tblTerritories!$AS$3:$BD$14,BH1,$AW$1)</f>
        <v>1</v>
      </c>
      <c r="BI2" s="1">
        <f>INDEX(tblTerritories!$AS$3:$BD$14,BI1,$AW$1)</f>
        <v>1</v>
      </c>
      <c r="BJ2" s="1">
        <f>INDEX(tblTerritories!$AS$3:$BD$14,BJ1,$AW$1)</f>
        <v>1</v>
      </c>
    </row>
    <row r="3" spans="1:73">
      <c r="A3" s="1">
        <v>3</v>
      </c>
      <c r="B3" s="1" t="str">
        <f>Scores!N6</f>
        <v xml:space="preserve"> 1) NORMATIVA</v>
      </c>
      <c r="C3" s="1">
        <f ca="1">ROUND(Scores!P6,$B$1)</f>
        <v>32.799999999999997</v>
      </c>
      <c r="D3" s="1">
        <f ca="1">ROUND(Scores!Q6,$B$1)</f>
        <v>62.5</v>
      </c>
      <c r="E3" s="1">
        <f ca="1">ROUND(Scores!R6,$B$1)</f>
        <v>65.099999999999994</v>
      </c>
      <c r="F3" s="1">
        <f ca="1">ROUND(Scores!S6,$B$1)</f>
        <v>15.6</v>
      </c>
      <c r="G3" s="1">
        <f ca="1">ROUND(Scores!T6,$B$1)</f>
        <v>33.9</v>
      </c>
      <c r="H3" s="1">
        <f ca="1">ROUND(Scores!U6,$B$1)</f>
        <v>62.5</v>
      </c>
      <c r="I3" s="1">
        <f ca="1">ROUND(Scores!V6,$B$1)</f>
        <v>43.2</v>
      </c>
      <c r="J3" s="1">
        <f ca="1">ROUND(Scores!W6,$B$1)</f>
        <v>42.2</v>
      </c>
      <c r="K3" s="1">
        <f ca="1">ROUND(Scores!X6,$B$1)</f>
        <v>26</v>
      </c>
      <c r="L3" s="1">
        <f ca="1">ROUND(Scores!Y6,$B$1)</f>
        <v>70.3</v>
      </c>
      <c r="M3" s="1">
        <f ca="1">ROUND(Scores!Z6,$B$1)</f>
        <v>52.1</v>
      </c>
      <c r="N3" s="1">
        <f ca="1">ROUND(Scores!AA6,$B$1)</f>
        <v>39.1</v>
      </c>
      <c r="O3" s="1">
        <f ca="1">ROUND(Scores!AB6,$B$1)</f>
        <v>4.7</v>
      </c>
      <c r="P3" s="1">
        <f>ROUND(Scores!AC6,$B$1)</f>
        <v>0</v>
      </c>
      <c r="Q3" s="1">
        <f>ROUND(Scores!AD6,$B$1)</f>
        <v>0</v>
      </c>
      <c r="R3" s="1">
        <f>ROUND(Scores!AE6,$B$1)</f>
        <v>0</v>
      </c>
      <c r="S3" s="1">
        <f>ROUND(Scores!AF6,$B$1)</f>
        <v>0</v>
      </c>
      <c r="T3" s="1">
        <f>ROUND(Scores!AG6,$B$1)</f>
        <v>0</v>
      </c>
      <c r="U3" s="1">
        <f>ROUND(Scores!AH6,$B$1)</f>
        <v>0</v>
      </c>
      <c r="V3" s="1">
        <f>ROUND(Scores!AI6,$B$1)</f>
        <v>0</v>
      </c>
      <c r="W3" s="1">
        <f>ROUND(Scores!AJ6,$B$1)</f>
        <v>0</v>
      </c>
      <c r="X3" s="1">
        <f>ROUND(Scores!AK6,$B$1)</f>
        <v>0</v>
      </c>
      <c r="Z3" s="1">
        <f t="shared" ref="Z3:Z52" ca="1" si="6">AVERAGE(INDIRECT("C"&amp;$A3&amp;":"&amp;$C$54&amp;$A3))</f>
        <v>45.441666666666663</v>
      </c>
      <c r="AA3" s="1">
        <f t="shared" ref="AA3:AA52" ca="1" si="7">AVERAGE(C3:N3)</f>
        <v>45.441666666666663</v>
      </c>
      <c r="AG3" s="146">
        <f t="shared" ref="AG3:AG20" ca="1" si="8">Z3</f>
        <v>45.441666666666663</v>
      </c>
      <c r="AH3" s="146">
        <f t="shared" ref="AH3:AH27" ca="1" si="9">AP3</f>
        <v>52.1</v>
      </c>
      <c r="AI3" s="146">
        <f t="shared" ref="AI3:AI27" ca="1" si="10">AQ3</f>
        <v>43.9</v>
      </c>
      <c r="AJ3" s="146">
        <f t="shared" ref="AJ3:AJ27" ca="1" si="11">AR3</f>
        <v>52.35</v>
      </c>
      <c r="AK3" s="146">
        <f t="shared" ref="AK3:AK27" ca="1" si="12">AS3</f>
        <v>33.5</v>
      </c>
      <c r="AP3" s="147">
        <f t="shared" ca="1" si="2"/>
        <v>52.1</v>
      </c>
      <c r="AQ3" s="147">
        <f t="shared" ca="1" si="3"/>
        <v>43.9</v>
      </c>
      <c r="AR3" s="147">
        <f t="shared" ca="1" si="4"/>
        <v>52.35</v>
      </c>
      <c r="AS3" s="147">
        <f t="shared" ca="1" si="5"/>
        <v>33.5</v>
      </c>
      <c r="AT3" s="28">
        <f t="shared" ref="AT3:AT20" ca="1" si="13">Z3</f>
        <v>45.441666666666663</v>
      </c>
      <c r="AV3" s="149" t="s">
        <v>231</v>
      </c>
      <c r="AW3" s="148"/>
      <c r="AX3" s="148"/>
      <c r="AY3" s="148" t="s">
        <v>171</v>
      </c>
      <c r="AZ3" s="148" t="s">
        <v>176</v>
      </c>
      <c r="BA3" s="148" t="s">
        <v>195</v>
      </c>
      <c r="BB3" s="148" t="s">
        <v>175</v>
      </c>
      <c r="BC3" s="148" t="s">
        <v>185</v>
      </c>
      <c r="BD3" s="148" t="s">
        <v>196</v>
      </c>
      <c r="BE3" s="148" t="s">
        <v>172</v>
      </c>
      <c r="BF3" s="148" t="s">
        <v>173</v>
      </c>
      <c r="BG3" s="148" t="s">
        <v>177</v>
      </c>
      <c r="BH3" s="148" t="s">
        <v>197</v>
      </c>
      <c r="BI3" s="148" t="s">
        <v>174</v>
      </c>
      <c r="BJ3" s="148" t="s">
        <v>194</v>
      </c>
      <c r="BK3" s="148"/>
    </row>
    <row r="4" spans="1:73">
      <c r="A4" s="1">
        <v>4</v>
      </c>
      <c r="B4" s="1" t="str">
        <f>Scores!N7</f>
        <v xml:space="preserve">  1.1) Normativa sobre gestión de residuos</v>
      </c>
      <c r="C4" s="1">
        <f ca="1">ROUND(Scores!P7,$B$1)</f>
        <v>25</v>
      </c>
      <c r="D4" s="1">
        <f ca="1">ROUND(Scores!Q7,$B$1)</f>
        <v>75</v>
      </c>
      <c r="E4" s="1">
        <f ca="1">ROUND(Scores!R7,$B$1)</f>
        <v>75</v>
      </c>
      <c r="F4" s="1">
        <f ca="1">ROUND(Scores!S7,$B$1)</f>
        <v>0</v>
      </c>
      <c r="G4" s="1">
        <f ca="1">ROUND(Scores!T7,$B$1)</f>
        <v>0</v>
      </c>
      <c r="H4" s="1">
        <f ca="1">ROUND(Scores!U7,$B$1)</f>
        <v>75</v>
      </c>
      <c r="I4" s="1">
        <f ca="1">ROUND(Scores!V7,$B$1)</f>
        <v>12.5</v>
      </c>
      <c r="J4" s="1">
        <f ca="1">ROUND(Scores!W7,$B$1)</f>
        <v>62.5</v>
      </c>
      <c r="K4" s="1">
        <f ca="1">ROUND(Scores!X7,$B$1)</f>
        <v>25</v>
      </c>
      <c r="L4" s="1">
        <f ca="1">ROUND(Scores!Y7,$B$1)</f>
        <v>100</v>
      </c>
      <c r="M4" s="1">
        <f ca="1">ROUND(Scores!Z7,$B$1)</f>
        <v>25</v>
      </c>
      <c r="N4" s="1">
        <f ca="1">ROUND(Scores!AA7,$B$1)</f>
        <v>50</v>
      </c>
      <c r="O4" s="1">
        <f ca="1">ROUND(Scores!AB7,$B$1)</f>
        <v>12.5</v>
      </c>
      <c r="P4" s="1">
        <f>ROUND(Scores!AC7,$B$1)</f>
        <v>0</v>
      </c>
      <c r="Q4" s="1">
        <f>ROUND(Scores!AD7,$B$1)</f>
        <v>0</v>
      </c>
      <c r="R4" s="1">
        <f>ROUND(Scores!AE7,$B$1)</f>
        <v>0</v>
      </c>
      <c r="S4" s="1">
        <f>ROUND(Scores!AF7,$B$1)</f>
        <v>0</v>
      </c>
      <c r="T4" s="1">
        <f>ROUND(Scores!AG7,$B$1)</f>
        <v>0</v>
      </c>
      <c r="U4" s="1">
        <f>ROUND(Scores!AH7,$B$1)</f>
        <v>0</v>
      </c>
      <c r="V4" s="1">
        <f>ROUND(Scores!AI7,$B$1)</f>
        <v>0</v>
      </c>
      <c r="W4" s="1">
        <f>ROUND(Scores!AJ7,$B$1)</f>
        <v>0</v>
      </c>
      <c r="X4" s="1">
        <f>ROUND(Scores!AK7,$B$1)</f>
        <v>0</v>
      </c>
      <c r="Z4" s="1">
        <f t="shared" ca="1" si="6"/>
        <v>43.75</v>
      </c>
      <c r="AA4" s="1">
        <f t="shared" ca="1" si="7"/>
        <v>43.75</v>
      </c>
      <c r="AG4" s="146">
        <f t="shared" ca="1" si="8"/>
        <v>43.75</v>
      </c>
      <c r="AH4" s="146">
        <f t="shared" ca="1" si="9"/>
        <v>56.25</v>
      </c>
      <c r="AI4" s="146">
        <f t="shared" ca="1" si="10"/>
        <v>37.5</v>
      </c>
      <c r="AJ4" s="146">
        <f t="shared" ca="1" si="11"/>
        <v>68.75</v>
      </c>
      <c r="AK4" s="146">
        <f t="shared" ca="1" si="12"/>
        <v>16.666666666666668</v>
      </c>
      <c r="AP4" s="147">
        <f t="shared" ca="1" si="2"/>
        <v>56.25</v>
      </c>
      <c r="AQ4" s="147">
        <f t="shared" ca="1" si="3"/>
        <v>37.5</v>
      </c>
      <c r="AR4" s="147">
        <f t="shared" ca="1" si="4"/>
        <v>68.75</v>
      </c>
      <c r="AS4" s="147">
        <f t="shared" ca="1" si="5"/>
        <v>16.666666666666668</v>
      </c>
      <c r="AT4" s="28">
        <f t="shared" ca="1" si="13"/>
        <v>43.75</v>
      </c>
      <c r="AU4" s="1">
        <v>5</v>
      </c>
      <c r="AW4" s="100">
        <v>1</v>
      </c>
      <c r="AX4" s="6" t="e">
        <f>IF(AU4="","",INDEX(tblTerritories!$S$5:$S$8,AU4))</f>
        <v>#REF!</v>
      </c>
      <c r="AY4" s="1">
        <v>1</v>
      </c>
      <c r="AZ4" s="1">
        <f t="shared" ref="AZ4:BJ4" si="14">AY4+1</f>
        <v>2</v>
      </c>
      <c r="BA4" s="1">
        <f t="shared" si="14"/>
        <v>3</v>
      </c>
      <c r="BB4" s="1">
        <f t="shared" si="14"/>
        <v>4</v>
      </c>
      <c r="BC4" s="1">
        <f t="shared" si="14"/>
        <v>5</v>
      </c>
      <c r="BD4" s="1">
        <f t="shared" si="14"/>
        <v>6</v>
      </c>
      <c r="BE4" s="1">
        <f t="shared" si="14"/>
        <v>7</v>
      </c>
      <c r="BF4" s="1">
        <f t="shared" si="14"/>
        <v>8</v>
      </c>
      <c r="BG4" s="1">
        <f t="shared" si="14"/>
        <v>9</v>
      </c>
      <c r="BH4" s="1">
        <f t="shared" si="14"/>
        <v>10</v>
      </c>
      <c r="BI4" s="1">
        <f t="shared" si="14"/>
        <v>11</v>
      </c>
      <c r="BJ4" s="1">
        <f t="shared" si="14"/>
        <v>12</v>
      </c>
      <c r="BT4" s="194"/>
      <c r="BU4" s="194"/>
    </row>
    <row r="5" spans="1:73">
      <c r="A5" s="1">
        <v>5</v>
      </c>
      <c r="B5" s="1" t="str">
        <f>Scores!N8</f>
        <v xml:space="preserve">   1.1.1) 1.¿ Existe un marco legal nacional para la gestión de residuos orientado al reciclaje con la inclusión de actores informales?</v>
      </c>
      <c r="C5" s="1">
        <f ca="1">ROUND(Scores!P8,$B$1)</f>
        <v>0</v>
      </c>
      <c r="D5" s="1">
        <f ca="1">ROUND(Scores!Q8,$B$1)</f>
        <v>50</v>
      </c>
      <c r="E5" s="1">
        <f ca="1">ROUND(Scores!R8,$B$1)</f>
        <v>0</v>
      </c>
      <c r="F5" s="1">
        <f ca="1">ROUND(Scores!S8,$B$1)</f>
        <v>0</v>
      </c>
      <c r="G5" s="1">
        <f ca="1">ROUND(Scores!T8,$B$1)</f>
        <v>0</v>
      </c>
      <c r="H5" s="1">
        <f ca="1">ROUND(Scores!U8,$B$1)</f>
        <v>100</v>
      </c>
      <c r="I5" s="1">
        <f ca="1">ROUND(Scores!V8,$B$1)</f>
        <v>50</v>
      </c>
      <c r="J5" s="1">
        <f ca="1">ROUND(Scores!W8,$B$1)</f>
        <v>0</v>
      </c>
      <c r="K5" s="1">
        <f ca="1">ROUND(Scores!X8,$B$1)</f>
        <v>50</v>
      </c>
      <c r="L5" s="1">
        <f ca="1">ROUND(Scores!Y8,$B$1)</f>
        <v>100</v>
      </c>
      <c r="M5" s="1">
        <f ca="1">ROUND(Scores!Z8,$B$1)</f>
        <v>50</v>
      </c>
      <c r="N5" s="1">
        <f ca="1">ROUND(Scores!AA8,$B$1)</f>
        <v>50</v>
      </c>
      <c r="O5" s="1">
        <f ca="1">ROUND(Scores!AB8,$B$1)</f>
        <v>50</v>
      </c>
      <c r="P5" s="1">
        <f>ROUND(Scores!AC8,$B$1)</f>
        <v>0</v>
      </c>
      <c r="Q5" s="1">
        <f>ROUND(Scores!AD8,$B$1)</f>
        <v>0</v>
      </c>
      <c r="R5" s="1">
        <f>ROUND(Scores!AE8,$B$1)</f>
        <v>0</v>
      </c>
      <c r="S5" s="1">
        <f>ROUND(Scores!AF8,$B$1)</f>
        <v>0</v>
      </c>
      <c r="T5" s="1">
        <f>ROUND(Scores!AG8,$B$1)</f>
        <v>0</v>
      </c>
      <c r="U5" s="1">
        <f>ROUND(Scores!AH8,$B$1)</f>
        <v>0</v>
      </c>
      <c r="V5" s="1">
        <f>ROUND(Scores!AI8,$B$1)</f>
        <v>0</v>
      </c>
      <c r="W5" s="1">
        <f>ROUND(Scores!AJ8,$B$1)</f>
        <v>0</v>
      </c>
      <c r="X5" s="1">
        <f>ROUND(Scores!AK8,$B$1)</f>
        <v>0</v>
      </c>
      <c r="Z5" s="1">
        <f t="shared" ca="1" si="6"/>
        <v>37.5</v>
      </c>
      <c r="AA5" s="1">
        <f t="shared" ca="1" si="7"/>
        <v>37.5</v>
      </c>
      <c r="AG5" s="146">
        <f t="shared" ca="1" si="8"/>
        <v>37.5</v>
      </c>
      <c r="AH5" s="146">
        <f t="shared" ca="1" si="9"/>
        <v>37.5</v>
      </c>
      <c r="AI5" s="146">
        <f t="shared" ca="1" si="10"/>
        <v>50</v>
      </c>
      <c r="AJ5" s="146">
        <f t="shared" ca="1" si="11"/>
        <v>50</v>
      </c>
      <c r="AK5" s="146">
        <f t="shared" ca="1" si="12"/>
        <v>16.666666666666668</v>
      </c>
      <c r="AP5" s="147">
        <f t="shared" ca="1" si="2"/>
        <v>37.5</v>
      </c>
      <c r="AQ5" s="147">
        <f t="shared" ca="1" si="3"/>
        <v>50</v>
      </c>
      <c r="AR5" s="147">
        <f t="shared" ca="1" si="4"/>
        <v>50</v>
      </c>
      <c r="AS5" s="147">
        <f t="shared" ca="1" si="5"/>
        <v>16.666666666666668</v>
      </c>
      <c r="AT5" s="28">
        <f t="shared" ca="1" si="13"/>
        <v>37.5</v>
      </c>
      <c r="AV5" s="1">
        <f>SUM(AY5:BJ5)</f>
        <v>1</v>
      </c>
      <c r="AX5" s="6" t="str">
        <f>IF(AU5="","",INDEX(tblTerritories!$S$5:$S$8,AU5))</f>
        <v/>
      </c>
      <c r="AY5" s="1">
        <f>INDEX(tblTerritories!$AA$3:$AG$14,AY4,$AW4)</f>
        <v>1</v>
      </c>
      <c r="AZ5" s="1">
        <f>INDEX(tblTerritories!$AA$3:$AG$14,AZ4,$AW4)</f>
        <v>0</v>
      </c>
      <c r="BA5" s="1">
        <f>INDEX(tblTerritories!$AA$3:$AG$14,BA4,$AW4)</f>
        <v>0</v>
      </c>
      <c r="BB5" s="1">
        <f>INDEX(tblTerritories!$AA$3:$AG$14,BB4,$AW4)</f>
        <v>0</v>
      </c>
      <c r="BC5" s="1">
        <f>INDEX(tblTerritories!$AA$3:$AG$14,BC4,$AW4)</f>
        <v>0</v>
      </c>
      <c r="BD5" s="1">
        <f>INDEX(tblTerritories!$AA$3:$AG$14,BD4,$AW4)</f>
        <v>0</v>
      </c>
      <c r="BE5" s="1">
        <f>INDEX(tblTerritories!$AA$3:$AG$14,BE4,$AW4)</f>
        <v>0</v>
      </c>
      <c r="BF5" s="1">
        <f>INDEX(tblTerritories!$AA$3:$AG$14,BF4,$AW4)</f>
        <v>0</v>
      </c>
      <c r="BG5" s="1">
        <f>INDEX(tblTerritories!$AA$3:$AG$14,BG4,$AW4)</f>
        <v>0</v>
      </c>
      <c r="BH5" s="1">
        <f>INDEX(tblTerritories!$AA$3:$AG$14,BH4,$AW4)</f>
        <v>0</v>
      </c>
      <c r="BI5" s="1">
        <f>INDEX(tblTerritories!$AA$3:$AG$14,BI4,$AW4)</f>
        <v>0</v>
      </c>
      <c r="BJ5" s="1">
        <f>INDEX(tblTerritories!$AA$3:$AG$14,BJ4,$AW4)</f>
        <v>0</v>
      </c>
      <c r="BT5" s="194"/>
      <c r="BU5" s="194"/>
    </row>
    <row r="6" spans="1:73">
      <c r="A6" s="1">
        <v>6</v>
      </c>
      <c r="B6" s="1" t="str">
        <f>Scores!N9</f>
        <v xml:space="preserve">   1.1.2) 2.¿Existe un marco legal municipal para la gestión de residuos orientado al reciclaje y la inclusión de actores informales?</v>
      </c>
      <c r="C6" s="1">
        <f ca="1">ROUND(Scores!P9,$B$1)</f>
        <v>50</v>
      </c>
      <c r="D6" s="1">
        <f ca="1">ROUND(Scores!Q9,$B$1)</f>
        <v>100</v>
      </c>
      <c r="E6" s="1">
        <f ca="1">ROUND(Scores!R9,$B$1)</f>
        <v>100</v>
      </c>
      <c r="F6" s="1">
        <f ca="1">ROUND(Scores!S9,$B$1)</f>
        <v>0</v>
      </c>
      <c r="G6" s="1">
        <f ca="1">ROUND(Scores!T9,$B$1)</f>
        <v>0</v>
      </c>
      <c r="H6" s="1">
        <f ca="1">ROUND(Scores!U9,$B$1)</f>
        <v>100</v>
      </c>
      <c r="I6" s="1">
        <f ca="1">ROUND(Scores!V9,$B$1)</f>
        <v>0</v>
      </c>
      <c r="J6" s="1">
        <f ca="1">ROUND(Scores!W9,$B$1)</f>
        <v>100</v>
      </c>
      <c r="K6" s="1">
        <f ca="1">ROUND(Scores!X9,$B$1)</f>
        <v>50</v>
      </c>
      <c r="L6" s="1">
        <f ca="1">ROUND(Scores!Y9,$B$1)</f>
        <v>100</v>
      </c>
      <c r="M6" s="1">
        <f ca="1">ROUND(Scores!Z9,$B$1)</f>
        <v>0</v>
      </c>
      <c r="N6" s="1">
        <f ca="1">ROUND(Scores!AA9,$B$1)</f>
        <v>50</v>
      </c>
      <c r="O6" s="1">
        <f ca="1">ROUND(Scores!AB9,$B$1)</f>
        <v>0</v>
      </c>
      <c r="P6" s="1">
        <f>ROUND(Scores!AC9,$B$1)</f>
        <v>0</v>
      </c>
      <c r="Q6" s="1">
        <f>ROUND(Scores!AD9,$B$1)</f>
        <v>0</v>
      </c>
      <c r="R6" s="1">
        <f>ROUND(Scores!AE9,$B$1)</f>
        <v>0</v>
      </c>
      <c r="S6" s="1">
        <f>ROUND(Scores!AF9,$B$1)</f>
        <v>0</v>
      </c>
      <c r="T6" s="1">
        <f>ROUND(Scores!AG9,$B$1)</f>
        <v>0</v>
      </c>
      <c r="U6" s="1">
        <f>ROUND(Scores!AH9,$B$1)</f>
        <v>0</v>
      </c>
      <c r="V6" s="1">
        <f>ROUND(Scores!AI9,$B$1)</f>
        <v>0</v>
      </c>
      <c r="W6" s="1">
        <f>ROUND(Scores!AJ9,$B$1)</f>
        <v>0</v>
      </c>
      <c r="X6" s="1">
        <f>ROUND(Scores!AK9,$B$1)</f>
        <v>0</v>
      </c>
      <c r="Z6" s="1">
        <f t="shared" ca="1" si="6"/>
        <v>54.166666666666664</v>
      </c>
      <c r="AA6" s="1">
        <f t="shared" ca="1" si="7"/>
        <v>54.166666666666664</v>
      </c>
      <c r="AG6" s="146">
        <f t="shared" ca="1" si="8"/>
        <v>54.166666666666664</v>
      </c>
      <c r="AH6" s="146">
        <f t="shared" ca="1" si="9"/>
        <v>62.5</v>
      </c>
      <c r="AI6" s="146">
        <f t="shared" ca="1" si="10"/>
        <v>50</v>
      </c>
      <c r="AJ6" s="146">
        <f t="shared" ca="1" si="11"/>
        <v>100</v>
      </c>
      <c r="AK6" s="146">
        <f t="shared" ca="1" si="12"/>
        <v>16.666666666666668</v>
      </c>
      <c r="AP6" s="147">
        <f t="shared" ca="1" si="2"/>
        <v>62.5</v>
      </c>
      <c r="AQ6" s="147">
        <f t="shared" ca="1" si="3"/>
        <v>50</v>
      </c>
      <c r="AR6" s="147">
        <f t="shared" ca="1" si="4"/>
        <v>100</v>
      </c>
      <c r="AS6" s="147">
        <f t="shared" ca="1" si="5"/>
        <v>16.666666666666668</v>
      </c>
      <c r="AT6" s="28">
        <f t="shared" ca="1" si="13"/>
        <v>54.166666666666664</v>
      </c>
      <c r="AX6" s="6" t="str">
        <f>IF(AU6="","",INDEX(tblTerritories!$S$5:$S$8,AU6))</f>
        <v/>
      </c>
      <c r="BT6" s="194"/>
      <c r="BU6" s="194"/>
    </row>
    <row r="7" spans="1:73">
      <c r="A7" s="1">
        <v>7</v>
      </c>
      <c r="B7" s="1" t="str">
        <f>Scores!N10</f>
        <v xml:space="preserve">   1.1.3) 3.¿Son las políticas municipales suficientemente estables para garantizar la continuidad en materia de políticas de reciclaje inclusivo?</v>
      </c>
      <c r="C7" s="1">
        <f ca="1">ROUND(Scores!P10,$B$1)</f>
        <v>50</v>
      </c>
      <c r="D7" s="1">
        <f ca="1">ROUND(Scores!Q10,$B$1)</f>
        <v>50</v>
      </c>
      <c r="E7" s="1">
        <f ca="1">ROUND(Scores!R10,$B$1)</f>
        <v>100</v>
      </c>
      <c r="F7" s="1">
        <f ca="1">ROUND(Scores!S10,$B$1)</f>
        <v>0</v>
      </c>
      <c r="G7" s="1">
        <f ca="1">ROUND(Scores!T10,$B$1)</f>
        <v>0</v>
      </c>
      <c r="H7" s="1">
        <f ca="1">ROUND(Scores!U10,$B$1)</f>
        <v>0</v>
      </c>
      <c r="I7" s="1">
        <f ca="1">ROUND(Scores!V10,$B$1)</f>
        <v>0</v>
      </c>
      <c r="J7" s="1">
        <f ca="1">ROUND(Scores!W10,$B$1)</f>
        <v>50</v>
      </c>
      <c r="K7" s="1">
        <f ca="1">ROUND(Scores!X10,$B$1)</f>
        <v>0</v>
      </c>
      <c r="L7" s="1">
        <f ca="1">ROUND(Scores!Y10,$B$1)</f>
        <v>100</v>
      </c>
      <c r="M7" s="1">
        <f ca="1">ROUND(Scores!Z10,$B$1)</f>
        <v>50</v>
      </c>
      <c r="N7" s="1">
        <f ca="1">ROUND(Scores!AA10,$B$1)</f>
        <v>0</v>
      </c>
      <c r="O7" s="1">
        <f ca="1">ROUND(Scores!AB10,$B$1)</f>
        <v>0</v>
      </c>
      <c r="P7" s="1">
        <f>ROUND(Scores!AC10,$B$1)</f>
        <v>0</v>
      </c>
      <c r="Q7" s="1">
        <f>ROUND(Scores!AD10,$B$1)</f>
        <v>0</v>
      </c>
      <c r="R7" s="1">
        <f>ROUND(Scores!AE10,$B$1)</f>
        <v>0</v>
      </c>
      <c r="S7" s="1">
        <f>ROUND(Scores!AF10,$B$1)</f>
        <v>0</v>
      </c>
      <c r="T7" s="1">
        <f>ROUND(Scores!AG10,$B$1)</f>
        <v>0</v>
      </c>
      <c r="U7" s="1">
        <f>ROUND(Scores!AH10,$B$1)</f>
        <v>0</v>
      </c>
      <c r="V7" s="1">
        <f>ROUND(Scores!AI10,$B$1)</f>
        <v>0</v>
      </c>
      <c r="W7" s="1">
        <f>ROUND(Scores!AJ10,$B$1)</f>
        <v>0</v>
      </c>
      <c r="X7" s="1">
        <f>ROUND(Scores!AK10,$B$1)</f>
        <v>0</v>
      </c>
      <c r="Z7" s="1">
        <f t="shared" ca="1" si="6"/>
        <v>33.333333333333336</v>
      </c>
      <c r="AA7" s="1">
        <f t="shared" ca="1" si="7"/>
        <v>33.333333333333336</v>
      </c>
      <c r="AG7" s="146">
        <f t="shared" ca="1" si="8"/>
        <v>33.333333333333336</v>
      </c>
      <c r="AH7" s="146">
        <f t="shared" ca="1" si="9"/>
        <v>50</v>
      </c>
      <c r="AI7" s="146">
        <f t="shared" ca="1" si="10"/>
        <v>16.666666666666668</v>
      </c>
      <c r="AJ7" s="146">
        <f t="shared" ca="1" si="11"/>
        <v>25</v>
      </c>
      <c r="AK7" s="146">
        <f t="shared" ca="1" si="12"/>
        <v>33.333333333333336</v>
      </c>
      <c r="AP7" s="147">
        <f t="shared" ca="1" si="2"/>
        <v>50</v>
      </c>
      <c r="AQ7" s="147">
        <f t="shared" ca="1" si="3"/>
        <v>16.666666666666668</v>
      </c>
      <c r="AR7" s="147">
        <f t="shared" ca="1" si="4"/>
        <v>25</v>
      </c>
      <c r="AS7" s="147">
        <f t="shared" ca="1" si="5"/>
        <v>33.333333333333336</v>
      </c>
      <c r="AT7" s="28">
        <f t="shared" ca="1" si="13"/>
        <v>33.333333333333336</v>
      </c>
      <c r="AU7" s="1">
        <v>6</v>
      </c>
      <c r="AW7" s="100">
        <v>2</v>
      </c>
      <c r="AX7" s="6" t="e">
        <f>IF(AU7="","",INDEX(tblTerritories!$S$5:$S$8,AU7))</f>
        <v>#REF!</v>
      </c>
      <c r="AY7" s="1">
        <v>1</v>
      </c>
      <c r="AZ7" s="1">
        <f t="shared" ref="AZ7:BJ7" si="15">AY7+1</f>
        <v>2</v>
      </c>
      <c r="BA7" s="1">
        <f t="shared" si="15"/>
        <v>3</v>
      </c>
      <c r="BB7" s="1">
        <f t="shared" si="15"/>
        <v>4</v>
      </c>
      <c r="BC7" s="1">
        <f t="shared" si="15"/>
        <v>5</v>
      </c>
      <c r="BD7" s="1">
        <f t="shared" si="15"/>
        <v>6</v>
      </c>
      <c r="BE7" s="1">
        <f t="shared" si="15"/>
        <v>7</v>
      </c>
      <c r="BF7" s="1">
        <f t="shared" si="15"/>
        <v>8</v>
      </c>
      <c r="BG7" s="1">
        <f t="shared" si="15"/>
        <v>9</v>
      </c>
      <c r="BH7" s="1">
        <f t="shared" si="15"/>
        <v>10</v>
      </c>
      <c r="BI7" s="1">
        <f t="shared" si="15"/>
        <v>11</v>
      </c>
      <c r="BJ7" s="1">
        <f t="shared" si="15"/>
        <v>12</v>
      </c>
      <c r="BT7" s="194"/>
      <c r="BU7" s="194"/>
    </row>
    <row r="8" spans="1:73">
      <c r="A8" s="1">
        <v>8</v>
      </c>
      <c r="B8" s="1" t="str">
        <f>Scores!N11</f>
        <v xml:space="preserve">   1.1.4) 4.¿Existe un presupuesto (o mecanismo de financiación) municipal asignado para el reciclaje inclusivo?</v>
      </c>
      <c r="C8" s="1">
        <f ca="1">ROUND(Scores!P11,$B$1)</f>
        <v>0</v>
      </c>
      <c r="D8" s="1">
        <f ca="1">ROUND(Scores!Q11,$B$1)</f>
        <v>100</v>
      </c>
      <c r="E8" s="1">
        <f ca="1">ROUND(Scores!R11,$B$1)</f>
        <v>100</v>
      </c>
      <c r="F8" s="1">
        <f ca="1">ROUND(Scores!S11,$B$1)</f>
        <v>0</v>
      </c>
      <c r="G8" s="1">
        <f ca="1">ROUND(Scores!T11,$B$1)</f>
        <v>0</v>
      </c>
      <c r="H8" s="1">
        <f ca="1">ROUND(Scores!U11,$B$1)</f>
        <v>100</v>
      </c>
      <c r="I8" s="1">
        <f ca="1">ROUND(Scores!V11,$B$1)</f>
        <v>0</v>
      </c>
      <c r="J8" s="1">
        <f ca="1">ROUND(Scores!W11,$B$1)</f>
        <v>100</v>
      </c>
      <c r="K8" s="1">
        <f ca="1">ROUND(Scores!X11,$B$1)</f>
        <v>0</v>
      </c>
      <c r="L8" s="1">
        <f ca="1">ROUND(Scores!Y11,$B$1)</f>
        <v>100</v>
      </c>
      <c r="M8" s="1">
        <f ca="1">ROUND(Scores!Z11,$B$1)</f>
        <v>0</v>
      </c>
      <c r="N8" s="1">
        <f ca="1">ROUND(Scores!AA11,$B$1)</f>
        <v>100</v>
      </c>
      <c r="O8" s="1">
        <f>ROUND(Scores!AB11,$B$1)</f>
        <v>0</v>
      </c>
      <c r="P8" s="1">
        <f>ROUND(Scores!AC11,$B$1)</f>
        <v>0</v>
      </c>
      <c r="Q8" s="1">
        <f>ROUND(Scores!AD11,$B$1)</f>
        <v>0</v>
      </c>
      <c r="R8" s="1">
        <f>ROUND(Scores!AE11,$B$1)</f>
        <v>0</v>
      </c>
      <c r="S8" s="1">
        <f>ROUND(Scores!AF11,$B$1)</f>
        <v>0</v>
      </c>
      <c r="T8" s="1">
        <f>ROUND(Scores!AG11,$B$1)</f>
        <v>0</v>
      </c>
      <c r="U8" s="1">
        <f>ROUND(Scores!AH11,$B$1)</f>
        <v>0</v>
      </c>
      <c r="V8" s="1">
        <f>ROUND(Scores!AI11,$B$1)</f>
        <v>0</v>
      </c>
      <c r="W8" s="1">
        <f>ROUND(Scores!AJ11,$B$1)</f>
        <v>0</v>
      </c>
      <c r="X8" s="1">
        <f>ROUND(Scores!AK11,$B$1)</f>
        <v>0</v>
      </c>
      <c r="Z8" s="1">
        <f t="shared" ca="1" si="6"/>
        <v>50</v>
      </c>
      <c r="AA8" s="1">
        <f t="shared" ca="1" si="7"/>
        <v>50</v>
      </c>
      <c r="AG8" s="146">
        <f t="shared" ca="1" si="8"/>
        <v>50</v>
      </c>
      <c r="AH8" s="146">
        <f t="shared" ca="1" si="9"/>
        <v>75</v>
      </c>
      <c r="AI8" s="146">
        <f t="shared" ca="1" si="10"/>
        <v>33.333333333333336</v>
      </c>
      <c r="AJ8" s="146">
        <f t="shared" ca="1" si="11"/>
        <v>100</v>
      </c>
      <c r="AK8" s="146">
        <f t="shared" ca="1" si="12"/>
        <v>0</v>
      </c>
      <c r="AP8" s="147">
        <f t="shared" ca="1" si="2"/>
        <v>75</v>
      </c>
      <c r="AQ8" s="147">
        <f t="shared" ca="1" si="3"/>
        <v>33.333333333333336</v>
      </c>
      <c r="AR8" s="147">
        <f t="shared" ca="1" si="4"/>
        <v>100</v>
      </c>
      <c r="AS8" s="147">
        <f t="shared" ca="1" si="5"/>
        <v>0</v>
      </c>
      <c r="AT8" s="28">
        <f t="shared" ca="1" si="13"/>
        <v>50</v>
      </c>
      <c r="AV8" s="1">
        <f>SUM(AY8:BJ8)</f>
        <v>6</v>
      </c>
      <c r="AX8" s="6" t="str">
        <f>IF(AU8="","",INDEX(tblTerritories!$S$5:$S$8,AU8))</f>
        <v/>
      </c>
      <c r="AY8" s="1">
        <f>INDEX(tblTerritories!$AA$3:$AG$14,AY7,$AW7)</f>
        <v>0</v>
      </c>
      <c r="AZ8" s="1">
        <f>INDEX(tblTerritories!$AA$3:$AG$14,AZ7,$AW7)</f>
        <v>1</v>
      </c>
      <c r="BA8" s="1">
        <f>INDEX(tblTerritories!$AA$3:$AG$14,BA7,$AW7)</f>
        <v>1</v>
      </c>
      <c r="BB8" s="1">
        <f>INDEX(tblTerritories!$AA$3:$AG$14,BB7,$AW7)</f>
        <v>0</v>
      </c>
      <c r="BC8" s="1">
        <f>INDEX(tblTerritories!$AA$3:$AG$14,BC7,$AW7)</f>
        <v>0</v>
      </c>
      <c r="BD8" s="1">
        <f>INDEX(tblTerritories!$AA$3:$AG$14,BD7,$AW7)</f>
        <v>1</v>
      </c>
      <c r="BE8" s="1">
        <f>INDEX(tblTerritories!$AA$3:$AG$14,BE7,$AW7)</f>
        <v>0</v>
      </c>
      <c r="BF8" s="1">
        <f>INDEX(tblTerritories!$AA$3:$AG$14,BF7,$AW7)</f>
        <v>0</v>
      </c>
      <c r="BG8" s="1">
        <f>INDEX(tblTerritories!$AA$3:$AG$14,BG7,$AW7)</f>
        <v>1</v>
      </c>
      <c r="BH8" s="1">
        <f>INDEX(tblTerritories!$AA$3:$AG$14,BH7,$AW7)</f>
        <v>1</v>
      </c>
      <c r="BI8" s="1">
        <f>INDEX(tblTerritories!$AA$3:$AG$14,BI7,$AW7)</f>
        <v>1</v>
      </c>
      <c r="BJ8" s="1">
        <f>INDEX(tblTerritories!$AA$3:$AG$14,BJ7,$AW7)</f>
        <v>0</v>
      </c>
      <c r="BT8" s="194"/>
      <c r="BU8" s="194"/>
    </row>
    <row r="9" spans="1:73">
      <c r="A9" s="1">
        <v>9</v>
      </c>
      <c r="B9" s="1" t="str">
        <f>Scores!N12</f>
        <v xml:space="preserve">  1.2) Integración del reciclador de base</v>
      </c>
      <c r="C9" s="1">
        <f ca="1">ROUND(Scores!P12,$B$1)</f>
        <v>31.3</v>
      </c>
      <c r="D9" s="1">
        <f ca="1">ROUND(Scores!Q12,$B$1)</f>
        <v>75</v>
      </c>
      <c r="E9" s="1">
        <f ca="1">ROUND(Scores!R12,$B$1)</f>
        <v>60.4</v>
      </c>
      <c r="F9" s="1">
        <f ca="1">ROUND(Scores!S12,$B$1)</f>
        <v>12.5</v>
      </c>
      <c r="G9" s="1">
        <f ca="1">ROUND(Scores!T12,$B$1)</f>
        <v>10.4</v>
      </c>
      <c r="H9" s="1">
        <f ca="1">ROUND(Scores!U12,$B$1)</f>
        <v>75</v>
      </c>
      <c r="I9" s="1">
        <f ca="1">ROUND(Scores!V12,$B$1)</f>
        <v>35.4</v>
      </c>
      <c r="J9" s="1">
        <f ca="1">ROUND(Scores!W12,$B$1)</f>
        <v>31.3</v>
      </c>
      <c r="K9" s="1">
        <f ca="1">ROUND(Scores!X12,$B$1)</f>
        <v>4.2</v>
      </c>
      <c r="L9" s="1">
        <f ca="1">ROUND(Scores!Y12,$B$1)</f>
        <v>81.3</v>
      </c>
      <c r="M9" s="1">
        <f ca="1">ROUND(Scores!Z12,$B$1)</f>
        <v>33.299999999999997</v>
      </c>
      <c r="N9" s="1">
        <f ca="1">ROUND(Scores!AA12,$B$1)</f>
        <v>31.3</v>
      </c>
      <c r="O9" s="1">
        <f ca="1">ROUND(Scores!AB12,$B$1)</f>
        <v>6.3</v>
      </c>
      <c r="P9" s="1">
        <f>ROUND(Scores!AC12,$B$1)</f>
        <v>0</v>
      </c>
      <c r="Q9" s="1">
        <f>ROUND(Scores!AD12,$B$1)</f>
        <v>0</v>
      </c>
      <c r="R9" s="1">
        <f>ROUND(Scores!AE12,$B$1)</f>
        <v>0</v>
      </c>
      <c r="S9" s="1">
        <f>ROUND(Scores!AF12,$B$1)</f>
        <v>0</v>
      </c>
      <c r="T9" s="1">
        <f>ROUND(Scores!AG12,$B$1)</f>
        <v>0</v>
      </c>
      <c r="U9" s="1">
        <f>ROUND(Scores!AH12,$B$1)</f>
        <v>0</v>
      </c>
      <c r="V9" s="1">
        <f>ROUND(Scores!AI12,$B$1)</f>
        <v>0</v>
      </c>
      <c r="W9" s="1">
        <f>ROUND(Scores!AJ12,$B$1)</f>
        <v>0</v>
      </c>
      <c r="X9" s="1">
        <f>ROUND(Scores!AK12,$B$1)</f>
        <v>0</v>
      </c>
      <c r="Z9" s="1">
        <f t="shared" ca="1" si="6"/>
        <v>40.116666666666667</v>
      </c>
      <c r="AA9" s="1">
        <f t="shared" ca="1" si="7"/>
        <v>40.116666666666667</v>
      </c>
      <c r="AG9" s="146">
        <f t="shared" ca="1" si="8"/>
        <v>40.116666666666667</v>
      </c>
      <c r="AH9" s="146">
        <f t="shared" ca="1" si="9"/>
        <v>45.85</v>
      </c>
      <c r="AI9" s="146">
        <f t="shared" ca="1" si="10"/>
        <v>38.200000000000003</v>
      </c>
      <c r="AJ9" s="146">
        <f t="shared" ca="1" si="11"/>
        <v>53.15</v>
      </c>
      <c r="AK9" s="146">
        <f t="shared" ca="1" si="12"/>
        <v>25.7</v>
      </c>
      <c r="AP9" s="147">
        <f t="shared" ca="1" si="2"/>
        <v>45.85</v>
      </c>
      <c r="AQ9" s="147">
        <f t="shared" ca="1" si="3"/>
        <v>38.200000000000003</v>
      </c>
      <c r="AR9" s="147">
        <f t="shared" ca="1" si="4"/>
        <v>53.15</v>
      </c>
      <c r="AS9" s="147">
        <f t="shared" ca="1" si="5"/>
        <v>25.7</v>
      </c>
      <c r="AT9" s="28">
        <f t="shared" ca="1" si="13"/>
        <v>40.116666666666667</v>
      </c>
      <c r="AX9" s="6" t="str">
        <f>IF(AU9="","",INDEX(tblTerritories!$S$5:$S$8,AU9))</f>
        <v/>
      </c>
      <c r="BT9" s="194"/>
      <c r="BU9" s="194"/>
    </row>
    <row r="10" spans="1:73">
      <c r="A10" s="1">
        <v>10</v>
      </c>
      <c r="B10" s="1" t="str">
        <f>Scores!N13</f>
        <v xml:space="preserve">   1.2.1) 5.¿Existe reconocimiento legal de la ocupación de reciclador de base?</v>
      </c>
      <c r="C10" s="1">
        <f ca="1">ROUND(Scores!P13,$B$1)</f>
        <v>0</v>
      </c>
      <c r="D10" s="1">
        <f ca="1">ROUND(Scores!Q13,$B$1)</f>
        <v>100</v>
      </c>
      <c r="E10" s="1">
        <f ca="1">ROUND(Scores!R13,$B$1)</f>
        <v>100</v>
      </c>
      <c r="F10" s="1">
        <f ca="1">ROUND(Scores!S13,$B$1)</f>
        <v>0</v>
      </c>
      <c r="G10" s="1">
        <f ca="1">ROUND(Scores!T13,$B$1)</f>
        <v>0</v>
      </c>
      <c r="H10" s="1">
        <f ca="1">ROUND(Scores!U13,$B$1)</f>
        <v>100</v>
      </c>
      <c r="I10" s="1">
        <f ca="1">ROUND(Scores!V13,$B$1)</f>
        <v>0</v>
      </c>
      <c r="J10" s="1">
        <f ca="1">ROUND(Scores!W13,$B$1)</f>
        <v>0</v>
      </c>
      <c r="K10" s="1">
        <f ca="1">ROUND(Scores!X13,$B$1)</f>
        <v>0</v>
      </c>
      <c r="L10" s="1">
        <f ca="1">ROUND(Scores!Y13,$B$1)</f>
        <v>100</v>
      </c>
      <c r="M10" s="1">
        <f ca="1">ROUND(Scores!Z13,$B$1)</f>
        <v>0</v>
      </c>
      <c r="N10" s="1">
        <f ca="1">ROUND(Scores!AA13,$B$1)</f>
        <v>0</v>
      </c>
      <c r="O10" s="1">
        <f ca="1">ROUND(Scores!AB13,$B$1)</f>
        <v>0</v>
      </c>
      <c r="P10" s="1">
        <f>ROUND(Scores!AC13,$B$1)</f>
        <v>0</v>
      </c>
      <c r="Q10" s="1">
        <f>ROUND(Scores!AD13,$B$1)</f>
        <v>0</v>
      </c>
      <c r="R10" s="1">
        <f>ROUND(Scores!AE13,$B$1)</f>
        <v>0</v>
      </c>
      <c r="S10" s="1">
        <f>ROUND(Scores!AF13,$B$1)</f>
        <v>0</v>
      </c>
      <c r="T10" s="1">
        <f>ROUND(Scores!AG13,$B$1)</f>
        <v>0</v>
      </c>
      <c r="U10" s="1">
        <f>ROUND(Scores!AH13,$B$1)</f>
        <v>0</v>
      </c>
      <c r="V10" s="1">
        <f>ROUND(Scores!AI13,$B$1)</f>
        <v>0</v>
      </c>
      <c r="W10" s="1">
        <f>ROUND(Scores!AJ13,$B$1)</f>
        <v>0</v>
      </c>
      <c r="X10" s="1">
        <f>ROUND(Scores!AK13,$B$1)</f>
        <v>0</v>
      </c>
      <c r="Z10" s="1">
        <f t="shared" ca="1" si="6"/>
        <v>33.333333333333336</v>
      </c>
      <c r="AA10" s="1">
        <f t="shared" ca="1" si="7"/>
        <v>33.333333333333336</v>
      </c>
      <c r="AG10" s="146">
        <f t="shared" ca="1" si="8"/>
        <v>33.333333333333336</v>
      </c>
      <c r="AH10" s="146">
        <f t="shared" ca="1" si="9"/>
        <v>50</v>
      </c>
      <c r="AI10" s="146">
        <f t="shared" ca="1" si="10"/>
        <v>33.333333333333336</v>
      </c>
      <c r="AJ10" s="146">
        <f t="shared" ca="1" si="11"/>
        <v>50</v>
      </c>
      <c r="AK10" s="146">
        <f t="shared" ca="1" si="12"/>
        <v>0</v>
      </c>
      <c r="AP10" s="147">
        <f t="shared" ca="1" si="2"/>
        <v>50</v>
      </c>
      <c r="AQ10" s="147">
        <f t="shared" ca="1" si="3"/>
        <v>33.333333333333336</v>
      </c>
      <c r="AR10" s="147">
        <f t="shared" ca="1" si="4"/>
        <v>50</v>
      </c>
      <c r="AS10" s="147">
        <f t="shared" ca="1" si="5"/>
        <v>0</v>
      </c>
      <c r="AT10" s="28">
        <f t="shared" ca="1" si="13"/>
        <v>33.333333333333336</v>
      </c>
      <c r="AU10" s="1">
        <v>7</v>
      </c>
      <c r="AW10" s="100">
        <v>3</v>
      </c>
      <c r="AX10" s="6" t="e">
        <f>IF(AU10="","",INDEX(tblTerritories!$S$5:$S$8,AU10))</f>
        <v>#REF!</v>
      </c>
      <c r="AY10" s="1">
        <v>1</v>
      </c>
      <c r="AZ10" s="1">
        <f t="shared" ref="AZ10:BJ10" si="16">AY10+1</f>
        <v>2</v>
      </c>
      <c r="BA10" s="1">
        <f t="shared" si="16"/>
        <v>3</v>
      </c>
      <c r="BB10" s="1">
        <f t="shared" si="16"/>
        <v>4</v>
      </c>
      <c r="BC10" s="1">
        <f t="shared" si="16"/>
        <v>5</v>
      </c>
      <c r="BD10" s="1">
        <f t="shared" si="16"/>
        <v>6</v>
      </c>
      <c r="BE10" s="1">
        <f t="shared" si="16"/>
        <v>7</v>
      </c>
      <c r="BF10" s="1">
        <f t="shared" si="16"/>
        <v>8</v>
      </c>
      <c r="BG10" s="1">
        <f t="shared" si="16"/>
        <v>9</v>
      </c>
      <c r="BH10" s="1">
        <f t="shared" si="16"/>
        <v>10</v>
      </c>
      <c r="BI10" s="1">
        <f t="shared" si="16"/>
        <v>11</v>
      </c>
      <c r="BJ10" s="1">
        <f t="shared" si="16"/>
        <v>12</v>
      </c>
      <c r="BT10" s="194"/>
      <c r="BU10" s="194"/>
    </row>
    <row r="11" spans="1:73">
      <c r="A11" s="1">
        <v>11</v>
      </c>
      <c r="B11" s="1" t="str">
        <f>Scores!N14</f>
        <v xml:space="preserve">   1.2.2) 6.¿Se reconoce a los recicladores de base como prestadores de servicio en la gestión de residuos?</v>
      </c>
      <c r="C11" s="1">
        <f ca="1">ROUND(Scores!P14,$B$1)</f>
        <v>50</v>
      </c>
      <c r="D11" s="1">
        <f ca="1">ROUND(Scores!Q14,$B$1)</f>
        <v>100</v>
      </c>
      <c r="E11" s="1">
        <f ca="1">ROUND(Scores!R14,$B$1)</f>
        <v>100</v>
      </c>
      <c r="F11" s="1">
        <f ca="1">ROUND(Scores!S14,$B$1)</f>
        <v>0</v>
      </c>
      <c r="G11" s="1">
        <f ca="1">ROUND(Scores!T14,$B$1)</f>
        <v>0</v>
      </c>
      <c r="H11" s="1">
        <f ca="1">ROUND(Scores!U14,$B$1)</f>
        <v>50</v>
      </c>
      <c r="I11" s="1">
        <f ca="1">ROUND(Scores!V14,$B$1)</f>
        <v>50</v>
      </c>
      <c r="J11" s="1">
        <f ca="1">ROUND(Scores!W14,$B$1)</f>
        <v>50</v>
      </c>
      <c r="K11" s="1">
        <f ca="1">ROUND(Scores!X14,$B$1)</f>
        <v>0</v>
      </c>
      <c r="L11" s="1">
        <f ca="1">ROUND(Scores!Y14,$B$1)</f>
        <v>100</v>
      </c>
      <c r="M11" s="1">
        <f ca="1">ROUND(Scores!Z14,$B$1)</f>
        <v>50</v>
      </c>
      <c r="N11" s="1">
        <f ca="1">ROUND(Scores!AA14,$B$1)</f>
        <v>0</v>
      </c>
      <c r="O11" s="1">
        <f ca="1">ROUND(Scores!AB14,$B$1)</f>
        <v>0</v>
      </c>
      <c r="P11" s="1">
        <f>ROUND(Scores!AC14,$B$1)</f>
        <v>0</v>
      </c>
      <c r="Q11" s="1">
        <f>ROUND(Scores!AD14,$B$1)</f>
        <v>0</v>
      </c>
      <c r="R11" s="1">
        <f>ROUND(Scores!AE14,$B$1)</f>
        <v>0</v>
      </c>
      <c r="S11" s="1">
        <f>ROUND(Scores!AF14,$B$1)</f>
        <v>0</v>
      </c>
      <c r="T11" s="1">
        <f>ROUND(Scores!AG14,$B$1)</f>
        <v>0</v>
      </c>
      <c r="U11" s="1">
        <f>ROUND(Scores!AH14,$B$1)</f>
        <v>0</v>
      </c>
      <c r="V11" s="1">
        <f>ROUND(Scores!AI14,$B$1)</f>
        <v>0</v>
      </c>
      <c r="W11" s="1">
        <f>ROUND(Scores!AJ14,$B$1)</f>
        <v>0</v>
      </c>
      <c r="X11" s="1">
        <f>ROUND(Scores!AK14,$B$1)</f>
        <v>0</v>
      </c>
      <c r="Z11" s="1">
        <f t="shared" ca="1" si="6"/>
        <v>45.833333333333336</v>
      </c>
      <c r="AA11" s="1">
        <f t="shared" ca="1" si="7"/>
        <v>45.833333333333336</v>
      </c>
      <c r="AG11" s="146">
        <f t="shared" ca="1" si="8"/>
        <v>45.833333333333336</v>
      </c>
      <c r="AH11" s="146">
        <f t="shared" ca="1" si="9"/>
        <v>50</v>
      </c>
      <c r="AI11" s="146">
        <f t="shared" ca="1" si="10"/>
        <v>50</v>
      </c>
      <c r="AJ11" s="146">
        <f t="shared" ca="1" si="11"/>
        <v>50</v>
      </c>
      <c r="AK11" s="146">
        <f t="shared" ca="1" si="12"/>
        <v>33.333333333333336</v>
      </c>
      <c r="AP11" s="147">
        <f t="shared" ca="1" si="2"/>
        <v>50</v>
      </c>
      <c r="AQ11" s="147">
        <f t="shared" ca="1" si="3"/>
        <v>50</v>
      </c>
      <c r="AR11" s="147">
        <f t="shared" ca="1" si="4"/>
        <v>50</v>
      </c>
      <c r="AS11" s="147">
        <f t="shared" ca="1" si="5"/>
        <v>33.333333333333336</v>
      </c>
      <c r="AT11" s="28">
        <f t="shared" ca="1" si="13"/>
        <v>45.833333333333336</v>
      </c>
      <c r="AV11" s="1">
        <f>SUM(AY11:BJ11)</f>
        <v>5</v>
      </c>
      <c r="AX11" s="6" t="str">
        <f>IF(AU11="","",INDEX(tblTerritories!$S$5:$S$8,AU11))</f>
        <v/>
      </c>
      <c r="AY11" s="1">
        <f>INDEX(tblTerritories!$AA$3:$AG$14,AY10,$AW10)</f>
        <v>0</v>
      </c>
      <c r="AZ11" s="1">
        <f>INDEX(tblTerritories!$AA$3:$AG$14,AZ10,$AW10)</f>
        <v>0</v>
      </c>
      <c r="BA11" s="1">
        <f>INDEX(tblTerritories!$AA$3:$AG$14,BA10,$AW10)</f>
        <v>0</v>
      </c>
      <c r="BB11" s="1">
        <f>INDEX(tblTerritories!$AA$3:$AG$14,BB10,$AW10)</f>
        <v>1</v>
      </c>
      <c r="BC11" s="1">
        <f>INDEX(tblTerritories!$AA$3:$AG$14,BC10,$AW10)</f>
        <v>1</v>
      </c>
      <c r="BD11" s="1">
        <f>INDEX(tblTerritories!$AA$3:$AG$14,BD10,$AW10)</f>
        <v>0</v>
      </c>
      <c r="BE11" s="1">
        <f>INDEX(tblTerritories!$AA$3:$AG$14,BE10,$AW10)</f>
        <v>1</v>
      </c>
      <c r="BF11" s="1">
        <f>INDEX(tblTerritories!$AA$3:$AG$14,BF10,$AW10)</f>
        <v>1</v>
      </c>
      <c r="BG11" s="1">
        <f>INDEX(tblTerritories!$AA$3:$AG$14,BG10,$AW10)</f>
        <v>0</v>
      </c>
      <c r="BH11" s="1">
        <f>INDEX(tblTerritories!$AA$3:$AG$14,BH10,$AW10)</f>
        <v>0</v>
      </c>
      <c r="BI11" s="1">
        <f>INDEX(tblTerritories!$AA$3:$AG$14,BI10,$AW10)</f>
        <v>0</v>
      </c>
      <c r="BJ11" s="1">
        <f>INDEX(tblTerritories!$AA$3:$AG$14,BJ10,$AW10)</f>
        <v>1</v>
      </c>
      <c r="BT11" s="194"/>
      <c r="BU11" s="194"/>
    </row>
    <row r="12" spans="1:73">
      <c r="A12" s="1">
        <v>12</v>
      </c>
      <c r="B12" s="1" t="str">
        <f>Scores!N15</f>
        <v xml:space="preserve">   1.2.3) 7.¿Se ha identificado la población de recicladores de base a través de un censo?</v>
      </c>
      <c r="C12" s="1">
        <f ca="1">ROUND(Scores!P15,$B$1)</f>
        <v>0</v>
      </c>
      <c r="D12" s="1">
        <f ca="1">ROUND(Scores!Q15,$B$1)</f>
        <v>100</v>
      </c>
      <c r="E12" s="1">
        <f ca="1">ROUND(Scores!R15,$B$1)</f>
        <v>0</v>
      </c>
      <c r="F12" s="1">
        <f ca="1">ROUND(Scores!S15,$B$1)</f>
        <v>0</v>
      </c>
      <c r="G12" s="1">
        <f ca="1">ROUND(Scores!T15,$B$1)</f>
        <v>0</v>
      </c>
      <c r="H12" s="1">
        <f ca="1">ROUND(Scores!U15,$B$1)</f>
        <v>100</v>
      </c>
      <c r="I12" s="1">
        <f ca="1">ROUND(Scores!V15,$B$1)</f>
        <v>100</v>
      </c>
      <c r="J12" s="1">
        <f ca="1">ROUND(Scores!W15,$B$1)</f>
        <v>100</v>
      </c>
      <c r="K12" s="1">
        <f ca="1">ROUND(Scores!X15,$B$1)</f>
        <v>0</v>
      </c>
      <c r="L12" s="1">
        <f ca="1">ROUND(Scores!Y15,$B$1)</f>
        <v>100</v>
      </c>
      <c r="M12" s="1">
        <f ca="1">ROUND(Scores!Z15,$B$1)</f>
        <v>0</v>
      </c>
      <c r="N12" s="1">
        <f ca="1">ROUND(Scores!AA15,$B$1)</f>
        <v>0</v>
      </c>
      <c r="O12" s="1">
        <f ca="1">ROUND(Scores!AB15,$B$1)</f>
        <v>0</v>
      </c>
      <c r="P12" s="1">
        <f>ROUND(Scores!AC15,$B$1)</f>
        <v>0</v>
      </c>
      <c r="Q12" s="1">
        <f>ROUND(Scores!AD15,$B$1)</f>
        <v>0</v>
      </c>
      <c r="R12" s="1">
        <f>ROUND(Scores!AE15,$B$1)</f>
        <v>0</v>
      </c>
      <c r="S12" s="1">
        <f>ROUND(Scores!AF15,$B$1)</f>
        <v>0</v>
      </c>
      <c r="T12" s="1">
        <f>ROUND(Scores!AG15,$B$1)</f>
        <v>0</v>
      </c>
      <c r="U12" s="1">
        <f>ROUND(Scores!AH15,$B$1)</f>
        <v>0</v>
      </c>
      <c r="V12" s="1">
        <f>ROUND(Scores!AI15,$B$1)</f>
        <v>0</v>
      </c>
      <c r="W12" s="1">
        <f>ROUND(Scores!AJ15,$B$1)</f>
        <v>0</v>
      </c>
      <c r="X12" s="1">
        <f>ROUND(Scores!AK15,$B$1)</f>
        <v>0</v>
      </c>
      <c r="Z12" s="1">
        <f t="shared" ca="1" si="6"/>
        <v>41.666666666666664</v>
      </c>
      <c r="AA12" s="1">
        <f t="shared" ca="1" si="7"/>
        <v>41.666666666666664</v>
      </c>
      <c r="AG12" s="146">
        <f t="shared" ca="1" si="8"/>
        <v>41.666666666666664</v>
      </c>
      <c r="AH12" s="146">
        <f t="shared" ca="1" si="9"/>
        <v>25</v>
      </c>
      <c r="AI12" s="146">
        <f t="shared" ca="1" si="10"/>
        <v>66.666666666666671</v>
      </c>
      <c r="AJ12" s="146">
        <f t="shared" ca="1" si="11"/>
        <v>100</v>
      </c>
      <c r="AK12" s="146">
        <f t="shared" ca="1" si="12"/>
        <v>0</v>
      </c>
      <c r="AP12" s="147">
        <f t="shared" ca="1" si="2"/>
        <v>25</v>
      </c>
      <c r="AQ12" s="147">
        <f t="shared" ca="1" si="3"/>
        <v>66.666666666666671</v>
      </c>
      <c r="AR12" s="147">
        <f t="shared" ca="1" si="4"/>
        <v>100</v>
      </c>
      <c r="AS12" s="147">
        <f t="shared" ca="1" si="5"/>
        <v>0</v>
      </c>
      <c r="AT12" s="28">
        <f t="shared" ca="1" si="13"/>
        <v>41.666666666666664</v>
      </c>
      <c r="AU12" s="194"/>
      <c r="AV12" s="98"/>
      <c r="AW12" s="194"/>
      <c r="AX12" s="194"/>
      <c r="AY12" s="194"/>
      <c r="AZ12" s="194"/>
      <c r="BA12" s="194"/>
      <c r="BB12" s="194"/>
      <c r="BC12" s="194"/>
      <c r="BD12" s="194"/>
      <c r="BE12" s="194"/>
      <c r="BF12" s="194"/>
      <c r="BG12" s="194"/>
      <c r="BH12" s="194"/>
      <c r="BI12" s="194"/>
      <c r="BJ12" s="194"/>
      <c r="BK12" s="194"/>
      <c r="BL12" s="194"/>
      <c r="BM12" s="194"/>
      <c r="BN12" s="194"/>
      <c r="BO12" s="194"/>
      <c r="BP12" s="194"/>
      <c r="BQ12" s="194"/>
      <c r="BR12" s="194"/>
      <c r="BS12" s="194"/>
      <c r="BT12" s="194"/>
      <c r="BU12" s="194"/>
    </row>
    <row r="13" spans="1:73">
      <c r="A13" s="1">
        <v>13</v>
      </c>
      <c r="B13" s="1" t="str">
        <f>Scores!N16</f>
        <v xml:space="preserve">   1.2.4) 8.¿Cuál es el grado de transparencia e inclusión en los procesos de licitación para el reciclaje?</v>
      </c>
      <c r="C13" s="1">
        <f ca="1">ROUND(Scores!P16,$B$1)</f>
        <v>50</v>
      </c>
      <c r="D13" s="1">
        <f ca="1">ROUND(Scores!Q16,$B$1)</f>
        <v>50</v>
      </c>
      <c r="E13" s="1">
        <f ca="1">ROUND(Scores!R16,$B$1)</f>
        <v>50</v>
      </c>
      <c r="F13" s="1">
        <f ca="1">ROUND(Scores!S16,$B$1)</f>
        <v>0</v>
      </c>
      <c r="G13" s="1">
        <f ca="1">ROUND(Scores!T16,$B$1)</f>
        <v>0</v>
      </c>
      <c r="H13" s="1">
        <f ca="1">ROUND(Scores!U16,$B$1)</f>
        <v>50</v>
      </c>
      <c r="I13" s="1">
        <f ca="1">ROUND(Scores!V16,$B$1)</f>
        <v>0</v>
      </c>
      <c r="J13" s="1">
        <f ca="1">ROUND(Scores!W16,$B$1)</f>
        <v>0</v>
      </c>
      <c r="K13" s="1">
        <f ca="1">ROUND(Scores!X16,$B$1)</f>
        <v>0</v>
      </c>
      <c r="L13" s="1">
        <f ca="1">ROUND(Scores!Y16,$B$1)</f>
        <v>50</v>
      </c>
      <c r="M13" s="1">
        <f ca="1">ROUND(Scores!Z16,$B$1)</f>
        <v>50</v>
      </c>
      <c r="N13" s="1">
        <f ca="1">ROUND(Scores!AA16,$B$1)</f>
        <v>0</v>
      </c>
      <c r="O13" s="1">
        <f ca="1">ROUND(Scores!AB16,$B$1)</f>
        <v>50</v>
      </c>
      <c r="P13" s="1">
        <f>ROUND(Scores!AC16,$B$1)</f>
        <v>0</v>
      </c>
      <c r="Q13" s="1">
        <f>ROUND(Scores!AD16,$B$1)</f>
        <v>0</v>
      </c>
      <c r="R13" s="1">
        <f>ROUND(Scores!AE16,$B$1)</f>
        <v>0</v>
      </c>
      <c r="S13" s="1">
        <f>ROUND(Scores!AF16,$B$1)</f>
        <v>0</v>
      </c>
      <c r="T13" s="1">
        <f>ROUND(Scores!AG16,$B$1)</f>
        <v>0</v>
      </c>
      <c r="U13" s="1">
        <f>ROUND(Scores!AH16,$B$1)</f>
        <v>0</v>
      </c>
      <c r="V13" s="1">
        <f>ROUND(Scores!AI16,$B$1)</f>
        <v>0</v>
      </c>
      <c r="W13" s="1">
        <f>ROUND(Scores!AJ16,$B$1)</f>
        <v>0</v>
      </c>
      <c r="X13" s="1">
        <f>ROUND(Scores!AK16,$B$1)</f>
        <v>0</v>
      </c>
      <c r="Z13" s="1">
        <f t="shared" ca="1" si="6"/>
        <v>25</v>
      </c>
      <c r="AA13" s="1">
        <f t="shared" ca="1" si="7"/>
        <v>25</v>
      </c>
      <c r="AG13" s="146">
        <f t="shared" ca="1" si="8"/>
        <v>25</v>
      </c>
      <c r="AH13" s="146">
        <f t="shared" ca="1" si="9"/>
        <v>25</v>
      </c>
      <c r="AI13" s="146">
        <f t="shared" ca="1" si="10"/>
        <v>16.666666666666668</v>
      </c>
      <c r="AJ13" s="146">
        <f t="shared" ca="1" si="11"/>
        <v>25</v>
      </c>
      <c r="AK13" s="146">
        <f t="shared" ca="1" si="12"/>
        <v>33.333333333333336</v>
      </c>
      <c r="AP13" s="147">
        <f t="shared" ca="1" si="2"/>
        <v>25</v>
      </c>
      <c r="AQ13" s="147">
        <f t="shared" ca="1" si="3"/>
        <v>16.666666666666668</v>
      </c>
      <c r="AR13" s="147">
        <f t="shared" ca="1" si="4"/>
        <v>25</v>
      </c>
      <c r="AS13" s="147">
        <f t="shared" ca="1" si="5"/>
        <v>33.333333333333336</v>
      </c>
      <c r="AT13" s="28">
        <f t="shared" ca="1" si="13"/>
        <v>25</v>
      </c>
      <c r="AU13" s="1">
        <v>8</v>
      </c>
      <c r="AW13" s="100">
        <v>4</v>
      </c>
      <c r="AX13" s="6" t="e">
        <f>IF(AU13="","",INDEX(tblTerritories!$S$5:$S$8,AU13))</f>
        <v>#REF!</v>
      </c>
      <c r="AY13" s="1">
        <v>1</v>
      </c>
      <c r="AZ13" s="1">
        <f t="shared" ref="AZ13:BJ13" si="17">AY13+1</f>
        <v>2</v>
      </c>
      <c r="BA13" s="1">
        <f t="shared" si="17"/>
        <v>3</v>
      </c>
      <c r="BB13" s="1">
        <f t="shared" si="17"/>
        <v>4</v>
      </c>
      <c r="BC13" s="1">
        <f t="shared" si="17"/>
        <v>5</v>
      </c>
      <c r="BD13" s="1">
        <f t="shared" si="17"/>
        <v>6</v>
      </c>
      <c r="BE13" s="1">
        <f t="shared" si="17"/>
        <v>7</v>
      </c>
      <c r="BF13" s="1">
        <f t="shared" si="17"/>
        <v>8</v>
      </c>
      <c r="BG13" s="1">
        <f t="shared" si="17"/>
        <v>9</v>
      </c>
      <c r="BH13" s="1">
        <f t="shared" si="17"/>
        <v>10</v>
      </c>
      <c r="BI13" s="1">
        <f t="shared" si="17"/>
        <v>11</v>
      </c>
      <c r="BJ13" s="1">
        <f t="shared" si="17"/>
        <v>12</v>
      </c>
    </row>
    <row r="14" spans="1:73">
      <c r="A14" s="1">
        <v>14</v>
      </c>
      <c r="B14" s="1" t="str">
        <f>Scores!N17</f>
        <v xml:space="preserve">   1.2.5) 9.¿La normativa/ estrategia municipal de residuos sólidos: fue desarrollada de manera participativa?</v>
      </c>
      <c r="C14" s="1">
        <f ca="1">ROUND(Scores!P17,$B$1)</f>
        <v>100</v>
      </c>
      <c r="D14" s="1">
        <f ca="1">ROUND(Scores!Q17,$B$1)</f>
        <v>50</v>
      </c>
      <c r="E14" s="1">
        <f ca="1">ROUND(Scores!R17,$B$1)</f>
        <v>100</v>
      </c>
      <c r="F14" s="1">
        <f ca="1">ROUND(Scores!S17,$B$1)</f>
        <v>0</v>
      </c>
      <c r="G14" s="1">
        <f ca="1">ROUND(Scores!T17,$B$1)</f>
        <v>0</v>
      </c>
      <c r="H14" s="1">
        <f ca="1">ROUND(Scores!U17,$B$1)</f>
        <v>50</v>
      </c>
      <c r="I14" s="1">
        <f ca="1">ROUND(Scores!V17,$B$1)</f>
        <v>50</v>
      </c>
      <c r="J14" s="1">
        <f ca="1">ROUND(Scores!W17,$B$1)</f>
        <v>50</v>
      </c>
      <c r="K14" s="1">
        <f ca="1">ROUND(Scores!X17,$B$1)</f>
        <v>0</v>
      </c>
      <c r="L14" s="1">
        <f ca="1">ROUND(Scores!Y17,$B$1)</f>
        <v>100</v>
      </c>
      <c r="M14" s="1">
        <f ca="1">ROUND(Scores!Z17,$B$1)</f>
        <v>0</v>
      </c>
      <c r="N14" s="1">
        <f ca="1">ROUND(Scores!AA17,$B$1)</f>
        <v>50</v>
      </c>
      <c r="O14" s="1">
        <f ca="1">ROUND(Scores!AB17,$B$1)</f>
        <v>0</v>
      </c>
      <c r="P14" s="1">
        <f>ROUND(Scores!AC17,$B$1)</f>
        <v>0</v>
      </c>
      <c r="Q14" s="1">
        <f>ROUND(Scores!AD17,$B$1)</f>
        <v>0</v>
      </c>
      <c r="R14" s="1">
        <f>ROUND(Scores!AE17,$B$1)</f>
        <v>0</v>
      </c>
      <c r="S14" s="1">
        <f>ROUND(Scores!AF17,$B$1)</f>
        <v>0</v>
      </c>
      <c r="T14" s="1">
        <f>ROUND(Scores!AG17,$B$1)</f>
        <v>0</v>
      </c>
      <c r="U14" s="1">
        <f>ROUND(Scores!AH17,$B$1)</f>
        <v>0</v>
      </c>
      <c r="V14" s="1">
        <f>ROUND(Scores!AI17,$B$1)</f>
        <v>0</v>
      </c>
      <c r="W14" s="1">
        <f>ROUND(Scores!AJ17,$B$1)</f>
        <v>0</v>
      </c>
      <c r="X14" s="1">
        <f>ROUND(Scores!AK17,$B$1)</f>
        <v>0</v>
      </c>
      <c r="Z14" s="1">
        <f t="shared" ca="1" si="6"/>
        <v>45.833333333333336</v>
      </c>
      <c r="AA14" s="1">
        <f t="shared" ca="1" si="7"/>
        <v>45.833333333333336</v>
      </c>
      <c r="AG14" s="146">
        <f t="shared" ca="1" si="8"/>
        <v>45.833333333333336</v>
      </c>
      <c r="AH14" s="146">
        <f t="shared" ca="1" si="9"/>
        <v>62.5</v>
      </c>
      <c r="AI14" s="146">
        <f t="shared" ca="1" si="10"/>
        <v>33.333333333333336</v>
      </c>
      <c r="AJ14" s="146">
        <f t="shared" ca="1" si="11"/>
        <v>50</v>
      </c>
      <c r="AK14" s="146">
        <f t="shared" ca="1" si="12"/>
        <v>33.333333333333336</v>
      </c>
      <c r="AP14" s="147">
        <f t="shared" ca="1" si="2"/>
        <v>62.5</v>
      </c>
      <c r="AQ14" s="147">
        <f t="shared" ca="1" si="3"/>
        <v>33.333333333333336</v>
      </c>
      <c r="AR14" s="147">
        <f t="shared" ca="1" si="4"/>
        <v>50</v>
      </c>
      <c r="AS14" s="147">
        <f t="shared" ca="1" si="5"/>
        <v>33.333333333333336</v>
      </c>
      <c r="AT14" s="28">
        <f t="shared" ca="1" si="13"/>
        <v>45.833333333333336</v>
      </c>
      <c r="AV14" s="1">
        <f>SUM(AY14:BJ14)</f>
        <v>0</v>
      </c>
      <c r="AX14" s="6" t="str">
        <f>IF(AU14="","",INDEX(tblTerritories!$S$5:$S$8,AU14))</f>
        <v/>
      </c>
      <c r="AY14" s="1">
        <f>INDEX(tblTerritories!$AA$3:$AG$14,AY13,$AW13)</f>
        <v>0</v>
      </c>
      <c r="AZ14" s="1">
        <f>INDEX(tblTerritories!$AA$3:$AG$14,AZ13,$AW13)</f>
        <v>0</v>
      </c>
      <c r="BA14" s="1">
        <f>INDEX(tblTerritories!$AA$3:$AG$14,BA13,$AW13)</f>
        <v>0</v>
      </c>
      <c r="BB14" s="1">
        <f>INDEX(tblTerritories!$AA$3:$AG$14,BB13,$AW13)</f>
        <v>0</v>
      </c>
      <c r="BC14" s="1">
        <f>INDEX(tblTerritories!$AA$3:$AG$14,BC13,$AW13)</f>
        <v>0</v>
      </c>
      <c r="BD14" s="1">
        <f>INDEX(tblTerritories!$AA$3:$AG$14,BD13,$AW13)</f>
        <v>0</v>
      </c>
      <c r="BE14" s="1">
        <f>INDEX(tblTerritories!$AA$3:$AG$14,BE13,$AW13)</f>
        <v>0</v>
      </c>
      <c r="BF14" s="1">
        <f>INDEX(tblTerritories!$AA$3:$AG$14,BF13,$AW13)</f>
        <v>0</v>
      </c>
      <c r="BG14" s="1">
        <f>INDEX(tblTerritories!$AA$3:$AG$14,BG13,$AW13)</f>
        <v>0</v>
      </c>
      <c r="BH14" s="1">
        <f>INDEX(tblTerritories!$AA$3:$AG$14,BH13,$AW13)</f>
        <v>0</v>
      </c>
      <c r="BI14" s="1">
        <f>INDEX(tblTerritories!$AA$3:$AG$14,BI13,$AW13)</f>
        <v>0</v>
      </c>
      <c r="BJ14" s="1">
        <f>INDEX(tblTerritories!$AA$3:$AG$14,BJ13,$AW13)</f>
        <v>0</v>
      </c>
    </row>
    <row r="15" spans="1:73">
      <c r="A15" s="1">
        <v>15</v>
      </c>
      <c r="B15" s="1" t="str">
        <f>Scores!N18</f>
        <v xml:space="preserve">   1.2.6) 10.¿Hay programas de formación/capacitación a nivel municipal?</v>
      </c>
      <c r="C15" s="1">
        <f ca="1">ROUND(Scores!P18,$B$1)</f>
        <v>0</v>
      </c>
      <c r="D15" s="1">
        <f ca="1">ROUND(Scores!Q18,$B$1)</f>
        <v>100</v>
      </c>
      <c r="E15" s="1">
        <f ca="1">ROUND(Scores!R18,$B$1)</f>
        <v>33.299999999999997</v>
      </c>
      <c r="F15" s="1">
        <f ca="1">ROUND(Scores!S18,$B$1)</f>
        <v>0</v>
      </c>
      <c r="G15" s="1">
        <f ca="1">ROUND(Scores!T18,$B$1)</f>
        <v>33.299999999999997</v>
      </c>
      <c r="H15" s="1">
        <f ca="1">ROUND(Scores!U18,$B$1)</f>
        <v>100</v>
      </c>
      <c r="I15" s="1">
        <f ca="1">ROUND(Scores!V18,$B$1)</f>
        <v>33.299999999999997</v>
      </c>
      <c r="J15" s="1">
        <f ca="1">ROUND(Scores!W18,$B$1)</f>
        <v>0</v>
      </c>
      <c r="K15" s="1">
        <f ca="1">ROUND(Scores!X18,$B$1)</f>
        <v>33.299999999999997</v>
      </c>
      <c r="L15" s="1">
        <f ca="1">ROUND(Scores!Y18,$B$1)</f>
        <v>100</v>
      </c>
      <c r="M15" s="1">
        <f ca="1">ROUND(Scores!Z18,$B$1)</f>
        <v>66.7</v>
      </c>
      <c r="N15" s="1">
        <f ca="1">ROUND(Scores!AA18,$B$1)</f>
        <v>100</v>
      </c>
      <c r="O15" s="1">
        <f ca="1">ROUND(Scores!AB18,$B$1)</f>
        <v>0</v>
      </c>
      <c r="P15" s="1">
        <f>ROUND(Scores!AC18,$B$1)</f>
        <v>0</v>
      </c>
      <c r="Q15" s="1">
        <f>ROUND(Scores!AD18,$B$1)</f>
        <v>0</v>
      </c>
      <c r="R15" s="1">
        <f>ROUND(Scores!AE18,$B$1)</f>
        <v>0</v>
      </c>
      <c r="S15" s="1">
        <f>ROUND(Scores!AF18,$B$1)</f>
        <v>0</v>
      </c>
      <c r="T15" s="1">
        <f>ROUND(Scores!AG18,$B$1)</f>
        <v>0</v>
      </c>
      <c r="U15" s="1">
        <f>ROUND(Scores!AH18,$B$1)</f>
        <v>0</v>
      </c>
      <c r="V15" s="1">
        <f>ROUND(Scores!AI18,$B$1)</f>
        <v>0</v>
      </c>
      <c r="W15" s="1">
        <f>ROUND(Scores!AJ18,$B$1)</f>
        <v>0</v>
      </c>
      <c r="X15" s="1">
        <f>ROUND(Scores!AK18,$B$1)</f>
        <v>0</v>
      </c>
      <c r="Z15" s="1">
        <f t="shared" ca="1" si="6"/>
        <v>49.991666666666674</v>
      </c>
      <c r="AA15" s="1">
        <f t="shared" ca="1" si="7"/>
        <v>49.991666666666674</v>
      </c>
      <c r="AG15" s="146">
        <f t="shared" ca="1" si="8"/>
        <v>49.991666666666674</v>
      </c>
      <c r="AH15" s="146">
        <f t="shared" ca="1" si="9"/>
        <v>66.650000000000006</v>
      </c>
      <c r="AI15" s="146">
        <f t="shared" ca="1" si="10"/>
        <v>55.533333333333339</v>
      </c>
      <c r="AJ15" s="146">
        <f t="shared" ca="1" si="11"/>
        <v>50</v>
      </c>
      <c r="AK15" s="146">
        <f t="shared" ca="1" si="12"/>
        <v>22.233333333333334</v>
      </c>
      <c r="AP15" s="147">
        <f t="shared" ca="1" si="2"/>
        <v>66.650000000000006</v>
      </c>
      <c r="AQ15" s="147">
        <f t="shared" ca="1" si="3"/>
        <v>55.533333333333339</v>
      </c>
      <c r="AR15" s="147">
        <f t="shared" ca="1" si="4"/>
        <v>50</v>
      </c>
      <c r="AS15" s="147">
        <f t="shared" ca="1" si="5"/>
        <v>22.233333333333334</v>
      </c>
      <c r="AT15" s="28">
        <f t="shared" ca="1" si="13"/>
        <v>49.991666666666674</v>
      </c>
      <c r="AX15" s="6" t="str">
        <f>IF(AU15="","",INDEX(tblTerritories!$S$5:$S$8,AU15))</f>
        <v/>
      </c>
    </row>
    <row r="16" spans="1:73">
      <c r="A16" s="1">
        <v>16</v>
      </c>
      <c r="B16" s="1" t="str">
        <f>Scores!N19</f>
        <v xml:space="preserve">   1.2.7) 11.¿Existen incentivos, programas y/o acciones concretas para el fortalecimiento de la ocupación del reciclador de base?</v>
      </c>
      <c r="C16" s="1">
        <f ca="1">ROUND(Scores!P19,$B$1)</f>
        <v>50</v>
      </c>
      <c r="D16" s="1">
        <f ca="1">ROUND(Scores!Q19,$B$1)</f>
        <v>50</v>
      </c>
      <c r="E16" s="1">
        <f ca="1">ROUND(Scores!R19,$B$1)</f>
        <v>100</v>
      </c>
      <c r="F16" s="1">
        <f ca="1">ROUND(Scores!S19,$B$1)</f>
        <v>50</v>
      </c>
      <c r="G16" s="1">
        <f ca="1">ROUND(Scores!T19,$B$1)</f>
        <v>0</v>
      </c>
      <c r="H16" s="1">
        <f ca="1">ROUND(Scores!U19,$B$1)</f>
        <v>100</v>
      </c>
      <c r="I16" s="1">
        <f ca="1">ROUND(Scores!V19,$B$1)</f>
        <v>50</v>
      </c>
      <c r="J16" s="1">
        <f ca="1">ROUND(Scores!W19,$B$1)</f>
        <v>50</v>
      </c>
      <c r="K16" s="1">
        <f ca="1">ROUND(Scores!X19,$B$1)</f>
        <v>0</v>
      </c>
      <c r="L16" s="1">
        <f ca="1">ROUND(Scores!Y19,$B$1)</f>
        <v>100</v>
      </c>
      <c r="M16" s="1">
        <f ca="1">ROUND(Scores!Z19,$B$1)</f>
        <v>100</v>
      </c>
      <c r="N16" s="1">
        <f ca="1">ROUND(Scores!AA19,$B$1)</f>
        <v>50</v>
      </c>
      <c r="O16" s="1">
        <f ca="1">ROUND(Scores!AB19,$B$1)</f>
        <v>0</v>
      </c>
      <c r="P16" s="1">
        <f>ROUND(Scores!AC19,$B$1)</f>
        <v>0</v>
      </c>
      <c r="Q16" s="1">
        <f>ROUND(Scores!AD19,$B$1)</f>
        <v>0</v>
      </c>
      <c r="R16" s="1">
        <f>ROUND(Scores!AE19,$B$1)</f>
        <v>0</v>
      </c>
      <c r="S16" s="1">
        <f>ROUND(Scores!AF19,$B$1)</f>
        <v>0</v>
      </c>
      <c r="T16" s="1">
        <f>ROUND(Scores!AG19,$B$1)</f>
        <v>0</v>
      </c>
      <c r="U16" s="1">
        <f>ROUND(Scores!AH19,$B$1)</f>
        <v>0</v>
      </c>
      <c r="V16" s="1">
        <f>ROUND(Scores!AI19,$B$1)</f>
        <v>0</v>
      </c>
      <c r="W16" s="1">
        <f>ROUND(Scores!AJ19,$B$1)</f>
        <v>0</v>
      </c>
      <c r="X16" s="1">
        <f>ROUND(Scores!AK19,$B$1)</f>
        <v>0</v>
      </c>
      <c r="Z16" s="1">
        <f t="shared" ca="1" si="6"/>
        <v>58.333333333333336</v>
      </c>
      <c r="AA16" s="1">
        <f t="shared" ca="1" si="7"/>
        <v>58.333333333333336</v>
      </c>
      <c r="AG16" s="146">
        <f t="shared" ca="1" si="8"/>
        <v>58.333333333333336</v>
      </c>
      <c r="AH16" s="146">
        <f t="shared" ca="1" si="9"/>
        <v>62.5</v>
      </c>
      <c r="AI16" s="146">
        <f t="shared" ca="1" si="10"/>
        <v>33.333333333333336</v>
      </c>
      <c r="AJ16" s="146">
        <f t="shared" ca="1" si="11"/>
        <v>75</v>
      </c>
      <c r="AK16" s="146">
        <f t="shared" ca="1" si="12"/>
        <v>66.666666666666671</v>
      </c>
      <c r="AP16" s="147">
        <f t="shared" ca="1" si="2"/>
        <v>62.5</v>
      </c>
      <c r="AQ16" s="147">
        <f t="shared" ca="1" si="3"/>
        <v>33.333333333333336</v>
      </c>
      <c r="AR16" s="147">
        <f t="shared" ca="1" si="4"/>
        <v>75</v>
      </c>
      <c r="AS16" s="147">
        <f t="shared" ca="1" si="5"/>
        <v>66.666666666666671</v>
      </c>
      <c r="AT16" s="28">
        <f t="shared" ca="1" si="13"/>
        <v>58.333333333333336</v>
      </c>
      <c r="AU16" s="1">
        <v>9</v>
      </c>
      <c r="AW16" s="100">
        <v>5</v>
      </c>
      <c r="AX16" s="6" t="e">
        <f>IF(AU16="","",INDEX(tblTerritories!$S$5:$S$8,AU16))</f>
        <v>#REF!</v>
      </c>
      <c r="AY16" s="1">
        <v>1</v>
      </c>
      <c r="AZ16" s="1">
        <f t="shared" ref="AZ16:BJ16" si="18">AY16+1</f>
        <v>2</v>
      </c>
      <c r="BA16" s="1">
        <f t="shared" si="18"/>
        <v>3</v>
      </c>
      <c r="BB16" s="1">
        <f t="shared" si="18"/>
        <v>4</v>
      </c>
      <c r="BC16" s="1">
        <f t="shared" si="18"/>
        <v>5</v>
      </c>
      <c r="BD16" s="1">
        <f t="shared" si="18"/>
        <v>6</v>
      </c>
      <c r="BE16" s="1">
        <f t="shared" si="18"/>
        <v>7</v>
      </c>
      <c r="BF16" s="1">
        <f t="shared" si="18"/>
        <v>8</v>
      </c>
      <c r="BG16" s="1">
        <f t="shared" si="18"/>
        <v>9</v>
      </c>
      <c r="BH16" s="1">
        <f t="shared" si="18"/>
        <v>10</v>
      </c>
      <c r="BI16" s="1">
        <f t="shared" si="18"/>
        <v>11</v>
      </c>
      <c r="BJ16" s="1">
        <f t="shared" si="18"/>
        <v>12</v>
      </c>
    </row>
    <row r="17" spans="1:62">
      <c r="A17" s="1">
        <v>17</v>
      </c>
      <c r="B17" s="1" t="str">
        <f>Scores!N20</f>
        <v xml:space="preserve">   1.2.8) 12.¿Existen incentivos de reciclaje para los usuarios? </v>
      </c>
      <c r="C17" s="1">
        <f ca="1">ROUND(Scores!P20,$B$1)</f>
        <v>0</v>
      </c>
      <c r="D17" s="1">
        <f ca="1">ROUND(Scores!Q20,$B$1)</f>
        <v>50</v>
      </c>
      <c r="E17" s="1">
        <f ca="1">ROUND(Scores!R20,$B$1)</f>
        <v>0</v>
      </c>
      <c r="F17" s="1">
        <f ca="1">ROUND(Scores!S20,$B$1)</f>
        <v>50</v>
      </c>
      <c r="G17" s="1">
        <f ca="1">ROUND(Scores!T20,$B$1)</f>
        <v>50</v>
      </c>
      <c r="H17" s="1">
        <f ca="1">ROUND(Scores!U20,$B$1)</f>
        <v>50</v>
      </c>
      <c r="I17" s="1">
        <f ca="1">ROUND(Scores!V20,$B$1)</f>
        <v>0</v>
      </c>
      <c r="J17" s="1">
        <f ca="1">ROUND(Scores!W20,$B$1)</f>
        <v>0</v>
      </c>
      <c r="K17" s="1">
        <f ca="1">ROUND(Scores!X20,$B$1)</f>
        <v>0</v>
      </c>
      <c r="L17" s="1">
        <f ca="1">ROUND(Scores!Y20,$B$1)</f>
        <v>0</v>
      </c>
      <c r="M17" s="1">
        <f ca="1">ROUND(Scores!Z20,$B$1)</f>
        <v>0</v>
      </c>
      <c r="N17" s="1">
        <f ca="1">ROUND(Scores!AA20,$B$1)</f>
        <v>50</v>
      </c>
      <c r="O17" s="1">
        <f ca="1">ROUND(Scores!AB20,$B$1)</f>
        <v>0</v>
      </c>
      <c r="P17" s="1">
        <f>ROUND(Scores!AC20,$B$1)</f>
        <v>0</v>
      </c>
      <c r="Q17" s="1">
        <f>ROUND(Scores!AD20,$B$1)</f>
        <v>0</v>
      </c>
      <c r="R17" s="1">
        <f>ROUND(Scores!AE20,$B$1)</f>
        <v>0</v>
      </c>
      <c r="S17" s="1">
        <f>ROUND(Scores!AF20,$B$1)</f>
        <v>0</v>
      </c>
      <c r="T17" s="1">
        <f>ROUND(Scores!AG20,$B$1)</f>
        <v>0</v>
      </c>
      <c r="U17" s="1">
        <f>ROUND(Scores!AH20,$B$1)</f>
        <v>0</v>
      </c>
      <c r="V17" s="1">
        <f>ROUND(Scores!AI20,$B$1)</f>
        <v>0</v>
      </c>
      <c r="W17" s="1">
        <f>ROUND(Scores!AJ20,$B$1)</f>
        <v>0</v>
      </c>
      <c r="X17" s="1">
        <f>ROUND(Scores!AK20,$B$1)</f>
        <v>0</v>
      </c>
      <c r="Z17" s="1">
        <f t="shared" ca="1" si="6"/>
        <v>20.833333333333332</v>
      </c>
      <c r="AA17" s="1">
        <f t="shared" ca="1" si="7"/>
        <v>20.833333333333332</v>
      </c>
      <c r="AG17" s="146">
        <f t="shared" ca="1" si="8"/>
        <v>20.833333333333332</v>
      </c>
      <c r="AH17" s="146">
        <f t="shared" ca="1" si="9"/>
        <v>25</v>
      </c>
      <c r="AI17" s="146">
        <f t="shared" ca="1" si="10"/>
        <v>16.666666666666668</v>
      </c>
      <c r="AJ17" s="146">
        <f t="shared" ca="1" si="11"/>
        <v>25</v>
      </c>
      <c r="AK17" s="146">
        <f t="shared" ca="1" si="12"/>
        <v>16.666666666666668</v>
      </c>
      <c r="AP17" s="147">
        <f t="shared" ca="1" si="2"/>
        <v>25</v>
      </c>
      <c r="AQ17" s="147">
        <f t="shared" ca="1" si="3"/>
        <v>16.666666666666668</v>
      </c>
      <c r="AR17" s="147">
        <f t="shared" ca="1" si="4"/>
        <v>25</v>
      </c>
      <c r="AS17" s="147">
        <f t="shared" ca="1" si="5"/>
        <v>16.666666666666668</v>
      </c>
      <c r="AT17" s="28">
        <f t="shared" ca="1" si="13"/>
        <v>20.833333333333332</v>
      </c>
      <c r="AV17" s="1">
        <f>SUM(AY17:BJ17)</f>
        <v>0</v>
      </c>
      <c r="AX17" s="6" t="str">
        <f>IF(AU17="","",INDEX(tblTerritories!$S$5:$S$8,AU17))</f>
        <v/>
      </c>
      <c r="AY17" s="1">
        <f>INDEX(tblTerritories!$AA$3:$AG$14,AY16,$AW16)</f>
        <v>0</v>
      </c>
      <c r="AZ17" s="1">
        <f>INDEX(tblTerritories!$AA$3:$AG$14,AZ16,$AW16)</f>
        <v>0</v>
      </c>
      <c r="BA17" s="1">
        <f>INDEX(tblTerritories!$AA$3:$AG$14,BA16,$AW16)</f>
        <v>0</v>
      </c>
      <c r="BB17" s="1">
        <f>INDEX(tblTerritories!$AA$3:$AG$14,BB16,$AW16)</f>
        <v>0</v>
      </c>
      <c r="BC17" s="1">
        <f>INDEX(tblTerritories!$AA$3:$AG$14,BC16,$AW16)</f>
        <v>0</v>
      </c>
      <c r="BD17" s="1">
        <f>INDEX(tblTerritories!$AA$3:$AG$14,BD16,$AW16)</f>
        <v>0</v>
      </c>
      <c r="BE17" s="1">
        <f>INDEX(tblTerritories!$AA$3:$AG$14,BE16,$AW16)</f>
        <v>0</v>
      </c>
      <c r="BF17" s="1">
        <f>INDEX(tblTerritories!$AA$3:$AG$14,BF16,$AW16)</f>
        <v>0</v>
      </c>
      <c r="BG17" s="1">
        <f>INDEX(tblTerritories!$AA$3:$AG$14,BG16,$AW16)</f>
        <v>0</v>
      </c>
      <c r="BH17" s="1">
        <f>INDEX(tblTerritories!$AA$3:$AG$14,BH16,$AW16)</f>
        <v>0</v>
      </c>
      <c r="BI17" s="1">
        <f>INDEX(tblTerritories!$AA$3:$AG$14,BI16,$AW16)</f>
        <v>0</v>
      </c>
      <c r="BJ17" s="1">
        <f>INDEX(tblTerritories!$AA$3:$AG$14,BJ16,$AW16)</f>
        <v>0</v>
      </c>
    </row>
    <row r="18" spans="1:62">
      <c r="A18" s="1">
        <v>18</v>
      </c>
      <c r="B18" s="1" t="str">
        <f>Scores!N21</f>
        <v xml:space="preserve">  1.3) Generación de información</v>
      </c>
      <c r="C18" s="1">
        <f ca="1">ROUND(Scores!P21,$B$1)</f>
        <v>25</v>
      </c>
      <c r="D18" s="1">
        <f ca="1">ROUND(Scores!Q21,$B$1)</f>
        <v>50</v>
      </c>
      <c r="E18" s="1">
        <f ca="1">ROUND(Scores!R21,$B$1)</f>
        <v>25</v>
      </c>
      <c r="F18" s="1">
        <f ca="1">ROUND(Scores!S21,$B$1)</f>
        <v>0</v>
      </c>
      <c r="G18" s="1">
        <f ca="1">ROUND(Scores!T21,$B$1)</f>
        <v>25</v>
      </c>
      <c r="H18" s="1">
        <f ca="1">ROUND(Scores!U21,$B$1)</f>
        <v>50</v>
      </c>
      <c r="I18" s="1">
        <f ca="1">ROUND(Scores!V21,$B$1)</f>
        <v>25</v>
      </c>
      <c r="J18" s="1">
        <f ca="1">ROUND(Scores!W21,$B$1)</f>
        <v>25</v>
      </c>
      <c r="K18" s="1">
        <f ca="1">ROUND(Scores!X21,$B$1)</f>
        <v>25</v>
      </c>
      <c r="L18" s="1">
        <f ca="1">ROUND(Scores!Y21,$B$1)</f>
        <v>50</v>
      </c>
      <c r="M18" s="1">
        <f ca="1">ROUND(Scores!Z21,$B$1)</f>
        <v>50</v>
      </c>
      <c r="N18" s="1">
        <f ca="1">ROUND(Scores!AA21,$B$1)</f>
        <v>25</v>
      </c>
      <c r="O18" s="1">
        <f ca="1">ROUND(Scores!AB21,$B$1)</f>
        <v>0</v>
      </c>
      <c r="P18" s="1">
        <f>ROUND(Scores!AC21,$B$1)</f>
        <v>0</v>
      </c>
      <c r="Q18" s="1">
        <f>ROUND(Scores!AD21,$B$1)</f>
        <v>0</v>
      </c>
      <c r="R18" s="1">
        <f>ROUND(Scores!AE21,$B$1)</f>
        <v>0</v>
      </c>
      <c r="S18" s="1">
        <f>ROUND(Scores!AF21,$B$1)</f>
        <v>0</v>
      </c>
      <c r="T18" s="1">
        <f>ROUND(Scores!AG21,$B$1)</f>
        <v>0</v>
      </c>
      <c r="U18" s="1">
        <f>ROUND(Scores!AH21,$B$1)</f>
        <v>0</v>
      </c>
      <c r="V18" s="1">
        <f>ROUND(Scores!AI21,$B$1)</f>
        <v>0</v>
      </c>
      <c r="W18" s="1">
        <f>ROUND(Scores!AJ21,$B$1)</f>
        <v>0</v>
      </c>
      <c r="X18" s="1">
        <f>ROUND(Scores!AK21,$B$1)</f>
        <v>0</v>
      </c>
      <c r="Z18" s="1">
        <f t="shared" ca="1" si="6"/>
        <v>31.25</v>
      </c>
      <c r="AA18" s="1">
        <f t="shared" ca="1" si="7"/>
        <v>31.25</v>
      </c>
      <c r="AG18" s="146">
        <f t="shared" ca="1" si="8"/>
        <v>31.25</v>
      </c>
      <c r="AH18" s="146">
        <f t="shared" ca="1" si="9"/>
        <v>31.25</v>
      </c>
      <c r="AI18" s="146">
        <f t="shared" ca="1" si="10"/>
        <v>33.333333333333336</v>
      </c>
      <c r="AJ18" s="146">
        <f t="shared" ca="1" si="11"/>
        <v>37.5</v>
      </c>
      <c r="AK18" s="146">
        <f t="shared" ca="1" si="12"/>
        <v>25</v>
      </c>
      <c r="AP18" s="147">
        <f t="shared" ca="1" si="2"/>
        <v>31.25</v>
      </c>
      <c r="AQ18" s="147">
        <f t="shared" ca="1" si="3"/>
        <v>33.333333333333336</v>
      </c>
      <c r="AR18" s="147">
        <f t="shared" ca="1" si="4"/>
        <v>37.5</v>
      </c>
      <c r="AS18" s="147">
        <f t="shared" ca="1" si="5"/>
        <v>25</v>
      </c>
      <c r="AT18" s="28">
        <f t="shared" ca="1" si="13"/>
        <v>31.25</v>
      </c>
      <c r="AX18" s="6" t="str">
        <f>IF(AU18="","",INDEX(tblTerritories!$S$5:$S$8,AU18))</f>
        <v/>
      </c>
    </row>
    <row r="19" spans="1:62">
      <c r="A19" s="1">
        <v>19</v>
      </c>
      <c r="B19" s="1" t="str">
        <f>Scores!N22</f>
        <v xml:space="preserve">   1.3.1) 13.¿Hay un sistema municipal de recolección de información de reciclaje inclusivo?</v>
      </c>
      <c r="C19" s="1">
        <f ca="1">ROUND(Scores!P22,$B$1)</f>
        <v>0</v>
      </c>
      <c r="D19" s="1">
        <f ca="1">ROUND(Scores!Q22,$B$1)</f>
        <v>50</v>
      </c>
      <c r="E19" s="1">
        <f ca="1">ROUND(Scores!R22,$B$1)</f>
        <v>0</v>
      </c>
      <c r="F19" s="1">
        <f ca="1">ROUND(Scores!S22,$B$1)</f>
        <v>0</v>
      </c>
      <c r="G19" s="1">
        <f ca="1">ROUND(Scores!T22,$B$1)</f>
        <v>0</v>
      </c>
      <c r="H19" s="1">
        <f ca="1">ROUND(Scores!U22,$B$1)</f>
        <v>50</v>
      </c>
      <c r="I19" s="1">
        <f ca="1">ROUND(Scores!V22,$B$1)</f>
        <v>0</v>
      </c>
      <c r="J19" s="1">
        <f ca="1">ROUND(Scores!W22,$B$1)</f>
        <v>0</v>
      </c>
      <c r="K19" s="1">
        <f ca="1">ROUND(Scores!X22,$B$1)</f>
        <v>0</v>
      </c>
      <c r="L19" s="1">
        <f ca="1">ROUND(Scores!Y22,$B$1)</f>
        <v>50</v>
      </c>
      <c r="M19" s="1">
        <f ca="1">ROUND(Scores!Z22,$B$1)</f>
        <v>0</v>
      </c>
      <c r="N19" s="1">
        <f ca="1">ROUND(Scores!AA22,$B$1)</f>
        <v>0</v>
      </c>
      <c r="O19" s="1">
        <f ca="1">ROUND(Scores!AB22,$B$1)</f>
        <v>0</v>
      </c>
      <c r="P19" s="1">
        <f>ROUND(Scores!AC22,$B$1)</f>
        <v>0</v>
      </c>
      <c r="Q19" s="1">
        <f>ROUND(Scores!AD22,$B$1)</f>
        <v>0</v>
      </c>
      <c r="R19" s="1">
        <f>ROUND(Scores!AE22,$B$1)</f>
        <v>0</v>
      </c>
      <c r="S19" s="1">
        <f>ROUND(Scores!AF22,$B$1)</f>
        <v>0</v>
      </c>
      <c r="T19" s="1">
        <f>ROUND(Scores!AG22,$B$1)</f>
        <v>0</v>
      </c>
      <c r="U19" s="1">
        <f>ROUND(Scores!AH22,$B$1)</f>
        <v>0</v>
      </c>
      <c r="V19" s="1">
        <f>ROUND(Scores!AI22,$B$1)</f>
        <v>0</v>
      </c>
      <c r="W19" s="1">
        <f>ROUND(Scores!AJ22,$B$1)</f>
        <v>0</v>
      </c>
      <c r="X19" s="1">
        <f>ROUND(Scores!AK22,$B$1)</f>
        <v>0</v>
      </c>
      <c r="Z19" s="1">
        <f t="shared" ca="1" si="6"/>
        <v>12.5</v>
      </c>
      <c r="AA19" s="1">
        <f t="shared" ca="1" si="7"/>
        <v>12.5</v>
      </c>
      <c r="AG19" s="146">
        <f t="shared" ca="1" si="8"/>
        <v>12.5</v>
      </c>
      <c r="AH19" s="146">
        <f t="shared" ca="1" si="9"/>
        <v>12.5</v>
      </c>
      <c r="AI19" s="146">
        <f t="shared" ca="1" si="10"/>
        <v>16.666666666666668</v>
      </c>
      <c r="AJ19" s="146">
        <f t="shared" ca="1" si="11"/>
        <v>25</v>
      </c>
      <c r="AK19" s="146">
        <f t="shared" ca="1" si="12"/>
        <v>0</v>
      </c>
      <c r="AP19" s="147">
        <f t="shared" ca="1" si="2"/>
        <v>12.5</v>
      </c>
      <c r="AQ19" s="147">
        <f t="shared" ca="1" si="3"/>
        <v>16.666666666666668</v>
      </c>
      <c r="AR19" s="147">
        <f t="shared" ca="1" si="4"/>
        <v>25</v>
      </c>
      <c r="AS19" s="147">
        <f t="shared" ca="1" si="5"/>
        <v>0</v>
      </c>
      <c r="AT19" s="28">
        <f t="shared" ca="1" si="13"/>
        <v>12.5</v>
      </c>
      <c r="AU19" s="1">
        <v>10</v>
      </c>
      <c r="AW19" s="100">
        <v>6</v>
      </c>
      <c r="AX19" s="6" t="e">
        <f>IF(AU19="","",INDEX(tblTerritories!$S$5:$S$8,AU19))</f>
        <v>#REF!</v>
      </c>
      <c r="AY19" s="1">
        <v>1</v>
      </c>
      <c r="AZ19" s="1">
        <f t="shared" ref="AZ19:BJ19" si="19">AY19+1</f>
        <v>2</v>
      </c>
      <c r="BA19" s="1">
        <f t="shared" si="19"/>
        <v>3</v>
      </c>
      <c r="BB19" s="1">
        <f t="shared" si="19"/>
        <v>4</v>
      </c>
      <c r="BC19" s="1">
        <f t="shared" si="19"/>
        <v>5</v>
      </c>
      <c r="BD19" s="1">
        <f t="shared" si="19"/>
        <v>6</v>
      </c>
      <c r="BE19" s="1">
        <f t="shared" si="19"/>
        <v>7</v>
      </c>
      <c r="BF19" s="1">
        <f t="shared" si="19"/>
        <v>8</v>
      </c>
      <c r="BG19" s="1">
        <f t="shared" si="19"/>
        <v>9</v>
      </c>
      <c r="BH19" s="1">
        <f t="shared" si="19"/>
        <v>10</v>
      </c>
      <c r="BI19" s="1">
        <f t="shared" si="19"/>
        <v>11</v>
      </c>
      <c r="BJ19" s="1">
        <f t="shared" si="19"/>
        <v>12</v>
      </c>
    </row>
    <row r="20" spans="1:62">
      <c r="A20" s="1">
        <v>20</v>
      </c>
      <c r="B20" s="1" t="str">
        <f>Scores!N23</f>
        <v xml:space="preserve">   1.3.2) 14.¿Hay campañas de comunicación para fomentar el reciclaje inclusivo con difusión en el municipio?</v>
      </c>
      <c r="C20" s="1">
        <f ca="1">ROUND(Scores!P23,$B$1)</f>
        <v>50</v>
      </c>
      <c r="D20" s="1">
        <f ca="1">ROUND(Scores!Q23,$B$1)</f>
        <v>50</v>
      </c>
      <c r="E20" s="1">
        <f ca="1">ROUND(Scores!R23,$B$1)</f>
        <v>50</v>
      </c>
      <c r="F20" s="1">
        <f ca="1">ROUND(Scores!S23,$B$1)</f>
        <v>0</v>
      </c>
      <c r="G20" s="1">
        <f ca="1">ROUND(Scores!T23,$B$1)</f>
        <v>50</v>
      </c>
      <c r="H20" s="1">
        <f ca="1">ROUND(Scores!U23,$B$1)</f>
        <v>50</v>
      </c>
      <c r="I20" s="1">
        <f ca="1">ROUND(Scores!V23,$B$1)</f>
        <v>50</v>
      </c>
      <c r="J20" s="1">
        <f ca="1">ROUND(Scores!W23,$B$1)</f>
        <v>50</v>
      </c>
      <c r="K20" s="1">
        <f ca="1">ROUND(Scores!X23,$B$1)</f>
        <v>50</v>
      </c>
      <c r="L20" s="1">
        <f ca="1">ROUND(Scores!Y23,$B$1)</f>
        <v>50</v>
      </c>
      <c r="M20" s="1">
        <f ca="1">ROUND(Scores!Z23,$B$1)</f>
        <v>100</v>
      </c>
      <c r="N20" s="1">
        <f ca="1">ROUND(Scores!AA23,$B$1)</f>
        <v>50</v>
      </c>
      <c r="O20" s="1">
        <f ca="1">ROUND(Scores!AB23,$B$1)</f>
        <v>0</v>
      </c>
      <c r="P20" s="1">
        <f>ROUND(Scores!AC23,$B$1)</f>
        <v>0</v>
      </c>
      <c r="Q20" s="1">
        <f>ROUND(Scores!AD23,$B$1)</f>
        <v>0</v>
      </c>
      <c r="R20" s="1">
        <f>ROUND(Scores!AE23,$B$1)</f>
        <v>0</v>
      </c>
      <c r="S20" s="1">
        <f>ROUND(Scores!AF23,$B$1)</f>
        <v>0</v>
      </c>
      <c r="T20" s="1">
        <f>ROUND(Scores!AG23,$B$1)</f>
        <v>0</v>
      </c>
      <c r="U20" s="1">
        <f>ROUND(Scores!AH23,$B$1)</f>
        <v>0</v>
      </c>
      <c r="V20" s="1">
        <f>ROUND(Scores!AI23,$B$1)</f>
        <v>0</v>
      </c>
      <c r="W20" s="1">
        <f>ROUND(Scores!AJ23,$B$1)</f>
        <v>0</v>
      </c>
      <c r="X20" s="1">
        <f>ROUND(Scores!AK23,$B$1)</f>
        <v>0</v>
      </c>
      <c r="Z20" s="1">
        <f t="shared" ca="1" si="6"/>
        <v>50</v>
      </c>
      <c r="AA20" s="1">
        <f t="shared" ca="1" si="7"/>
        <v>50</v>
      </c>
      <c r="AG20" s="146">
        <f t="shared" ca="1" si="8"/>
        <v>50</v>
      </c>
      <c r="AH20" s="146">
        <f t="shared" ca="1" si="9"/>
        <v>50</v>
      </c>
      <c r="AI20" s="146">
        <f t="shared" ca="1" si="10"/>
        <v>50</v>
      </c>
      <c r="AJ20" s="146">
        <f t="shared" ca="1" si="11"/>
        <v>50</v>
      </c>
      <c r="AK20" s="146">
        <f t="shared" ca="1" si="12"/>
        <v>50</v>
      </c>
      <c r="AP20" s="147">
        <f t="shared" ca="1" si="2"/>
        <v>50</v>
      </c>
      <c r="AQ20" s="147">
        <f t="shared" ca="1" si="3"/>
        <v>50</v>
      </c>
      <c r="AR20" s="147">
        <f t="shared" ca="1" si="4"/>
        <v>50</v>
      </c>
      <c r="AS20" s="147">
        <f t="shared" ca="1" si="5"/>
        <v>50</v>
      </c>
      <c r="AT20" s="28">
        <f t="shared" ca="1" si="13"/>
        <v>50</v>
      </c>
      <c r="AV20" s="1">
        <f>SUM(AY20:BJ20)</f>
        <v>0</v>
      </c>
      <c r="AX20" s="6" t="str">
        <f>IF(AU20="","",INDEX(tblTerritories!$S$5:$S$8,AU20))</f>
        <v/>
      </c>
      <c r="AY20" s="1">
        <f>INDEX(tblTerritories!$AA$3:$AG$14,AY19,$AW19)</f>
        <v>0</v>
      </c>
      <c r="AZ20" s="1">
        <f>INDEX(tblTerritories!$AA$3:$AG$14,AZ19,$AW19)</f>
        <v>0</v>
      </c>
      <c r="BA20" s="1">
        <f>INDEX(tblTerritories!$AA$3:$AG$14,BA19,$AW19)</f>
        <v>0</v>
      </c>
      <c r="BB20" s="1">
        <f>INDEX(tblTerritories!$AA$3:$AG$14,BB19,$AW19)</f>
        <v>0</v>
      </c>
      <c r="BC20" s="1">
        <f>INDEX(tblTerritories!$AA$3:$AG$14,BC19,$AW19)</f>
        <v>0</v>
      </c>
      <c r="BD20" s="1">
        <f>INDEX(tblTerritories!$AA$3:$AG$14,BD19,$AW19)</f>
        <v>0</v>
      </c>
      <c r="BE20" s="1">
        <f>INDEX(tblTerritories!$AA$3:$AG$14,BE19,$AW19)</f>
        <v>0</v>
      </c>
      <c r="BF20" s="1">
        <f>INDEX(tblTerritories!$AA$3:$AG$14,BF19,$AW19)</f>
        <v>0</v>
      </c>
      <c r="BG20" s="1">
        <f>INDEX(tblTerritories!$AA$3:$AG$14,BG19,$AW19)</f>
        <v>0</v>
      </c>
      <c r="BH20" s="1">
        <f>INDEX(tblTerritories!$AA$3:$AG$14,BH19,$AW19)</f>
        <v>0</v>
      </c>
      <c r="BI20" s="1">
        <f>INDEX(tblTerritories!$AA$3:$AG$14,BI19,$AW19)</f>
        <v>0</v>
      </c>
      <c r="BJ20" s="1">
        <f>INDEX(tblTerritories!$AA$3:$AG$14,BJ19,$AW19)</f>
        <v>0</v>
      </c>
    </row>
    <row r="21" spans="1:62">
      <c r="A21" s="1">
        <v>21</v>
      </c>
      <c r="B21" s="1" t="str">
        <f>Scores!N24</f>
        <v xml:space="preserve">  1.4) Salud pública y el medioambiente</v>
      </c>
      <c r="C21" s="1">
        <f ca="1">ROUND(Scores!P24,$B$1)</f>
        <v>50</v>
      </c>
      <c r="D21" s="1">
        <f ca="1">ROUND(Scores!Q24,$B$1)</f>
        <v>50</v>
      </c>
      <c r="E21" s="1">
        <f ca="1">ROUND(Scores!R24,$B$1)</f>
        <v>100</v>
      </c>
      <c r="F21" s="1">
        <f ca="1">ROUND(Scores!S24,$B$1)</f>
        <v>50</v>
      </c>
      <c r="G21" s="1">
        <f ca="1">ROUND(Scores!T24,$B$1)</f>
        <v>100</v>
      </c>
      <c r="H21" s="1">
        <f ca="1">ROUND(Scores!U24,$B$1)</f>
        <v>50</v>
      </c>
      <c r="I21" s="1">
        <f ca="1">ROUND(Scores!V24,$B$1)</f>
        <v>100</v>
      </c>
      <c r="J21" s="1">
        <f ca="1">ROUND(Scores!W24,$B$1)</f>
        <v>50</v>
      </c>
      <c r="K21" s="1">
        <f ca="1">ROUND(Scores!X24,$B$1)</f>
        <v>50</v>
      </c>
      <c r="L21" s="1">
        <f ca="1">ROUND(Scores!Y24,$B$1)</f>
        <v>50</v>
      </c>
      <c r="M21" s="1">
        <f ca="1">ROUND(Scores!Z24,$B$1)</f>
        <v>100</v>
      </c>
      <c r="N21" s="1">
        <f ca="1">ROUND(Scores!AA24,$B$1)</f>
        <v>50</v>
      </c>
      <c r="O21" s="1">
        <f ca="1">ROUND(Scores!AB24,$B$1)</f>
        <v>0</v>
      </c>
      <c r="P21" s="1">
        <f>ROUND(Scores!AC24,$B$1)</f>
        <v>0</v>
      </c>
      <c r="Q21" s="1">
        <f>ROUND(Scores!AD24,$B$1)</f>
        <v>0</v>
      </c>
      <c r="R21" s="1">
        <f>ROUND(Scores!AE24,$B$1)</f>
        <v>0</v>
      </c>
      <c r="S21" s="1">
        <f>ROUND(Scores!AF24,$B$1)</f>
        <v>0</v>
      </c>
      <c r="T21" s="1">
        <f>ROUND(Scores!AG24,$B$1)</f>
        <v>0</v>
      </c>
      <c r="U21" s="1">
        <f>ROUND(Scores!AH24,$B$1)</f>
        <v>0</v>
      </c>
      <c r="V21" s="1">
        <f>ROUND(Scores!AI24,$B$1)</f>
        <v>0</v>
      </c>
      <c r="W21" s="1">
        <f>ROUND(Scores!AJ24,$B$1)</f>
        <v>0</v>
      </c>
      <c r="X21" s="1">
        <f>ROUND(Scores!AK24,$B$1)</f>
        <v>0</v>
      </c>
      <c r="Z21" s="1">
        <f t="shared" ca="1" si="6"/>
        <v>66.666666666666671</v>
      </c>
      <c r="AA21" s="1">
        <f t="shared" ca="1" si="7"/>
        <v>66.666666666666671</v>
      </c>
      <c r="AB21" s="28"/>
      <c r="AC21" s="28"/>
      <c r="AD21" s="28"/>
      <c r="AE21" s="28"/>
      <c r="AG21" s="146">
        <f t="shared" ref="AG21:AG27" ca="1" si="20">Z21</f>
        <v>66.666666666666671</v>
      </c>
      <c r="AH21" s="146">
        <f t="shared" ca="1" si="9"/>
        <v>75</v>
      </c>
      <c r="AI21" s="146">
        <f t="shared" ca="1" si="10"/>
        <v>66.666666666666671</v>
      </c>
      <c r="AJ21" s="146">
        <f t="shared" ca="1" si="11"/>
        <v>50</v>
      </c>
      <c r="AK21" s="146">
        <f t="shared" ca="1" si="12"/>
        <v>66.666666666666671</v>
      </c>
      <c r="AP21" s="147">
        <f t="shared" ca="1" si="2"/>
        <v>75</v>
      </c>
      <c r="AQ21" s="147">
        <f t="shared" ca="1" si="3"/>
        <v>66.666666666666671</v>
      </c>
      <c r="AR21" s="147">
        <f t="shared" ca="1" si="4"/>
        <v>50</v>
      </c>
      <c r="AS21" s="147">
        <f t="shared" ca="1" si="5"/>
        <v>66.666666666666671</v>
      </c>
      <c r="AT21" s="28">
        <f t="shared" ref="AT21:AT27" ca="1" si="21">Z21</f>
        <v>66.666666666666671</v>
      </c>
      <c r="AX21" s="6" t="str">
        <f>IF(AU21="","",INDEX(tblTerritories!$S$5:$S$8,AU21))</f>
        <v/>
      </c>
    </row>
    <row r="22" spans="1:62">
      <c r="A22" s="1">
        <v>22</v>
      </c>
      <c r="B22" s="1" t="str">
        <f>Scores!N25</f>
        <v xml:space="preserve">   1.4.1) 15.¿Existe adecuada regulación y control sobre clasificación y manejo de desechos especiales y/o  peligrosos y sobre clasificación en la calle?</v>
      </c>
      <c r="C22" s="1">
        <f ca="1">ROUND(Scores!P25,$B$1)</f>
        <v>50</v>
      </c>
      <c r="D22" s="1">
        <f ca="1">ROUND(Scores!Q25,$B$1)</f>
        <v>50</v>
      </c>
      <c r="E22" s="1">
        <f ca="1">ROUND(Scores!R25,$B$1)</f>
        <v>100</v>
      </c>
      <c r="F22" s="1">
        <f ca="1">ROUND(Scores!S25,$B$1)</f>
        <v>50</v>
      </c>
      <c r="G22" s="1">
        <f ca="1">ROUND(Scores!T25,$B$1)</f>
        <v>100</v>
      </c>
      <c r="H22" s="1">
        <f ca="1">ROUND(Scores!U25,$B$1)</f>
        <v>50</v>
      </c>
      <c r="I22" s="1">
        <f ca="1">ROUND(Scores!V25,$B$1)</f>
        <v>100</v>
      </c>
      <c r="J22" s="1">
        <f ca="1">ROUND(Scores!W25,$B$1)</f>
        <v>50</v>
      </c>
      <c r="K22" s="1">
        <f ca="1">ROUND(Scores!X25,$B$1)</f>
        <v>50</v>
      </c>
      <c r="L22" s="1">
        <f ca="1">ROUND(Scores!Y25,$B$1)</f>
        <v>50</v>
      </c>
      <c r="M22" s="1">
        <f ca="1">ROUND(Scores!Z25,$B$1)</f>
        <v>100</v>
      </c>
      <c r="N22" s="1">
        <f ca="1">ROUND(Scores!AA25,$B$1)</f>
        <v>50</v>
      </c>
      <c r="O22" s="1">
        <f ca="1">ROUND(Scores!AB25,$B$1)</f>
        <v>0</v>
      </c>
      <c r="P22" s="1">
        <f>ROUND(Scores!AC25,$B$1)</f>
        <v>0</v>
      </c>
      <c r="Q22" s="1">
        <f>ROUND(Scores!AD25,$B$1)</f>
        <v>0</v>
      </c>
      <c r="R22" s="1">
        <f>ROUND(Scores!AE25,$B$1)</f>
        <v>0</v>
      </c>
      <c r="S22" s="1">
        <f>ROUND(Scores!AF25,$B$1)</f>
        <v>0</v>
      </c>
      <c r="T22" s="1">
        <f>ROUND(Scores!AG25,$B$1)</f>
        <v>0</v>
      </c>
      <c r="U22" s="1">
        <f>ROUND(Scores!AH25,$B$1)</f>
        <v>0</v>
      </c>
      <c r="V22" s="1">
        <f>ROUND(Scores!AI25,$B$1)</f>
        <v>0</v>
      </c>
      <c r="W22" s="1">
        <f>ROUND(Scores!AJ25,$B$1)</f>
        <v>0</v>
      </c>
      <c r="X22" s="1">
        <f>ROUND(Scores!AK25,$B$1)</f>
        <v>0</v>
      </c>
      <c r="Z22" s="1">
        <f t="shared" ca="1" si="6"/>
        <v>66.666666666666671</v>
      </c>
      <c r="AA22" s="1">
        <f t="shared" ca="1" si="7"/>
        <v>66.666666666666671</v>
      </c>
      <c r="AB22" s="28"/>
      <c r="AC22" s="28"/>
      <c r="AD22" s="28"/>
      <c r="AE22" s="28"/>
      <c r="AG22" s="146">
        <f t="shared" ca="1" si="20"/>
        <v>66.666666666666671</v>
      </c>
      <c r="AH22" s="146">
        <f t="shared" ca="1" si="9"/>
        <v>75</v>
      </c>
      <c r="AI22" s="146">
        <f t="shared" ca="1" si="10"/>
        <v>66.666666666666671</v>
      </c>
      <c r="AJ22" s="146">
        <f t="shared" ca="1" si="11"/>
        <v>50</v>
      </c>
      <c r="AK22" s="146">
        <f t="shared" ca="1" si="12"/>
        <v>66.666666666666671</v>
      </c>
      <c r="AP22" s="147">
        <f t="shared" ca="1" si="2"/>
        <v>75</v>
      </c>
      <c r="AQ22" s="147">
        <f t="shared" ca="1" si="3"/>
        <v>66.666666666666671</v>
      </c>
      <c r="AR22" s="147">
        <f t="shared" ca="1" si="4"/>
        <v>50</v>
      </c>
      <c r="AS22" s="147">
        <f t="shared" ca="1" si="5"/>
        <v>66.666666666666671</v>
      </c>
      <c r="AT22" s="28">
        <f t="shared" ca="1" si="21"/>
        <v>66.666666666666671</v>
      </c>
      <c r="AU22" s="1">
        <v>11</v>
      </c>
      <c r="AW22" s="100">
        <v>7</v>
      </c>
      <c r="AX22" s="6" t="e">
        <f>IF(AU22="","",INDEX(tblTerritories!$S$5:$S$8,AU22))</f>
        <v>#REF!</v>
      </c>
      <c r="AY22" s="1">
        <v>1</v>
      </c>
      <c r="AZ22" s="1">
        <f t="shared" ref="AZ22:BJ22" si="22">AY22+1</f>
        <v>2</v>
      </c>
      <c r="BA22" s="1">
        <f t="shared" si="22"/>
        <v>3</v>
      </c>
      <c r="BB22" s="1">
        <f t="shared" si="22"/>
        <v>4</v>
      </c>
      <c r="BC22" s="1">
        <f t="shared" si="22"/>
        <v>5</v>
      </c>
      <c r="BD22" s="1">
        <f t="shared" si="22"/>
        <v>6</v>
      </c>
      <c r="BE22" s="1">
        <f t="shared" si="22"/>
        <v>7</v>
      </c>
      <c r="BF22" s="1">
        <f t="shared" si="22"/>
        <v>8</v>
      </c>
      <c r="BG22" s="1">
        <f t="shared" si="22"/>
        <v>9</v>
      </c>
      <c r="BH22" s="1">
        <f t="shared" si="22"/>
        <v>10</v>
      </c>
      <c r="BI22" s="1">
        <f t="shared" si="22"/>
        <v>11</v>
      </c>
      <c r="BJ22" s="1">
        <f t="shared" si="22"/>
        <v>12</v>
      </c>
    </row>
    <row r="23" spans="1:62">
      <c r="A23" s="1">
        <v>23</v>
      </c>
      <c r="B23" s="1" t="str">
        <f>Scores!N26</f>
        <v xml:space="preserve"> 2) ORGANIZATIVA</v>
      </c>
      <c r="C23" s="1">
        <f ca="1">ROUND(Scores!P26,$B$1)</f>
        <v>28.3</v>
      </c>
      <c r="D23" s="1">
        <f ca="1">ROUND(Scores!Q26,$B$1)</f>
        <v>70</v>
      </c>
      <c r="E23" s="1">
        <f ca="1">ROUND(Scores!R26,$B$1)</f>
        <v>79.400000000000006</v>
      </c>
      <c r="F23" s="1">
        <f ca="1">ROUND(Scores!S26,$B$1)</f>
        <v>0</v>
      </c>
      <c r="G23" s="1">
        <f ca="1">ROUND(Scores!T26,$B$1)</f>
        <v>51.7</v>
      </c>
      <c r="H23" s="1">
        <f ca="1">ROUND(Scores!U26,$B$1)</f>
        <v>46.7</v>
      </c>
      <c r="I23" s="1">
        <f ca="1">ROUND(Scores!V26,$B$1)</f>
        <v>33.299999999999997</v>
      </c>
      <c r="J23" s="1">
        <f ca="1">ROUND(Scores!W26,$B$1)</f>
        <v>46.7</v>
      </c>
      <c r="K23" s="1">
        <f ca="1">ROUND(Scores!X26,$B$1)</f>
        <v>0</v>
      </c>
      <c r="L23" s="1">
        <f ca="1">ROUND(Scores!Y26,$B$1)</f>
        <v>68.900000000000006</v>
      </c>
      <c r="M23" s="1">
        <f ca="1">ROUND(Scores!Z26,$B$1)</f>
        <v>46.7</v>
      </c>
      <c r="N23" s="1">
        <f ca="1">ROUND(Scores!AA26,$B$1)</f>
        <v>34.4</v>
      </c>
      <c r="O23" s="1">
        <f ca="1">ROUND(Scores!AB26,$B$1)</f>
        <v>0</v>
      </c>
      <c r="P23" s="1">
        <f>ROUND(Scores!AC26,$B$1)</f>
        <v>0</v>
      </c>
      <c r="Q23" s="1">
        <f>ROUND(Scores!AD26,$B$1)</f>
        <v>0</v>
      </c>
      <c r="R23" s="1">
        <f>ROUND(Scores!AE26,$B$1)</f>
        <v>0</v>
      </c>
      <c r="S23" s="1">
        <f>ROUND(Scores!AF26,$B$1)</f>
        <v>0</v>
      </c>
      <c r="T23" s="1">
        <f>ROUND(Scores!AG26,$B$1)</f>
        <v>0</v>
      </c>
      <c r="U23" s="1">
        <f>ROUND(Scores!AH26,$B$1)</f>
        <v>0</v>
      </c>
      <c r="V23" s="1">
        <f>ROUND(Scores!AI26,$B$1)</f>
        <v>0</v>
      </c>
      <c r="W23" s="1">
        <f>ROUND(Scores!AJ26,$B$1)</f>
        <v>0</v>
      </c>
      <c r="X23" s="1">
        <f>ROUND(Scores!AK26,$B$1)</f>
        <v>0</v>
      </c>
      <c r="Z23" s="1">
        <f t="shared" ca="1" si="6"/>
        <v>42.174999999999997</v>
      </c>
      <c r="AA23" s="1">
        <f t="shared" ca="1" si="7"/>
        <v>42.174999999999997</v>
      </c>
      <c r="AB23" s="28"/>
      <c r="AC23" s="28"/>
      <c r="AD23" s="28"/>
      <c r="AE23" s="28"/>
      <c r="AG23" s="146">
        <f t="shared" ca="1" si="20"/>
        <v>42.174999999999997</v>
      </c>
      <c r="AH23" s="146">
        <f t="shared" ca="1" si="9"/>
        <v>58.600000000000009</v>
      </c>
      <c r="AI23" s="146">
        <f t="shared" ca="1" si="10"/>
        <v>34.43333333333333</v>
      </c>
      <c r="AJ23" s="146">
        <f t="shared" ca="1" si="11"/>
        <v>46.7</v>
      </c>
      <c r="AK23" s="146">
        <f t="shared" ca="1" si="12"/>
        <v>25</v>
      </c>
      <c r="AP23" s="147">
        <f t="shared" ca="1" si="2"/>
        <v>58.600000000000009</v>
      </c>
      <c r="AQ23" s="147">
        <f t="shared" ca="1" si="3"/>
        <v>34.43333333333333</v>
      </c>
      <c r="AR23" s="147">
        <f t="shared" ca="1" si="4"/>
        <v>46.7</v>
      </c>
      <c r="AS23" s="147">
        <f t="shared" ca="1" si="5"/>
        <v>25</v>
      </c>
      <c r="AT23" s="28">
        <f t="shared" ca="1" si="21"/>
        <v>42.174999999999997</v>
      </c>
      <c r="AV23" s="1">
        <f>SUM(AY23:BJ23)</f>
        <v>0</v>
      </c>
      <c r="AX23" s="6" t="str">
        <f>IF(AU23="","",INDEX(tblTerritories!$S$5:$S$8,AU23))</f>
        <v/>
      </c>
      <c r="AY23" s="1">
        <f>INDEX(tblTerritories!$AA$3:$AG$14,AY22,$AW22)</f>
        <v>0</v>
      </c>
      <c r="AZ23" s="1">
        <f>INDEX(tblTerritories!$AA$3:$AG$14,AZ22,$AW22)</f>
        <v>0</v>
      </c>
      <c r="BA23" s="1">
        <f>INDEX(tblTerritories!$AA$3:$AG$14,BA22,$AW22)</f>
        <v>0</v>
      </c>
      <c r="BB23" s="1">
        <f>INDEX(tblTerritories!$AA$3:$AG$14,BB22,$AW22)</f>
        <v>0</v>
      </c>
      <c r="BC23" s="1">
        <f>INDEX(tblTerritories!$AA$3:$AG$14,BC22,$AW22)</f>
        <v>0</v>
      </c>
      <c r="BD23" s="1">
        <f>INDEX(tblTerritories!$AA$3:$AG$14,BD22,$AW22)</f>
        <v>0</v>
      </c>
      <c r="BE23" s="1">
        <f>INDEX(tblTerritories!$AA$3:$AG$14,BE22,$AW22)</f>
        <v>0</v>
      </c>
      <c r="BF23" s="1">
        <f>INDEX(tblTerritories!$AA$3:$AG$14,BF22,$AW22)</f>
        <v>0</v>
      </c>
      <c r="BG23" s="1">
        <f>INDEX(tblTerritories!$AA$3:$AG$14,BG22,$AW22)</f>
        <v>0</v>
      </c>
      <c r="BH23" s="1">
        <f>INDEX(tblTerritories!$AA$3:$AG$14,BH22,$AW22)</f>
        <v>0</v>
      </c>
      <c r="BI23" s="1">
        <f>INDEX(tblTerritories!$AA$3:$AG$14,BI22,$AW22)</f>
        <v>0</v>
      </c>
      <c r="BJ23" s="1">
        <f>INDEX(tblTerritories!$AA$3:$AG$14,BJ22,$AW22)</f>
        <v>0</v>
      </c>
    </row>
    <row r="24" spans="1:62">
      <c r="A24" s="1">
        <v>24</v>
      </c>
      <c r="B24" s="1" t="str">
        <f>Scores!N27</f>
        <v xml:space="preserve">  2.1) Asociatividad</v>
      </c>
      <c r="C24" s="1">
        <f ca="1">ROUND(Scores!P27,$B$1)</f>
        <v>40</v>
      </c>
      <c r="D24" s="1">
        <f ca="1">ROUND(Scores!Q27,$B$1)</f>
        <v>90</v>
      </c>
      <c r="E24" s="1">
        <f ca="1">ROUND(Scores!R27,$B$1)</f>
        <v>70</v>
      </c>
      <c r="F24" s="1">
        <f ca="1">ROUND(Scores!S27,$B$1)</f>
        <v>0</v>
      </c>
      <c r="G24" s="1">
        <f ca="1">ROUND(Scores!T27,$B$1)</f>
        <v>70</v>
      </c>
      <c r="H24" s="1">
        <f ca="1">ROUND(Scores!U27,$B$1)</f>
        <v>60</v>
      </c>
      <c r="I24" s="1">
        <f ca="1">ROUND(Scores!V27,$B$1)</f>
        <v>50</v>
      </c>
      <c r="J24" s="1">
        <f ca="1">ROUND(Scores!W27,$B$1)</f>
        <v>60</v>
      </c>
      <c r="K24" s="1">
        <f ca="1">ROUND(Scores!X27,$B$1)</f>
        <v>0</v>
      </c>
      <c r="L24" s="1">
        <f ca="1">ROUND(Scores!Y27,$B$1)</f>
        <v>60</v>
      </c>
      <c r="M24" s="1">
        <f ca="1">ROUND(Scores!Z27,$B$1)</f>
        <v>60</v>
      </c>
      <c r="N24" s="1">
        <f ca="1">ROUND(Scores!AA27,$B$1)</f>
        <v>30</v>
      </c>
      <c r="O24" s="1">
        <f ca="1">ROUND(Scores!AB27,$B$1)</f>
        <v>0</v>
      </c>
      <c r="P24" s="1">
        <f>ROUND(Scores!AC27,$B$1)</f>
        <v>0</v>
      </c>
      <c r="Q24" s="1">
        <f>ROUND(Scores!AD27,$B$1)</f>
        <v>0</v>
      </c>
      <c r="R24" s="1">
        <f>ROUND(Scores!AE27,$B$1)</f>
        <v>0</v>
      </c>
      <c r="S24" s="1">
        <f>ROUND(Scores!AF27,$B$1)</f>
        <v>0</v>
      </c>
      <c r="T24" s="1">
        <f>ROUND(Scores!AG27,$B$1)</f>
        <v>0</v>
      </c>
      <c r="U24" s="1">
        <f>ROUND(Scores!AH27,$B$1)</f>
        <v>0</v>
      </c>
      <c r="V24" s="1">
        <f>ROUND(Scores!AI27,$B$1)</f>
        <v>0</v>
      </c>
      <c r="W24" s="1">
        <f>ROUND(Scores!AJ27,$B$1)</f>
        <v>0</v>
      </c>
      <c r="X24" s="1">
        <f>ROUND(Scores!AK27,$B$1)</f>
        <v>0</v>
      </c>
      <c r="Z24" s="1">
        <f t="shared" ca="1" si="6"/>
        <v>49.166666666666664</v>
      </c>
      <c r="AA24" s="1">
        <f t="shared" ca="1" si="7"/>
        <v>49.166666666666664</v>
      </c>
      <c r="AB24" s="28"/>
      <c r="AC24" s="28"/>
      <c r="AD24" s="28"/>
      <c r="AE24" s="28"/>
      <c r="AG24" s="146">
        <f t="shared" ca="1" si="20"/>
        <v>49.166666666666664</v>
      </c>
      <c r="AH24" s="146">
        <f t="shared" ca="1" si="9"/>
        <v>57.5</v>
      </c>
      <c r="AI24" s="146">
        <f t="shared" ca="1" si="10"/>
        <v>46.666666666666664</v>
      </c>
      <c r="AJ24" s="146">
        <f t="shared" ca="1" si="11"/>
        <v>60</v>
      </c>
      <c r="AK24" s="146">
        <f t="shared" ca="1" si="12"/>
        <v>33.333333333333336</v>
      </c>
      <c r="AP24" s="147">
        <f t="shared" ca="1" si="2"/>
        <v>57.5</v>
      </c>
      <c r="AQ24" s="147">
        <f t="shared" ca="1" si="3"/>
        <v>46.666666666666664</v>
      </c>
      <c r="AR24" s="147">
        <f t="shared" ca="1" si="4"/>
        <v>60</v>
      </c>
      <c r="AS24" s="147">
        <f t="shared" ca="1" si="5"/>
        <v>33.333333333333336</v>
      </c>
      <c r="AT24" s="28">
        <f t="shared" ca="1" si="21"/>
        <v>49.166666666666664</v>
      </c>
      <c r="AX24" s="6"/>
    </row>
    <row r="25" spans="1:62">
      <c r="A25" s="1">
        <v>25</v>
      </c>
      <c r="B25" s="1" t="str">
        <f>Scores!N28</f>
        <v xml:space="preserve">   2.1.1) 16.¿Cuán dinámicas son las asociaciones?</v>
      </c>
      <c r="C25" s="1">
        <f ca="1">ROUND(Scores!P28,$B$1)</f>
        <v>100</v>
      </c>
      <c r="D25" s="1">
        <f ca="1">ROUND(Scores!Q28,$B$1)</f>
        <v>50</v>
      </c>
      <c r="E25" s="1">
        <f ca="1">ROUND(Scores!R28,$B$1)</f>
        <v>50</v>
      </c>
      <c r="F25" s="1">
        <f ca="1">ROUND(Scores!S28,$B$1)</f>
        <v>0</v>
      </c>
      <c r="G25" s="1">
        <f ca="1">ROUND(Scores!T28,$B$1)</f>
        <v>100</v>
      </c>
      <c r="H25" s="1">
        <f ca="1">ROUND(Scores!U28,$B$1)</f>
        <v>50</v>
      </c>
      <c r="I25" s="1">
        <f ca="1">ROUND(Scores!V28,$B$1)</f>
        <v>100</v>
      </c>
      <c r="J25" s="1">
        <f ca="1">ROUND(Scores!W28,$B$1)</f>
        <v>50</v>
      </c>
      <c r="K25" s="1">
        <f ca="1">ROUND(Scores!X28,$B$1)</f>
        <v>0</v>
      </c>
      <c r="L25" s="1">
        <f ca="1">ROUND(Scores!Y28,$B$1)</f>
        <v>0</v>
      </c>
      <c r="M25" s="1">
        <f ca="1">ROUND(Scores!Z28,$B$1)</f>
        <v>0</v>
      </c>
      <c r="N25" s="1">
        <f ca="1">ROUND(Scores!AA28,$B$1)</f>
        <v>0</v>
      </c>
      <c r="O25" s="1">
        <f ca="1">ROUND(Scores!AB28,$B$1)</f>
        <v>0</v>
      </c>
      <c r="P25" s="1">
        <f>ROUND(Scores!AC28,$B$1)</f>
        <v>0</v>
      </c>
      <c r="Q25" s="1">
        <f>ROUND(Scores!AD28,$B$1)</f>
        <v>0</v>
      </c>
      <c r="R25" s="1">
        <f>ROUND(Scores!AE28,$B$1)</f>
        <v>0</v>
      </c>
      <c r="S25" s="1">
        <f>ROUND(Scores!AF28,$B$1)</f>
        <v>0</v>
      </c>
      <c r="T25" s="1">
        <f>ROUND(Scores!AG28,$B$1)</f>
        <v>0</v>
      </c>
      <c r="U25" s="1">
        <f>ROUND(Scores!AH28,$B$1)</f>
        <v>0</v>
      </c>
      <c r="V25" s="1">
        <f>ROUND(Scores!AI28,$B$1)</f>
        <v>0</v>
      </c>
      <c r="W25" s="1">
        <f>ROUND(Scores!AJ28,$B$1)</f>
        <v>0</v>
      </c>
      <c r="X25" s="1">
        <f>ROUND(Scores!AK28,$B$1)</f>
        <v>0</v>
      </c>
      <c r="Z25" s="1">
        <f t="shared" ca="1" si="6"/>
        <v>41.666666666666664</v>
      </c>
      <c r="AA25" s="1">
        <f t="shared" ca="1" si="7"/>
        <v>41.666666666666664</v>
      </c>
      <c r="AB25" s="28"/>
      <c r="AC25" s="28"/>
      <c r="AD25" s="28"/>
      <c r="AE25" s="28"/>
      <c r="AG25" s="146">
        <f t="shared" ca="1" si="20"/>
        <v>41.666666666666664</v>
      </c>
      <c r="AH25" s="146">
        <f t="shared" ca="1" si="9"/>
        <v>37.5</v>
      </c>
      <c r="AI25" s="146">
        <f t="shared" ca="1" si="10"/>
        <v>50</v>
      </c>
      <c r="AJ25" s="146">
        <f t="shared" ca="1" si="11"/>
        <v>50</v>
      </c>
      <c r="AK25" s="146">
        <f t="shared" ca="1" si="12"/>
        <v>33.333333333333336</v>
      </c>
      <c r="AP25" s="147">
        <f t="shared" ca="1" si="2"/>
        <v>37.5</v>
      </c>
      <c r="AQ25" s="147">
        <f t="shared" ca="1" si="3"/>
        <v>50</v>
      </c>
      <c r="AR25" s="147">
        <f t="shared" ca="1" si="4"/>
        <v>50</v>
      </c>
      <c r="AS25" s="147">
        <f t="shared" ca="1" si="5"/>
        <v>33.333333333333336</v>
      </c>
      <c r="AT25" s="28">
        <f t="shared" ca="1" si="21"/>
        <v>41.666666666666664</v>
      </c>
      <c r="AX25" s="6"/>
    </row>
    <row r="26" spans="1:62">
      <c r="A26" s="1">
        <v>26</v>
      </c>
      <c r="B26" s="1" t="str">
        <f>Scores!N29</f>
        <v xml:space="preserve">   2.1.2) 17.¿Qué nivel de inclusión  presentan estas asociaciones? </v>
      </c>
      <c r="C26" s="1">
        <f ca="1">ROUND(Scores!P29,$B$1)</f>
        <v>0</v>
      </c>
      <c r="D26" s="1">
        <f ca="1">ROUND(Scores!Q29,$B$1)</f>
        <v>100</v>
      </c>
      <c r="E26" s="1">
        <f ca="1">ROUND(Scores!R29,$B$1)</f>
        <v>50</v>
      </c>
      <c r="F26" s="1">
        <f ca="1">ROUND(Scores!S29,$B$1)</f>
        <v>0</v>
      </c>
      <c r="G26" s="1">
        <f ca="1">ROUND(Scores!T29,$B$1)</f>
        <v>50</v>
      </c>
      <c r="H26" s="1">
        <f ca="1">ROUND(Scores!U29,$B$1)</f>
        <v>50</v>
      </c>
      <c r="I26" s="1">
        <f ca="1">ROUND(Scores!V29,$B$1)</f>
        <v>0</v>
      </c>
      <c r="J26" s="1">
        <f ca="1">ROUND(Scores!W29,$B$1)</f>
        <v>50</v>
      </c>
      <c r="K26" s="1">
        <f ca="1">ROUND(Scores!X29,$B$1)</f>
        <v>0</v>
      </c>
      <c r="L26" s="1">
        <f ca="1">ROUND(Scores!Y29,$B$1)</f>
        <v>100</v>
      </c>
      <c r="M26" s="1">
        <f ca="1">ROUND(Scores!Z29,$B$1)</f>
        <v>50</v>
      </c>
      <c r="N26" s="1">
        <f ca="1">ROUND(Scores!AA29,$B$1)</f>
        <v>0</v>
      </c>
      <c r="O26" s="1">
        <f ca="1">ROUND(Scores!AB29,$B$1)</f>
        <v>0</v>
      </c>
      <c r="P26" s="1">
        <f>ROUND(Scores!AC29,$B$1)</f>
        <v>0</v>
      </c>
      <c r="Q26" s="1">
        <f>ROUND(Scores!AD29,$B$1)</f>
        <v>0</v>
      </c>
      <c r="R26" s="1">
        <f>ROUND(Scores!AE29,$B$1)</f>
        <v>0</v>
      </c>
      <c r="S26" s="1">
        <f>ROUND(Scores!AF29,$B$1)</f>
        <v>0</v>
      </c>
      <c r="T26" s="1">
        <f>ROUND(Scores!AG29,$B$1)</f>
        <v>0</v>
      </c>
      <c r="U26" s="1">
        <f>ROUND(Scores!AH29,$B$1)</f>
        <v>0</v>
      </c>
      <c r="V26" s="1">
        <f>ROUND(Scores!AI29,$B$1)</f>
        <v>0</v>
      </c>
      <c r="W26" s="1">
        <f>ROUND(Scores!AJ29,$B$1)</f>
        <v>0</v>
      </c>
      <c r="X26" s="1">
        <f>ROUND(Scores!AK29,$B$1)</f>
        <v>0</v>
      </c>
      <c r="Z26" s="1">
        <f t="shared" ca="1" si="6"/>
        <v>37.5</v>
      </c>
      <c r="AA26" s="1">
        <f t="shared" ca="1" si="7"/>
        <v>37.5</v>
      </c>
      <c r="AB26" s="28"/>
      <c r="AC26" s="28"/>
      <c r="AD26" s="28"/>
      <c r="AE26" s="28"/>
      <c r="AG26" s="146">
        <f t="shared" ca="1" si="20"/>
        <v>37.5</v>
      </c>
      <c r="AH26" s="146">
        <f t="shared" ca="1" si="9"/>
        <v>50</v>
      </c>
      <c r="AI26" s="146">
        <f t="shared" ca="1" si="10"/>
        <v>33.333333333333336</v>
      </c>
      <c r="AJ26" s="146">
        <f t="shared" ca="1" si="11"/>
        <v>50</v>
      </c>
      <c r="AK26" s="146">
        <f t="shared" ca="1" si="12"/>
        <v>16.666666666666668</v>
      </c>
      <c r="AP26" s="147">
        <f t="shared" ca="1" si="2"/>
        <v>50</v>
      </c>
      <c r="AQ26" s="147">
        <f t="shared" ca="1" si="3"/>
        <v>33.333333333333336</v>
      </c>
      <c r="AR26" s="147">
        <f t="shared" ca="1" si="4"/>
        <v>50</v>
      </c>
      <c r="AS26" s="147">
        <f t="shared" ca="1" si="5"/>
        <v>16.666666666666668</v>
      </c>
      <c r="AT26" s="28">
        <f t="shared" ca="1" si="21"/>
        <v>37.5</v>
      </c>
      <c r="AV26" s="6" t="s">
        <v>232</v>
      </c>
      <c r="AX26" s="6"/>
    </row>
    <row r="27" spans="1:62">
      <c r="A27" s="1">
        <v>27</v>
      </c>
      <c r="B27" s="1" t="str">
        <f>Scores!N30</f>
        <v xml:space="preserve">   2.1.3) 18.¿Las asociaciones: participan en espacios de interlocución o diálogo con pares?</v>
      </c>
      <c r="C27" s="1">
        <f ca="1">ROUND(Scores!P30,$B$1)</f>
        <v>50</v>
      </c>
      <c r="D27" s="1">
        <f ca="1">ROUND(Scores!Q30,$B$1)</f>
        <v>100</v>
      </c>
      <c r="E27" s="1">
        <f ca="1">ROUND(Scores!R30,$B$1)</f>
        <v>100</v>
      </c>
      <c r="F27" s="1">
        <f ca="1">ROUND(Scores!S30,$B$1)</f>
        <v>0</v>
      </c>
      <c r="G27" s="1">
        <f ca="1">ROUND(Scores!T30,$B$1)</f>
        <v>50</v>
      </c>
      <c r="H27" s="1">
        <f ca="1">ROUND(Scores!U30,$B$1)</f>
        <v>100</v>
      </c>
      <c r="I27" s="1">
        <f ca="1">ROUND(Scores!V30,$B$1)</f>
        <v>100</v>
      </c>
      <c r="J27" s="1">
        <f ca="1">ROUND(Scores!W30,$B$1)</f>
        <v>100</v>
      </c>
      <c r="K27" s="1">
        <f ca="1">ROUND(Scores!X30,$B$1)</f>
        <v>0</v>
      </c>
      <c r="L27" s="1">
        <f ca="1">ROUND(Scores!Y30,$B$1)</f>
        <v>100</v>
      </c>
      <c r="M27" s="1">
        <f ca="1">ROUND(Scores!Z30,$B$1)</f>
        <v>100</v>
      </c>
      <c r="N27" s="1">
        <f ca="1">ROUND(Scores!AA30,$B$1)</f>
        <v>50</v>
      </c>
      <c r="O27" s="1">
        <f ca="1">ROUND(Scores!AB30,$B$1)</f>
        <v>0</v>
      </c>
      <c r="P27" s="1">
        <f>ROUND(Scores!AC30,$B$1)</f>
        <v>0</v>
      </c>
      <c r="Q27" s="1">
        <f>ROUND(Scores!AD30,$B$1)</f>
        <v>0</v>
      </c>
      <c r="R27" s="1">
        <f>ROUND(Scores!AE30,$B$1)</f>
        <v>0</v>
      </c>
      <c r="S27" s="1">
        <f>ROUND(Scores!AF30,$B$1)</f>
        <v>0</v>
      </c>
      <c r="T27" s="1">
        <f>ROUND(Scores!AG30,$B$1)</f>
        <v>0</v>
      </c>
      <c r="U27" s="1">
        <f>ROUND(Scores!AH30,$B$1)</f>
        <v>0</v>
      </c>
      <c r="V27" s="1">
        <f>ROUND(Scores!AI30,$B$1)</f>
        <v>0</v>
      </c>
      <c r="W27" s="1">
        <f>ROUND(Scores!AJ30,$B$1)</f>
        <v>0</v>
      </c>
      <c r="X27" s="1">
        <f>ROUND(Scores!AK30,$B$1)</f>
        <v>0</v>
      </c>
      <c r="Z27" s="1">
        <f t="shared" ca="1" si="6"/>
        <v>70.833333333333329</v>
      </c>
      <c r="AA27" s="1">
        <f t="shared" ca="1" si="7"/>
        <v>70.833333333333329</v>
      </c>
      <c r="AB27" s="28"/>
      <c r="AC27" s="28"/>
      <c r="AD27" s="28"/>
      <c r="AE27" s="28"/>
      <c r="AG27" s="146">
        <f t="shared" ca="1" si="20"/>
        <v>70.833333333333329</v>
      </c>
      <c r="AH27" s="146">
        <f t="shared" ca="1" si="9"/>
        <v>75</v>
      </c>
      <c r="AI27" s="146">
        <f t="shared" ca="1" si="10"/>
        <v>66.666666666666671</v>
      </c>
      <c r="AJ27" s="146">
        <f t="shared" ca="1" si="11"/>
        <v>100</v>
      </c>
      <c r="AK27" s="146">
        <f t="shared" ca="1" si="12"/>
        <v>50</v>
      </c>
      <c r="AP27" s="147">
        <f t="shared" ca="1" si="2"/>
        <v>75</v>
      </c>
      <c r="AQ27" s="147">
        <f t="shared" ca="1" si="3"/>
        <v>66.666666666666671</v>
      </c>
      <c r="AR27" s="147">
        <f t="shared" ca="1" si="4"/>
        <v>100</v>
      </c>
      <c r="AS27" s="147">
        <f t="shared" ca="1" si="5"/>
        <v>50</v>
      </c>
      <c r="AT27" s="28">
        <f t="shared" ca="1" si="21"/>
        <v>70.833333333333329</v>
      </c>
      <c r="AX27" s="6"/>
    </row>
    <row r="28" spans="1:62">
      <c r="A28" s="1">
        <v>28</v>
      </c>
      <c r="B28" s="1" t="str">
        <f>Scores!N31</f>
        <v xml:space="preserve">   2.1.4) 19.¿Existen espacios de diálogo y coordinación entre diferentes actores de la cadena de valor del reciclaje?</v>
      </c>
      <c r="C28" s="1">
        <f ca="1">ROUND(Scores!P31,$B$1)</f>
        <v>0</v>
      </c>
      <c r="D28" s="1">
        <f ca="1">ROUND(Scores!Q31,$B$1)</f>
        <v>100</v>
      </c>
      <c r="E28" s="1">
        <f ca="1">ROUND(Scores!R31,$B$1)</f>
        <v>100</v>
      </c>
      <c r="F28" s="1">
        <f ca="1">ROUND(Scores!S31,$B$1)</f>
        <v>0</v>
      </c>
      <c r="G28" s="1">
        <f ca="1">ROUND(Scores!T31,$B$1)</f>
        <v>100</v>
      </c>
      <c r="H28" s="1">
        <f ca="1">ROUND(Scores!U31,$B$1)</f>
        <v>100</v>
      </c>
      <c r="I28" s="1">
        <f ca="1">ROUND(Scores!V31,$B$1)</f>
        <v>0</v>
      </c>
      <c r="J28" s="1">
        <f ca="1">ROUND(Scores!W31,$B$1)</f>
        <v>0</v>
      </c>
      <c r="K28" s="1">
        <f ca="1">ROUND(Scores!X31,$B$1)</f>
        <v>0</v>
      </c>
      <c r="L28" s="1">
        <f ca="1">ROUND(Scores!Y31,$B$1)</f>
        <v>0</v>
      </c>
      <c r="M28" s="1">
        <f ca="1">ROUND(Scores!Z31,$B$1)</f>
        <v>50</v>
      </c>
      <c r="N28" s="1">
        <f ca="1">ROUND(Scores!AA31,$B$1)</f>
        <v>100</v>
      </c>
      <c r="O28" s="1">
        <f ca="1">ROUND(Scores!AB31,$B$1)</f>
        <v>0</v>
      </c>
      <c r="P28" s="1">
        <f>ROUND(Scores!AC31,$B$1)</f>
        <v>0</v>
      </c>
      <c r="Q28" s="1">
        <f>ROUND(Scores!AD31,$B$1)</f>
        <v>0</v>
      </c>
      <c r="R28" s="1">
        <f>ROUND(Scores!AE31,$B$1)</f>
        <v>0</v>
      </c>
      <c r="S28" s="1">
        <f>ROUND(Scores!AF31,$B$1)</f>
        <v>0</v>
      </c>
      <c r="T28" s="1">
        <f>ROUND(Scores!AG31,$B$1)</f>
        <v>0</v>
      </c>
      <c r="U28" s="1">
        <f>ROUND(Scores!AH31,$B$1)</f>
        <v>0</v>
      </c>
      <c r="V28" s="1">
        <f>ROUND(Scores!AI31,$B$1)</f>
        <v>0</v>
      </c>
      <c r="W28" s="1">
        <f>ROUND(Scores!AJ31,$B$1)</f>
        <v>0</v>
      </c>
      <c r="X28" s="1">
        <f>ROUND(Scores!AK31,$B$1)</f>
        <v>0</v>
      </c>
      <c r="Z28" s="1">
        <f t="shared" ca="1" si="6"/>
        <v>45.833333333333336</v>
      </c>
      <c r="AA28" s="1">
        <f t="shared" ca="1" si="7"/>
        <v>45.833333333333336</v>
      </c>
      <c r="AB28" s="28"/>
      <c r="AC28" s="28"/>
      <c r="AD28" s="28"/>
      <c r="AE28" s="28"/>
      <c r="AG28" s="146">
        <f t="shared" ref="AG28:AG52" ca="1" si="23">Z28</f>
        <v>45.833333333333336</v>
      </c>
      <c r="AH28" s="146">
        <f t="shared" ref="AH28:AH52" ca="1" si="24">AP28</f>
        <v>75</v>
      </c>
      <c r="AI28" s="146">
        <f t="shared" ref="AI28:AI52" ca="1" si="25">AQ28</f>
        <v>33.333333333333336</v>
      </c>
      <c r="AJ28" s="146">
        <f t="shared" ref="AJ28:AJ52" ca="1" si="26">AR28</f>
        <v>50</v>
      </c>
      <c r="AK28" s="146">
        <f t="shared" ref="AK28:AK52" ca="1" si="27">AS28</f>
        <v>16.666666666666668</v>
      </c>
      <c r="AP28" s="147">
        <f t="shared" ca="1" si="2"/>
        <v>75</v>
      </c>
      <c r="AQ28" s="147">
        <f t="shared" ca="1" si="3"/>
        <v>33.333333333333336</v>
      </c>
      <c r="AR28" s="147">
        <f t="shared" ca="1" si="4"/>
        <v>50</v>
      </c>
      <c r="AS28" s="147">
        <f t="shared" ca="1" si="5"/>
        <v>16.666666666666668</v>
      </c>
      <c r="AT28" s="28">
        <f t="shared" ref="AT28:AT52" ca="1" si="28">Z28</f>
        <v>45.833333333333336</v>
      </c>
      <c r="AU28" s="1">
        <v>1</v>
      </c>
      <c r="AW28" s="100">
        <v>1</v>
      </c>
      <c r="AX28" s="6" t="str">
        <f>IF(AU28="","",INDEX(tblTerritories!$S$5:$S$8,AU28))</f>
        <v>Alto ingreso</v>
      </c>
      <c r="AY28" s="1">
        <v>1</v>
      </c>
      <c r="AZ28" s="1">
        <f t="shared" ref="AZ28:BJ28" si="29">AY28+1</f>
        <v>2</v>
      </c>
      <c r="BA28" s="1">
        <f t="shared" si="29"/>
        <v>3</v>
      </c>
      <c r="BB28" s="1">
        <f t="shared" si="29"/>
        <v>4</v>
      </c>
      <c r="BC28" s="1">
        <f t="shared" si="29"/>
        <v>5</v>
      </c>
      <c r="BD28" s="1">
        <f t="shared" si="29"/>
        <v>6</v>
      </c>
      <c r="BE28" s="1">
        <f t="shared" si="29"/>
        <v>7</v>
      </c>
      <c r="BF28" s="1">
        <f t="shared" si="29"/>
        <v>8</v>
      </c>
      <c r="BG28" s="1">
        <f t="shared" si="29"/>
        <v>9</v>
      </c>
      <c r="BH28" s="1">
        <f t="shared" si="29"/>
        <v>10</v>
      </c>
      <c r="BI28" s="1">
        <f t="shared" si="29"/>
        <v>11</v>
      </c>
      <c r="BJ28" s="1">
        <f t="shared" si="29"/>
        <v>12</v>
      </c>
    </row>
    <row r="29" spans="1:62">
      <c r="A29" s="1">
        <v>29</v>
      </c>
      <c r="B29" s="1" t="str">
        <f>Scores!N32</f>
        <v xml:space="preserve">   2.1.5) 20.¿Cuál es el nivel de representación de las mujeres en las asociaciones?</v>
      </c>
      <c r="C29" s="1">
        <f ca="1">ROUND(Scores!P32,$B$1)</f>
        <v>50</v>
      </c>
      <c r="D29" s="1">
        <f ca="1">ROUND(Scores!Q32,$B$1)</f>
        <v>100</v>
      </c>
      <c r="E29" s="1">
        <f ca="1">ROUND(Scores!R32,$B$1)</f>
        <v>50</v>
      </c>
      <c r="F29" s="1">
        <f ca="1">ROUND(Scores!S32,$B$1)</f>
        <v>0</v>
      </c>
      <c r="G29" s="1">
        <f ca="1">ROUND(Scores!T32,$B$1)</f>
        <v>50</v>
      </c>
      <c r="H29" s="1">
        <f ca="1">ROUND(Scores!U32,$B$1)</f>
        <v>0</v>
      </c>
      <c r="I29" s="1">
        <f ca="1">ROUND(Scores!V32,$B$1)</f>
        <v>50</v>
      </c>
      <c r="J29" s="1">
        <f ca="1">ROUND(Scores!W32,$B$1)</f>
        <v>100</v>
      </c>
      <c r="K29" s="1">
        <f ca="1">ROUND(Scores!X32,$B$1)</f>
        <v>0</v>
      </c>
      <c r="L29" s="1">
        <f ca="1">ROUND(Scores!Y32,$B$1)</f>
        <v>100</v>
      </c>
      <c r="M29" s="1">
        <f ca="1">ROUND(Scores!Z32,$B$1)</f>
        <v>100</v>
      </c>
      <c r="N29" s="1">
        <f ca="1">ROUND(Scores!AA32,$B$1)</f>
        <v>0</v>
      </c>
      <c r="O29" s="1">
        <f ca="1">ROUND(Scores!AB32,$B$1)</f>
        <v>0</v>
      </c>
      <c r="P29" s="1">
        <f>ROUND(Scores!AC32,$B$1)</f>
        <v>0</v>
      </c>
      <c r="Q29" s="1">
        <f>ROUND(Scores!AD32,$B$1)</f>
        <v>0</v>
      </c>
      <c r="R29" s="1">
        <f>ROUND(Scores!AE32,$B$1)</f>
        <v>0</v>
      </c>
      <c r="S29" s="1">
        <f>ROUND(Scores!AF32,$B$1)</f>
        <v>0</v>
      </c>
      <c r="T29" s="1">
        <f>ROUND(Scores!AG32,$B$1)</f>
        <v>0</v>
      </c>
      <c r="U29" s="1">
        <f>ROUND(Scores!AH32,$B$1)</f>
        <v>0</v>
      </c>
      <c r="V29" s="1">
        <f>ROUND(Scores!AI32,$B$1)</f>
        <v>0</v>
      </c>
      <c r="W29" s="1">
        <f>ROUND(Scores!AJ32,$B$1)</f>
        <v>0</v>
      </c>
      <c r="X29" s="1">
        <f>ROUND(Scores!AK32,$B$1)</f>
        <v>0</v>
      </c>
      <c r="Z29" s="1">
        <f t="shared" ca="1" si="6"/>
        <v>50</v>
      </c>
      <c r="AA29" s="1">
        <f t="shared" ca="1" si="7"/>
        <v>50</v>
      </c>
      <c r="AB29" s="28"/>
      <c r="AC29" s="28"/>
      <c r="AD29" s="28"/>
      <c r="AE29" s="28"/>
      <c r="AG29" s="146">
        <f t="shared" ca="1" si="23"/>
        <v>50</v>
      </c>
      <c r="AH29" s="146">
        <f t="shared" ca="1" si="24"/>
        <v>50</v>
      </c>
      <c r="AI29" s="146">
        <f t="shared" ca="1" si="25"/>
        <v>50</v>
      </c>
      <c r="AJ29" s="146">
        <f t="shared" ca="1" si="26"/>
        <v>50</v>
      </c>
      <c r="AK29" s="146">
        <f t="shared" ca="1" si="27"/>
        <v>50</v>
      </c>
      <c r="AP29" s="147">
        <f t="shared" ca="1" si="2"/>
        <v>50</v>
      </c>
      <c r="AQ29" s="147">
        <f t="shared" ca="1" si="3"/>
        <v>50</v>
      </c>
      <c r="AR29" s="147">
        <f t="shared" ca="1" si="4"/>
        <v>50</v>
      </c>
      <c r="AS29" s="147">
        <f t="shared" ca="1" si="5"/>
        <v>50</v>
      </c>
      <c r="AT29" s="28">
        <f t="shared" ca="1" si="28"/>
        <v>50</v>
      </c>
      <c r="AV29" s="1">
        <f>SUM(AY29:BJ29)</f>
        <v>4</v>
      </c>
      <c r="AX29" s="6" t="str">
        <f>IF(AU29="","",INDEX(tblTerritories!$S$5:$S$8,AU29))</f>
        <v/>
      </c>
      <c r="AY29" s="1">
        <f>INDEX(tblTerritories!$W$3:$Z$14,AY28,$AW28)</f>
        <v>0</v>
      </c>
      <c r="AZ29" s="1">
        <f>INDEX(tblTerritories!$W$3:$Z$14,AZ28,$AW28)</f>
        <v>0</v>
      </c>
      <c r="BA29" s="1">
        <f>INDEX(tblTerritories!$W$3:$Z$14,BA28,$AW28)</f>
        <v>1</v>
      </c>
      <c r="BB29" s="1">
        <f>INDEX(tblTerritories!$W$3:$Z$14,BB28,$AW28)</f>
        <v>0</v>
      </c>
      <c r="BC29" s="1">
        <f>INDEX(tblTerritories!$W$3:$Z$14,BC28,$AW28)</f>
        <v>1</v>
      </c>
      <c r="BD29" s="1">
        <f>INDEX(tblTerritories!$W$3:$Z$14,BD28,$AW28)</f>
        <v>0</v>
      </c>
      <c r="BE29" s="1">
        <f>INDEX(tblTerritories!$W$3:$Z$14,BE28,$AW28)</f>
        <v>0</v>
      </c>
      <c r="BF29" s="1">
        <f>INDEX(tblTerritories!$W$3:$Z$14,BF28,$AW28)</f>
        <v>0</v>
      </c>
      <c r="BG29" s="1">
        <f>INDEX(tblTerritories!$W$3:$Z$14,BG28,$AW28)</f>
        <v>0</v>
      </c>
      <c r="BH29" s="1">
        <f>INDEX(tblTerritories!$W$3:$Z$14,BH28,$AW28)</f>
        <v>1</v>
      </c>
      <c r="BI29" s="1">
        <f>INDEX(tblTerritories!$W$3:$Z$14,BI28,$AW28)</f>
        <v>0</v>
      </c>
      <c r="BJ29" s="1">
        <f>INDEX(tblTerritories!$W$3:$Z$14,BJ28,$AW28)</f>
        <v>1</v>
      </c>
    </row>
    <row r="30" spans="1:62">
      <c r="A30" s="1">
        <v>30</v>
      </c>
      <c r="B30" s="1" t="str">
        <f>Scores!N33</f>
        <v xml:space="preserve">  2.2) Organizaciones comerciales</v>
      </c>
      <c r="C30" s="1">
        <f ca="1">ROUND(Scores!P33,$B$1)</f>
        <v>16.7</v>
      </c>
      <c r="D30" s="1">
        <f ca="1">ROUND(Scores!Q33,$B$1)</f>
        <v>50</v>
      </c>
      <c r="E30" s="1">
        <f ca="1">ROUND(Scores!R33,$B$1)</f>
        <v>88.9</v>
      </c>
      <c r="F30" s="1">
        <f ca="1">ROUND(Scores!S33,$B$1)</f>
        <v>0</v>
      </c>
      <c r="G30" s="1">
        <f ca="1">ROUND(Scores!T33,$B$1)</f>
        <v>33.299999999999997</v>
      </c>
      <c r="H30" s="1">
        <f ca="1">ROUND(Scores!U33,$B$1)</f>
        <v>33.299999999999997</v>
      </c>
      <c r="I30" s="1">
        <f ca="1">ROUND(Scores!V33,$B$1)</f>
        <v>16.7</v>
      </c>
      <c r="J30" s="1">
        <f ca="1">ROUND(Scores!W33,$B$1)</f>
        <v>33.299999999999997</v>
      </c>
      <c r="K30" s="1">
        <f ca="1">ROUND(Scores!X33,$B$1)</f>
        <v>0</v>
      </c>
      <c r="L30" s="1">
        <f ca="1">ROUND(Scores!Y33,$B$1)</f>
        <v>77.8</v>
      </c>
      <c r="M30" s="1">
        <f ca="1">ROUND(Scores!Z33,$B$1)</f>
        <v>33.299999999999997</v>
      </c>
      <c r="N30" s="1">
        <f ca="1">ROUND(Scores!AA33,$B$1)</f>
        <v>38.9</v>
      </c>
      <c r="O30" s="1">
        <f ca="1">ROUND(Scores!AB33,$B$1)</f>
        <v>0</v>
      </c>
      <c r="P30" s="1">
        <f>ROUND(Scores!AC33,$B$1)</f>
        <v>0</v>
      </c>
      <c r="Q30" s="1">
        <f>ROUND(Scores!AD33,$B$1)</f>
        <v>0</v>
      </c>
      <c r="R30" s="1">
        <f>ROUND(Scores!AE33,$B$1)</f>
        <v>0</v>
      </c>
      <c r="S30" s="1">
        <f>ROUND(Scores!AF33,$B$1)</f>
        <v>0</v>
      </c>
      <c r="T30" s="1">
        <f>ROUND(Scores!AG33,$B$1)</f>
        <v>0</v>
      </c>
      <c r="U30" s="1">
        <f>ROUND(Scores!AH33,$B$1)</f>
        <v>0</v>
      </c>
      <c r="V30" s="1">
        <f>ROUND(Scores!AI33,$B$1)</f>
        <v>0</v>
      </c>
      <c r="W30" s="1">
        <f>ROUND(Scores!AJ33,$B$1)</f>
        <v>0</v>
      </c>
      <c r="X30" s="1">
        <f>ROUND(Scores!AK33,$B$1)</f>
        <v>0</v>
      </c>
      <c r="Z30" s="1">
        <f t="shared" ca="1" si="6"/>
        <v>35.183333333333337</v>
      </c>
      <c r="AA30" s="1">
        <f t="shared" ca="1" si="7"/>
        <v>35.183333333333337</v>
      </c>
      <c r="AB30" s="28"/>
      <c r="AC30" s="28"/>
      <c r="AD30" s="28"/>
      <c r="AE30" s="28"/>
      <c r="AG30" s="146">
        <f t="shared" ca="1" si="23"/>
        <v>35.183333333333337</v>
      </c>
      <c r="AH30" s="146">
        <f t="shared" ca="1" si="24"/>
        <v>59.725000000000001</v>
      </c>
      <c r="AI30" s="146">
        <f t="shared" ca="1" si="25"/>
        <v>22.233333333333334</v>
      </c>
      <c r="AJ30" s="146">
        <f t="shared" ca="1" si="26"/>
        <v>33.299999999999997</v>
      </c>
      <c r="AK30" s="146">
        <f t="shared" ca="1" si="27"/>
        <v>16.666666666666668</v>
      </c>
      <c r="AP30" s="147">
        <f t="shared" ca="1" si="2"/>
        <v>59.725000000000001</v>
      </c>
      <c r="AQ30" s="147">
        <f t="shared" ca="1" si="3"/>
        <v>22.233333333333334</v>
      </c>
      <c r="AR30" s="147">
        <f t="shared" ca="1" si="4"/>
        <v>33.299999999999997</v>
      </c>
      <c r="AS30" s="147">
        <f t="shared" ca="1" si="5"/>
        <v>16.666666666666668</v>
      </c>
      <c r="AT30" s="28">
        <f t="shared" ca="1" si="28"/>
        <v>35.183333333333337</v>
      </c>
      <c r="AX30" s="6"/>
    </row>
    <row r="31" spans="1:62">
      <c r="A31" s="1">
        <v>31</v>
      </c>
      <c r="B31" s="1" t="str">
        <f>Scores!N34</f>
        <v xml:space="preserve">   2.2.1) 21.¿Existen organizaciones de recicladores con actividad comercial en el municipio (cooperativas y/o microempresas)? </v>
      </c>
      <c r="C31" s="1">
        <f ca="1">ROUND(Scores!P34,$B$1)</f>
        <v>50</v>
      </c>
      <c r="D31" s="1">
        <f ca="1">ROUND(Scores!Q34,$B$1)</f>
        <v>100</v>
      </c>
      <c r="E31" s="1">
        <f ca="1">ROUND(Scores!R34,$B$1)</f>
        <v>100</v>
      </c>
      <c r="F31" s="1">
        <f ca="1">ROUND(Scores!S34,$B$1)</f>
        <v>0</v>
      </c>
      <c r="G31" s="1">
        <f ca="1">ROUND(Scores!T34,$B$1)</f>
        <v>50</v>
      </c>
      <c r="H31" s="1">
        <f ca="1">ROUND(Scores!U34,$B$1)</f>
        <v>50</v>
      </c>
      <c r="I31" s="1">
        <f ca="1">ROUND(Scores!V34,$B$1)</f>
        <v>50</v>
      </c>
      <c r="J31" s="1">
        <f ca="1">ROUND(Scores!W34,$B$1)</f>
        <v>50</v>
      </c>
      <c r="K31" s="1">
        <f ca="1">ROUND(Scores!X34,$B$1)</f>
        <v>0</v>
      </c>
      <c r="L31" s="1">
        <f ca="1">ROUND(Scores!Y34,$B$1)</f>
        <v>100</v>
      </c>
      <c r="M31" s="1">
        <f ca="1">ROUND(Scores!Z34,$B$1)</f>
        <v>50</v>
      </c>
      <c r="N31" s="1">
        <f ca="1">ROUND(Scores!AA34,$B$1)</f>
        <v>0</v>
      </c>
      <c r="O31" s="1">
        <f ca="1">ROUND(Scores!AB34,$B$1)</f>
        <v>0</v>
      </c>
      <c r="P31" s="1">
        <f>ROUND(Scores!AC34,$B$1)</f>
        <v>0</v>
      </c>
      <c r="Q31" s="1">
        <f>ROUND(Scores!AD34,$B$1)</f>
        <v>0</v>
      </c>
      <c r="R31" s="1">
        <f>ROUND(Scores!AE34,$B$1)</f>
        <v>0</v>
      </c>
      <c r="S31" s="1">
        <f>ROUND(Scores!AF34,$B$1)</f>
        <v>0</v>
      </c>
      <c r="T31" s="1">
        <f>ROUND(Scores!AG34,$B$1)</f>
        <v>0</v>
      </c>
      <c r="U31" s="1">
        <f>ROUND(Scores!AH34,$B$1)</f>
        <v>0</v>
      </c>
      <c r="V31" s="1">
        <f>ROUND(Scores!AI34,$B$1)</f>
        <v>0</v>
      </c>
      <c r="W31" s="1">
        <f>ROUND(Scores!AJ34,$B$1)</f>
        <v>0</v>
      </c>
      <c r="X31" s="1">
        <f>ROUND(Scores!AK34,$B$1)</f>
        <v>0</v>
      </c>
      <c r="Z31" s="1">
        <f t="shared" ca="1" si="6"/>
        <v>50</v>
      </c>
      <c r="AA31" s="1">
        <f t="shared" ca="1" si="7"/>
        <v>50</v>
      </c>
      <c r="AB31" s="28"/>
      <c r="AC31" s="28"/>
      <c r="AD31" s="28"/>
      <c r="AE31" s="28"/>
      <c r="AG31" s="146">
        <f t="shared" ca="1" si="23"/>
        <v>50</v>
      </c>
      <c r="AH31" s="146">
        <f t="shared" ca="1" si="24"/>
        <v>62.5</v>
      </c>
      <c r="AI31" s="146">
        <f t="shared" ca="1" si="25"/>
        <v>50</v>
      </c>
      <c r="AJ31" s="146">
        <f t="shared" ca="1" si="26"/>
        <v>50</v>
      </c>
      <c r="AK31" s="146">
        <f t="shared" ca="1" si="27"/>
        <v>33.333333333333336</v>
      </c>
      <c r="AP31" s="147">
        <f t="shared" ca="1" si="2"/>
        <v>62.5</v>
      </c>
      <c r="AQ31" s="147">
        <f t="shared" ca="1" si="3"/>
        <v>50</v>
      </c>
      <c r="AR31" s="147">
        <f t="shared" ca="1" si="4"/>
        <v>50</v>
      </c>
      <c r="AS31" s="147">
        <f t="shared" ca="1" si="5"/>
        <v>33.333333333333336</v>
      </c>
      <c r="AT31" s="28">
        <f t="shared" ca="1" si="28"/>
        <v>50</v>
      </c>
      <c r="AX31" s="6" t="str">
        <f>IF(AU31="","",INDEX(tblTerritories!$S$5:$S$8,AU31))</f>
        <v/>
      </c>
    </row>
    <row r="32" spans="1:62">
      <c r="A32" s="1">
        <v>32</v>
      </c>
      <c r="B32" s="1" t="str">
        <f>Scores!N35</f>
        <v xml:space="preserve">   2.2.2) 22.¿Cuál es el nivel de participación de las organizaciones de recicladores en la cadena de valor del reciclaje?</v>
      </c>
      <c r="C32" s="1">
        <f ca="1">ROUND(Scores!P35,$B$1)</f>
        <v>0</v>
      </c>
      <c r="D32" s="1">
        <f ca="1">ROUND(Scores!Q35,$B$1)</f>
        <v>50</v>
      </c>
      <c r="E32" s="1">
        <f ca="1">ROUND(Scores!R35,$B$1)</f>
        <v>100</v>
      </c>
      <c r="F32" s="1">
        <f ca="1">ROUND(Scores!S35,$B$1)</f>
        <v>0</v>
      </c>
      <c r="G32" s="1">
        <f ca="1">ROUND(Scores!T35,$B$1)</f>
        <v>50</v>
      </c>
      <c r="H32" s="1">
        <f ca="1">ROUND(Scores!U35,$B$1)</f>
        <v>50</v>
      </c>
      <c r="I32" s="1">
        <f ca="1">ROUND(Scores!V35,$B$1)</f>
        <v>0</v>
      </c>
      <c r="J32" s="1">
        <f ca="1">ROUND(Scores!W35,$B$1)</f>
        <v>50</v>
      </c>
      <c r="K32" s="1">
        <f ca="1">ROUND(Scores!X35,$B$1)</f>
        <v>0</v>
      </c>
      <c r="L32" s="1">
        <f ca="1">ROUND(Scores!Y35,$B$1)</f>
        <v>100</v>
      </c>
      <c r="M32" s="1">
        <f ca="1">ROUND(Scores!Z35,$B$1)</f>
        <v>50</v>
      </c>
      <c r="N32" s="1">
        <f ca="1">ROUND(Scores!AA35,$B$1)</f>
        <v>50</v>
      </c>
      <c r="O32" s="1">
        <f ca="1">ROUND(Scores!AB35,$B$1)</f>
        <v>0</v>
      </c>
      <c r="P32" s="1">
        <f>ROUND(Scores!AC35,$B$1)</f>
        <v>0</v>
      </c>
      <c r="Q32" s="1">
        <f>ROUND(Scores!AD35,$B$1)</f>
        <v>0</v>
      </c>
      <c r="R32" s="1">
        <f>ROUND(Scores!AE35,$B$1)</f>
        <v>0</v>
      </c>
      <c r="S32" s="1">
        <f>ROUND(Scores!AF35,$B$1)</f>
        <v>0</v>
      </c>
      <c r="T32" s="1">
        <f>ROUND(Scores!AG35,$B$1)</f>
        <v>0</v>
      </c>
      <c r="U32" s="1">
        <f>ROUND(Scores!AH35,$B$1)</f>
        <v>0</v>
      </c>
      <c r="V32" s="1">
        <f>ROUND(Scores!AI35,$B$1)</f>
        <v>0</v>
      </c>
      <c r="W32" s="1">
        <f>ROUND(Scores!AJ35,$B$1)</f>
        <v>0</v>
      </c>
      <c r="X32" s="1">
        <f>ROUND(Scores!AK35,$B$1)</f>
        <v>0</v>
      </c>
      <c r="Z32" s="1">
        <f t="shared" ca="1" si="6"/>
        <v>41.666666666666664</v>
      </c>
      <c r="AA32" s="1">
        <f t="shared" ca="1" si="7"/>
        <v>41.666666666666664</v>
      </c>
      <c r="AB32" s="28"/>
      <c r="AC32" s="28"/>
      <c r="AD32" s="28"/>
      <c r="AE32" s="28"/>
      <c r="AG32" s="146">
        <f t="shared" ca="1" si="23"/>
        <v>41.666666666666664</v>
      </c>
      <c r="AH32" s="146">
        <f t="shared" ca="1" si="24"/>
        <v>75</v>
      </c>
      <c r="AI32" s="146">
        <f t="shared" ca="1" si="25"/>
        <v>16.666666666666668</v>
      </c>
      <c r="AJ32" s="146">
        <f t="shared" ca="1" si="26"/>
        <v>50</v>
      </c>
      <c r="AK32" s="146">
        <f t="shared" ca="1" si="27"/>
        <v>16.666666666666668</v>
      </c>
      <c r="AP32" s="147">
        <f t="shared" ca="1" si="2"/>
        <v>75</v>
      </c>
      <c r="AQ32" s="147">
        <f t="shared" ca="1" si="3"/>
        <v>16.666666666666668</v>
      </c>
      <c r="AR32" s="147">
        <f t="shared" ca="1" si="4"/>
        <v>50</v>
      </c>
      <c r="AS32" s="147">
        <f t="shared" ca="1" si="5"/>
        <v>16.666666666666668</v>
      </c>
      <c r="AT32" s="28">
        <f t="shared" ca="1" si="28"/>
        <v>41.666666666666664</v>
      </c>
      <c r="AU32" s="1">
        <v>2</v>
      </c>
      <c r="AW32" s="100">
        <v>2</v>
      </c>
      <c r="AX32" s="6" t="str">
        <f>IF(AU32="","",INDEX(tblTerritories!$S$5:$S$8,AU32))</f>
        <v>Medio ingreso</v>
      </c>
      <c r="AY32" s="1">
        <v>1</v>
      </c>
      <c r="AZ32" s="1">
        <f t="shared" ref="AZ32:BJ32" si="30">AY32+1</f>
        <v>2</v>
      </c>
      <c r="BA32" s="1">
        <f t="shared" si="30"/>
        <v>3</v>
      </c>
      <c r="BB32" s="1">
        <f t="shared" si="30"/>
        <v>4</v>
      </c>
      <c r="BC32" s="1">
        <f t="shared" si="30"/>
        <v>5</v>
      </c>
      <c r="BD32" s="1">
        <f t="shared" si="30"/>
        <v>6</v>
      </c>
      <c r="BE32" s="1">
        <f t="shared" si="30"/>
        <v>7</v>
      </c>
      <c r="BF32" s="1">
        <f t="shared" si="30"/>
        <v>8</v>
      </c>
      <c r="BG32" s="1">
        <f t="shared" si="30"/>
        <v>9</v>
      </c>
      <c r="BH32" s="1">
        <f t="shared" si="30"/>
        <v>10</v>
      </c>
      <c r="BI32" s="1">
        <f t="shared" si="30"/>
        <v>11</v>
      </c>
      <c r="BJ32" s="1">
        <f t="shared" si="30"/>
        <v>12</v>
      </c>
    </row>
    <row r="33" spans="1:62">
      <c r="A33" s="1">
        <v>33</v>
      </c>
      <c r="B33" s="1" t="str">
        <f>Scores!N36</f>
        <v xml:space="preserve">   2.2.3) 23. Las organizaciones comerciales de recicladores: ¿Tienen acceso a mecanismos de financiamiento?</v>
      </c>
      <c r="C33" s="1">
        <f ca="1">ROUND(Scores!P36,$B$1)</f>
        <v>0</v>
      </c>
      <c r="D33" s="1">
        <f ca="1">ROUND(Scores!Q36,$B$1)</f>
        <v>0</v>
      </c>
      <c r="E33" s="1">
        <f ca="1">ROUND(Scores!R36,$B$1)</f>
        <v>66.7</v>
      </c>
      <c r="F33" s="1">
        <f ca="1">ROUND(Scores!S36,$B$1)</f>
        <v>0</v>
      </c>
      <c r="G33" s="1">
        <f ca="1">ROUND(Scores!T36,$B$1)</f>
        <v>0</v>
      </c>
      <c r="H33" s="1">
        <f ca="1">ROUND(Scores!U36,$B$1)</f>
        <v>0</v>
      </c>
      <c r="I33" s="1">
        <f ca="1">ROUND(Scores!V36,$B$1)</f>
        <v>0</v>
      </c>
      <c r="J33" s="1">
        <f ca="1">ROUND(Scores!W36,$B$1)</f>
        <v>0</v>
      </c>
      <c r="K33" s="1">
        <f ca="1">ROUND(Scores!X36,$B$1)</f>
        <v>0</v>
      </c>
      <c r="L33" s="1">
        <f ca="1">ROUND(Scores!Y36,$B$1)</f>
        <v>33.299999999999997</v>
      </c>
      <c r="M33" s="1">
        <f ca="1">ROUND(Scores!Z36,$B$1)</f>
        <v>0</v>
      </c>
      <c r="N33" s="1">
        <f ca="1">ROUND(Scores!AA36,$B$1)</f>
        <v>66.7</v>
      </c>
      <c r="O33" s="1">
        <f ca="1">ROUND(Scores!AB36,$B$1)</f>
        <v>0</v>
      </c>
      <c r="P33" s="1">
        <f>ROUND(Scores!AC36,$B$1)</f>
        <v>0</v>
      </c>
      <c r="Q33" s="1">
        <f>ROUND(Scores!AD36,$B$1)</f>
        <v>0</v>
      </c>
      <c r="R33" s="1">
        <f>ROUND(Scores!AE36,$B$1)</f>
        <v>0</v>
      </c>
      <c r="S33" s="1">
        <f>ROUND(Scores!AF36,$B$1)</f>
        <v>0</v>
      </c>
      <c r="T33" s="1">
        <f>ROUND(Scores!AG36,$B$1)</f>
        <v>0</v>
      </c>
      <c r="U33" s="1">
        <f>ROUND(Scores!AH36,$B$1)</f>
        <v>0</v>
      </c>
      <c r="V33" s="1">
        <f>ROUND(Scores!AI36,$B$1)</f>
        <v>0</v>
      </c>
      <c r="W33" s="1">
        <f>ROUND(Scores!AJ36,$B$1)</f>
        <v>0</v>
      </c>
      <c r="X33" s="1">
        <f>ROUND(Scores!AK36,$B$1)</f>
        <v>0</v>
      </c>
      <c r="Z33" s="1">
        <f t="shared" ca="1" si="6"/>
        <v>13.891666666666666</v>
      </c>
      <c r="AA33" s="1">
        <f t="shared" ca="1" si="7"/>
        <v>13.891666666666666</v>
      </c>
      <c r="AB33" s="28"/>
      <c r="AC33" s="28"/>
      <c r="AD33" s="28"/>
      <c r="AE33" s="28"/>
      <c r="AG33" s="146">
        <f t="shared" ca="1" si="23"/>
        <v>13.891666666666666</v>
      </c>
      <c r="AH33" s="146">
        <f t="shared" ca="1" si="24"/>
        <v>41.674999999999997</v>
      </c>
      <c r="AI33" s="146">
        <f t="shared" ca="1" si="25"/>
        <v>0</v>
      </c>
      <c r="AJ33" s="146">
        <f t="shared" ca="1" si="26"/>
        <v>0</v>
      </c>
      <c r="AK33" s="146">
        <f t="shared" ca="1" si="27"/>
        <v>0</v>
      </c>
      <c r="AP33" s="147">
        <f t="shared" ca="1" si="2"/>
        <v>41.674999999999997</v>
      </c>
      <c r="AQ33" s="147">
        <f t="shared" ca="1" si="3"/>
        <v>0</v>
      </c>
      <c r="AR33" s="147">
        <f t="shared" ca="1" si="4"/>
        <v>0</v>
      </c>
      <c r="AS33" s="147">
        <f t="shared" ca="1" si="5"/>
        <v>0</v>
      </c>
      <c r="AT33" s="28">
        <f t="shared" ca="1" si="28"/>
        <v>13.891666666666666</v>
      </c>
      <c r="AV33" s="1">
        <f>SUM(AY33:BJ33)</f>
        <v>3</v>
      </c>
      <c r="AX33" s="6" t="str">
        <f>IF(AU33="","",INDEX(tblTerritories!$S$5:$S$8,AU33))</f>
        <v/>
      </c>
      <c r="AY33" s="1">
        <f>INDEX(tblTerritories!$W$3:$Z$14,AY32,$AW32)</f>
        <v>0</v>
      </c>
      <c r="AZ33" s="1">
        <f>INDEX(tblTerritories!$W$3:$Z$14,AZ32,$AW32)</f>
        <v>1</v>
      </c>
      <c r="BA33" s="1">
        <f>INDEX(tblTerritories!$W$3:$Z$14,BA32,$AW32)</f>
        <v>0</v>
      </c>
      <c r="BB33" s="1">
        <f>INDEX(tblTerritories!$W$3:$Z$14,BB32,$AW32)</f>
        <v>0</v>
      </c>
      <c r="BC33" s="1">
        <f>INDEX(tblTerritories!$W$3:$Z$14,BC32,$AW32)</f>
        <v>0</v>
      </c>
      <c r="BD33" s="1">
        <f>INDEX(tblTerritories!$W$3:$Z$14,BD32,$AW32)</f>
        <v>0</v>
      </c>
      <c r="BE33" s="1">
        <f>INDEX(tblTerritories!$W$3:$Z$14,BE32,$AW32)</f>
        <v>1</v>
      </c>
      <c r="BF33" s="1">
        <f>INDEX(tblTerritories!$W$3:$Z$14,BF32,$AW32)</f>
        <v>0</v>
      </c>
      <c r="BG33" s="1">
        <f>INDEX(tblTerritories!$W$3:$Z$14,BG32,$AW32)</f>
        <v>1</v>
      </c>
      <c r="BH33" s="1">
        <f>INDEX(tblTerritories!$W$3:$Z$14,BH32,$AW32)</f>
        <v>0</v>
      </c>
      <c r="BI33" s="1">
        <f>INDEX(tblTerritories!$W$3:$Z$14,BI32,$AW32)</f>
        <v>0</v>
      </c>
      <c r="BJ33" s="1">
        <f>INDEX(tblTerritories!$W$3:$Z$14,BJ32,$AW32)</f>
        <v>0</v>
      </c>
    </row>
    <row r="34" spans="1:62">
      <c r="A34" s="1">
        <v>34</v>
      </c>
      <c r="B34" s="1" t="str">
        <f>Scores!N37</f>
        <v xml:space="preserve"> 3) MERCADO</v>
      </c>
      <c r="C34" s="1">
        <f ca="1">ROUND(Scores!P37,$B$1)</f>
        <v>27.4</v>
      </c>
      <c r="D34" s="1">
        <f ca="1">ROUND(Scores!Q37,$B$1)</f>
        <v>62.9</v>
      </c>
      <c r="E34" s="1">
        <f ca="1">ROUND(Scores!R37,$B$1)</f>
        <v>92</v>
      </c>
      <c r="F34" s="1">
        <f ca="1">ROUND(Scores!S37,$B$1)</f>
        <v>36.6</v>
      </c>
      <c r="G34" s="1">
        <f ca="1">ROUND(Scores!T37,$B$1)</f>
        <v>50.5</v>
      </c>
      <c r="H34" s="1">
        <f ca="1">ROUND(Scores!U37,$B$1)</f>
        <v>52.1</v>
      </c>
      <c r="I34" s="1">
        <f ca="1">ROUND(Scores!V37,$B$1)</f>
        <v>41.2</v>
      </c>
      <c r="J34" s="1">
        <f ca="1">ROUND(Scores!W37,$B$1)</f>
        <v>34.9</v>
      </c>
      <c r="K34" s="1">
        <f ca="1">ROUND(Scores!X37,$B$1)</f>
        <v>26</v>
      </c>
      <c r="L34" s="1">
        <f ca="1">ROUND(Scores!Y37,$B$1)</f>
        <v>72.099999999999994</v>
      </c>
      <c r="M34" s="1">
        <f ca="1">ROUND(Scores!Z37,$B$1)</f>
        <v>47.8</v>
      </c>
      <c r="N34" s="1">
        <f ca="1">ROUND(Scores!AA37,$B$1)</f>
        <v>55.4</v>
      </c>
      <c r="O34" s="1">
        <f ca="1">ROUND(Scores!AB37,$B$1)</f>
        <v>14.6</v>
      </c>
      <c r="P34" s="1">
        <f>ROUND(Scores!AC37,$B$1)</f>
        <v>0</v>
      </c>
      <c r="Q34" s="1">
        <f>ROUND(Scores!AD37,$B$1)</f>
        <v>0</v>
      </c>
      <c r="R34" s="1">
        <f>ROUND(Scores!AE37,$B$1)</f>
        <v>0</v>
      </c>
      <c r="S34" s="1">
        <f>ROUND(Scores!AF37,$B$1)</f>
        <v>0</v>
      </c>
      <c r="T34" s="1">
        <f>ROUND(Scores!AG37,$B$1)</f>
        <v>0</v>
      </c>
      <c r="U34" s="1">
        <f>ROUND(Scores!AH37,$B$1)</f>
        <v>0</v>
      </c>
      <c r="V34" s="1">
        <f>ROUND(Scores!AI37,$B$1)</f>
        <v>0</v>
      </c>
      <c r="W34" s="1">
        <f>ROUND(Scores!AJ37,$B$1)</f>
        <v>0</v>
      </c>
      <c r="X34" s="1">
        <f>ROUND(Scores!AK37,$B$1)</f>
        <v>0</v>
      </c>
      <c r="Z34" s="1">
        <f t="shared" ca="1" si="6"/>
        <v>49.908333333333324</v>
      </c>
      <c r="AA34" s="1">
        <f t="shared" ca="1" si="7"/>
        <v>49.908333333333324</v>
      </c>
      <c r="AB34" s="28"/>
      <c r="AC34" s="28"/>
      <c r="AD34" s="28"/>
      <c r="AE34" s="28"/>
      <c r="AG34" s="146">
        <f t="shared" ca="1" si="23"/>
        <v>49.908333333333324</v>
      </c>
      <c r="AH34" s="146">
        <f t="shared" ca="1" si="24"/>
        <v>67.5</v>
      </c>
      <c r="AI34" s="146">
        <f t="shared" ca="1" si="25"/>
        <v>43.366666666666667</v>
      </c>
      <c r="AJ34" s="146">
        <f t="shared" ca="1" si="26"/>
        <v>43.5</v>
      </c>
      <c r="AK34" s="146">
        <f t="shared" ca="1" si="27"/>
        <v>37.266666666666666</v>
      </c>
      <c r="AP34" s="147">
        <f t="shared" ca="1" si="2"/>
        <v>67.5</v>
      </c>
      <c r="AQ34" s="147">
        <f t="shared" ca="1" si="3"/>
        <v>43.366666666666667</v>
      </c>
      <c r="AR34" s="147">
        <f t="shared" ca="1" si="4"/>
        <v>43.5</v>
      </c>
      <c r="AS34" s="147">
        <f t="shared" ca="1" si="5"/>
        <v>37.266666666666666</v>
      </c>
      <c r="AT34" s="28">
        <f t="shared" ca="1" si="28"/>
        <v>49.908333333333324</v>
      </c>
    </row>
    <row r="35" spans="1:62">
      <c r="A35" s="1">
        <v>35</v>
      </c>
      <c r="B35" s="1" t="str">
        <f>Scores!N38</f>
        <v xml:space="preserve">  3.1) Condiciones de acceso y almacenamiento de residuos</v>
      </c>
      <c r="C35" s="1">
        <f ca="1">ROUND(Scores!P38,$B$1)</f>
        <v>8.3000000000000007</v>
      </c>
      <c r="D35" s="1">
        <f ca="1">ROUND(Scores!Q38,$B$1)</f>
        <v>54.2</v>
      </c>
      <c r="E35" s="1">
        <f ca="1">ROUND(Scores!R38,$B$1)</f>
        <v>100</v>
      </c>
      <c r="F35" s="1">
        <f ca="1">ROUND(Scores!S38,$B$1)</f>
        <v>20.8</v>
      </c>
      <c r="G35" s="1">
        <f ca="1">ROUND(Scores!T38,$B$1)</f>
        <v>33.299999999999997</v>
      </c>
      <c r="H35" s="1">
        <f ca="1">ROUND(Scores!U38,$B$1)</f>
        <v>41.7</v>
      </c>
      <c r="I35" s="1">
        <f ca="1">ROUND(Scores!V38,$B$1)</f>
        <v>45.8</v>
      </c>
      <c r="J35" s="1">
        <f ca="1">ROUND(Scores!W38,$B$1)</f>
        <v>8.3000000000000007</v>
      </c>
      <c r="K35" s="1">
        <f ca="1">ROUND(Scores!X38,$B$1)</f>
        <v>20.8</v>
      </c>
      <c r="L35" s="1">
        <f ca="1">ROUND(Scores!Y38,$B$1)</f>
        <v>87.5</v>
      </c>
      <c r="M35" s="1">
        <f ca="1">ROUND(Scores!Z38,$B$1)</f>
        <v>45.8</v>
      </c>
      <c r="N35" s="1">
        <f ca="1">ROUND(Scores!AA38,$B$1)</f>
        <v>58.3</v>
      </c>
      <c r="O35" s="1">
        <f ca="1">ROUND(Scores!AB38,$B$1)</f>
        <v>0</v>
      </c>
      <c r="P35" s="1">
        <f>ROUND(Scores!AC38,$B$1)</f>
        <v>0</v>
      </c>
      <c r="Q35" s="1">
        <f>ROUND(Scores!AD38,$B$1)</f>
        <v>0</v>
      </c>
      <c r="R35" s="1">
        <f>ROUND(Scores!AE38,$B$1)</f>
        <v>0</v>
      </c>
      <c r="S35" s="1">
        <f>ROUND(Scores!AF38,$B$1)</f>
        <v>0</v>
      </c>
      <c r="T35" s="1">
        <f>ROUND(Scores!AG38,$B$1)</f>
        <v>0</v>
      </c>
      <c r="U35" s="1">
        <f>ROUND(Scores!AH38,$B$1)</f>
        <v>0</v>
      </c>
      <c r="V35" s="1">
        <f>ROUND(Scores!AI38,$B$1)</f>
        <v>0</v>
      </c>
      <c r="W35" s="1">
        <f>ROUND(Scores!AJ38,$B$1)</f>
        <v>0</v>
      </c>
      <c r="X35" s="1">
        <f>ROUND(Scores!AK38,$B$1)</f>
        <v>0</v>
      </c>
      <c r="Z35" s="1">
        <f t="shared" ca="1" si="6"/>
        <v>43.733333333333341</v>
      </c>
      <c r="AA35" s="1">
        <f t="shared" ca="1" si="7"/>
        <v>43.733333333333341</v>
      </c>
      <c r="AB35" s="28"/>
      <c r="AC35" s="28"/>
      <c r="AD35" s="28"/>
      <c r="AE35" s="28"/>
      <c r="AG35" s="146">
        <f t="shared" ca="1" si="23"/>
        <v>43.733333333333341</v>
      </c>
      <c r="AH35" s="146">
        <f t="shared" ca="1" si="24"/>
        <v>69.775000000000006</v>
      </c>
      <c r="AI35" s="146">
        <f t="shared" ca="1" si="25"/>
        <v>40.266666666666666</v>
      </c>
      <c r="AJ35" s="146">
        <f t="shared" ca="1" si="26"/>
        <v>25</v>
      </c>
      <c r="AK35" s="146">
        <f t="shared" ca="1" si="27"/>
        <v>24.966666666666669</v>
      </c>
      <c r="AP35" s="147">
        <f t="shared" ca="1" si="2"/>
        <v>69.775000000000006</v>
      </c>
      <c r="AQ35" s="147">
        <f t="shared" ca="1" si="3"/>
        <v>40.266666666666666</v>
      </c>
      <c r="AR35" s="147">
        <f t="shared" ca="1" si="4"/>
        <v>25</v>
      </c>
      <c r="AS35" s="147">
        <f t="shared" ca="1" si="5"/>
        <v>24.966666666666669</v>
      </c>
      <c r="AT35" s="28">
        <f t="shared" ca="1" si="28"/>
        <v>43.733333333333341</v>
      </c>
    </row>
    <row r="36" spans="1:62">
      <c r="A36" s="1">
        <v>36</v>
      </c>
      <c r="B36" s="1" t="str">
        <f>Scores!N39</f>
        <v xml:space="preserve">   3.1.1) 24.¿Cómo es el acceso del material reciclable?</v>
      </c>
      <c r="C36" s="1">
        <f ca="1">ROUND(Scores!P39,$B$1)</f>
        <v>33.299999999999997</v>
      </c>
      <c r="D36" s="1">
        <f ca="1">ROUND(Scores!Q39,$B$1)</f>
        <v>66.7</v>
      </c>
      <c r="E36" s="1">
        <f ca="1">ROUND(Scores!R39,$B$1)</f>
        <v>100</v>
      </c>
      <c r="F36" s="1">
        <f ca="1">ROUND(Scores!S39,$B$1)</f>
        <v>33.299999999999997</v>
      </c>
      <c r="G36" s="1">
        <f ca="1">ROUND(Scores!T39,$B$1)</f>
        <v>33.299999999999997</v>
      </c>
      <c r="H36" s="1">
        <f ca="1">ROUND(Scores!U39,$B$1)</f>
        <v>66.7</v>
      </c>
      <c r="I36" s="1">
        <f ca="1">ROUND(Scores!V39,$B$1)</f>
        <v>33.299999999999997</v>
      </c>
      <c r="J36" s="1">
        <f ca="1">ROUND(Scores!W39,$B$1)</f>
        <v>33.299999999999997</v>
      </c>
      <c r="K36" s="1">
        <f ca="1">ROUND(Scores!X39,$B$1)</f>
        <v>33.299999999999997</v>
      </c>
      <c r="L36" s="1">
        <f ca="1">ROUND(Scores!Y39,$B$1)</f>
        <v>100</v>
      </c>
      <c r="M36" s="1">
        <f ca="1">ROUND(Scores!Z39,$B$1)</f>
        <v>33.299999999999997</v>
      </c>
      <c r="N36" s="1">
        <f ca="1">ROUND(Scores!AA39,$B$1)</f>
        <v>33.299999999999997</v>
      </c>
      <c r="O36" s="1">
        <f ca="1">ROUND(Scores!AB39,$B$1)</f>
        <v>0</v>
      </c>
      <c r="P36" s="1">
        <f>ROUND(Scores!AC39,$B$1)</f>
        <v>0</v>
      </c>
      <c r="Q36" s="1">
        <f>ROUND(Scores!AD39,$B$1)</f>
        <v>0</v>
      </c>
      <c r="R36" s="1">
        <f>ROUND(Scores!AE39,$B$1)</f>
        <v>0</v>
      </c>
      <c r="S36" s="1">
        <f>ROUND(Scores!AF39,$B$1)</f>
        <v>0</v>
      </c>
      <c r="T36" s="1">
        <f>ROUND(Scores!AG39,$B$1)</f>
        <v>0</v>
      </c>
      <c r="U36" s="1">
        <f>ROUND(Scores!AH39,$B$1)</f>
        <v>0</v>
      </c>
      <c r="V36" s="1">
        <f>ROUND(Scores!AI39,$B$1)</f>
        <v>0</v>
      </c>
      <c r="W36" s="1">
        <f>ROUND(Scores!AJ39,$B$1)</f>
        <v>0</v>
      </c>
      <c r="X36" s="1">
        <f>ROUND(Scores!AK39,$B$1)</f>
        <v>0</v>
      </c>
      <c r="Z36" s="1">
        <f t="shared" ca="1" si="6"/>
        <v>49.983333333333327</v>
      </c>
      <c r="AA36" s="1">
        <f t="shared" ca="1" si="7"/>
        <v>49.983333333333327</v>
      </c>
      <c r="AB36" s="28"/>
      <c r="AC36" s="28"/>
      <c r="AD36" s="28"/>
      <c r="AE36" s="28"/>
      <c r="AG36" s="146">
        <f t="shared" ca="1" si="23"/>
        <v>49.983333333333327</v>
      </c>
      <c r="AH36" s="146">
        <f t="shared" ca="1" si="24"/>
        <v>66.650000000000006</v>
      </c>
      <c r="AI36" s="146">
        <f t="shared" ca="1" si="25"/>
        <v>44.433333333333337</v>
      </c>
      <c r="AJ36" s="146">
        <f t="shared" ca="1" si="26"/>
        <v>50</v>
      </c>
      <c r="AK36" s="146">
        <f t="shared" ca="1" si="27"/>
        <v>33.299999999999997</v>
      </c>
      <c r="AP36" s="147">
        <f t="shared" ca="1" si="2"/>
        <v>66.650000000000006</v>
      </c>
      <c r="AQ36" s="147">
        <f t="shared" ca="1" si="3"/>
        <v>44.433333333333337</v>
      </c>
      <c r="AR36" s="147">
        <f t="shared" ca="1" si="4"/>
        <v>50</v>
      </c>
      <c r="AS36" s="147">
        <f t="shared" ca="1" si="5"/>
        <v>33.299999999999997</v>
      </c>
      <c r="AT36" s="28">
        <f t="shared" ca="1" si="28"/>
        <v>49.983333333333327</v>
      </c>
      <c r="AU36" s="1">
        <v>3</v>
      </c>
      <c r="AW36" s="100">
        <v>3</v>
      </c>
      <c r="AX36" s="6" t="str">
        <f>IF(AU36="","",INDEX(tblTerritories!$S$5:$S$8,AU36))</f>
        <v>Medio-bajo ingreso</v>
      </c>
      <c r="AY36" s="1">
        <v>1</v>
      </c>
      <c r="AZ36" s="1">
        <f t="shared" ref="AZ36:BJ36" si="31">AY36+1</f>
        <v>2</v>
      </c>
      <c r="BA36" s="1">
        <f t="shared" si="31"/>
        <v>3</v>
      </c>
      <c r="BB36" s="1">
        <f t="shared" si="31"/>
        <v>4</v>
      </c>
      <c r="BC36" s="1">
        <f t="shared" si="31"/>
        <v>5</v>
      </c>
      <c r="BD36" s="1">
        <f t="shared" si="31"/>
        <v>6</v>
      </c>
      <c r="BE36" s="1">
        <f t="shared" si="31"/>
        <v>7</v>
      </c>
      <c r="BF36" s="1">
        <f t="shared" si="31"/>
        <v>8</v>
      </c>
      <c r="BG36" s="1">
        <f t="shared" si="31"/>
        <v>9</v>
      </c>
      <c r="BH36" s="1">
        <f t="shared" si="31"/>
        <v>10</v>
      </c>
      <c r="BI36" s="1">
        <f t="shared" si="31"/>
        <v>11</v>
      </c>
      <c r="BJ36" s="1">
        <f t="shared" si="31"/>
        <v>12</v>
      </c>
    </row>
    <row r="37" spans="1:62">
      <c r="A37" s="1">
        <v>37</v>
      </c>
      <c r="B37" s="1" t="str">
        <f>Scores!N40</f>
        <v xml:space="preserve">   3.1.2) 25.¿Existen esquemas formales de recolección diferenciada de residuos reciclables en el municipio que involucran a recicladores de base?</v>
      </c>
      <c r="C37" s="1">
        <f ca="1">ROUND(Scores!P40,$B$1)</f>
        <v>0</v>
      </c>
      <c r="D37" s="1">
        <f ca="1">ROUND(Scores!Q40,$B$1)</f>
        <v>0</v>
      </c>
      <c r="E37" s="1">
        <f ca="1">ROUND(Scores!R40,$B$1)</f>
        <v>100</v>
      </c>
      <c r="F37" s="1">
        <f ca="1">ROUND(Scores!S40,$B$1)</f>
        <v>0</v>
      </c>
      <c r="G37" s="1">
        <f ca="1">ROUND(Scores!T40,$B$1)</f>
        <v>0</v>
      </c>
      <c r="H37" s="1">
        <f ca="1">ROUND(Scores!U40,$B$1)</f>
        <v>100</v>
      </c>
      <c r="I37" s="1">
        <f ca="1">ROUND(Scores!V40,$B$1)</f>
        <v>50</v>
      </c>
      <c r="J37" s="1">
        <f ca="1">ROUND(Scores!W40,$B$1)</f>
        <v>0</v>
      </c>
      <c r="K37" s="1">
        <f ca="1">ROUND(Scores!X40,$B$1)</f>
        <v>50</v>
      </c>
      <c r="L37" s="1">
        <f ca="1">ROUND(Scores!Y40,$B$1)</f>
        <v>100</v>
      </c>
      <c r="M37" s="1">
        <f ca="1">ROUND(Scores!Z40,$B$1)</f>
        <v>50</v>
      </c>
      <c r="N37" s="1">
        <f ca="1">ROUND(Scores!AA40,$B$1)</f>
        <v>100</v>
      </c>
      <c r="O37" s="1">
        <f ca="1">ROUND(Scores!AB40,$B$1)</f>
        <v>0</v>
      </c>
      <c r="P37" s="1">
        <f>ROUND(Scores!AC40,$B$1)</f>
        <v>0</v>
      </c>
      <c r="Q37" s="1">
        <f>ROUND(Scores!AD40,$B$1)</f>
        <v>0</v>
      </c>
      <c r="R37" s="1">
        <f>ROUND(Scores!AE40,$B$1)</f>
        <v>0</v>
      </c>
      <c r="S37" s="1">
        <f>ROUND(Scores!AF40,$B$1)</f>
        <v>0</v>
      </c>
      <c r="T37" s="1">
        <f>ROUND(Scores!AG40,$B$1)</f>
        <v>0</v>
      </c>
      <c r="U37" s="1">
        <f>ROUND(Scores!AH40,$B$1)</f>
        <v>0</v>
      </c>
      <c r="V37" s="1">
        <f>ROUND(Scores!AI40,$B$1)</f>
        <v>0</v>
      </c>
      <c r="W37" s="1">
        <f>ROUND(Scores!AJ40,$B$1)</f>
        <v>0</v>
      </c>
      <c r="X37" s="1">
        <f>ROUND(Scores!AK40,$B$1)</f>
        <v>0</v>
      </c>
      <c r="Z37" s="1">
        <f t="shared" ca="1" si="6"/>
        <v>45.833333333333336</v>
      </c>
      <c r="AA37" s="1">
        <f t="shared" ca="1" si="7"/>
        <v>45.833333333333336</v>
      </c>
      <c r="AB37" s="28"/>
      <c r="AC37" s="28"/>
      <c r="AD37" s="28"/>
      <c r="AE37" s="28"/>
      <c r="AG37" s="146">
        <f t="shared" ca="1" si="23"/>
        <v>45.833333333333336</v>
      </c>
      <c r="AH37" s="146">
        <f t="shared" ca="1" si="24"/>
        <v>75</v>
      </c>
      <c r="AI37" s="146">
        <f t="shared" ca="1" si="25"/>
        <v>33.333333333333336</v>
      </c>
      <c r="AJ37" s="146">
        <f t="shared" ca="1" si="26"/>
        <v>50</v>
      </c>
      <c r="AK37" s="146">
        <f t="shared" ca="1" si="27"/>
        <v>16.666666666666668</v>
      </c>
      <c r="AP37" s="147">
        <f t="shared" ca="1" si="2"/>
        <v>75</v>
      </c>
      <c r="AQ37" s="147">
        <f t="shared" ca="1" si="3"/>
        <v>33.333333333333336</v>
      </c>
      <c r="AR37" s="147">
        <f t="shared" ca="1" si="4"/>
        <v>50</v>
      </c>
      <c r="AS37" s="147">
        <f t="shared" ca="1" si="5"/>
        <v>16.666666666666668</v>
      </c>
      <c r="AT37" s="28">
        <f t="shared" ca="1" si="28"/>
        <v>45.833333333333336</v>
      </c>
      <c r="AV37" s="1">
        <f>SUM(AY37:BJ37)</f>
        <v>2</v>
      </c>
      <c r="AX37" s="6" t="str">
        <f>IF(AU37="","",INDEX(tblTerritories!$S$5:$S$8,AU37))</f>
        <v/>
      </c>
      <c r="AY37" s="1">
        <f>INDEX(tblTerritories!$W$3:$Z$14,AY36,$AW36)</f>
        <v>0</v>
      </c>
      <c r="AZ37" s="1">
        <f>INDEX(tblTerritories!$W$3:$Z$14,AZ36,$AW36)</f>
        <v>0</v>
      </c>
      <c r="BA37" s="1">
        <f>INDEX(tblTerritories!$W$3:$Z$14,BA36,$AW36)</f>
        <v>0</v>
      </c>
      <c r="BB37" s="1">
        <f>INDEX(tblTerritories!$W$3:$Z$14,BB36,$AW36)</f>
        <v>0</v>
      </c>
      <c r="BC37" s="1">
        <f>INDEX(tblTerritories!$W$3:$Z$14,BC36,$AW36)</f>
        <v>0</v>
      </c>
      <c r="BD37" s="1">
        <f>INDEX(tblTerritories!$W$3:$Z$14,BD36,$AW36)</f>
        <v>1</v>
      </c>
      <c r="BE37" s="1">
        <f>INDEX(tblTerritories!$W$3:$Z$14,BE36,$AW36)</f>
        <v>0</v>
      </c>
      <c r="BF37" s="1">
        <f>INDEX(tblTerritories!$W$3:$Z$14,BF36,$AW36)</f>
        <v>1</v>
      </c>
      <c r="BG37" s="1">
        <f>INDEX(tblTerritories!$W$3:$Z$14,BG36,$AW36)</f>
        <v>0</v>
      </c>
      <c r="BH37" s="1">
        <f>INDEX(tblTerritories!$W$3:$Z$14,BH36,$AW36)</f>
        <v>0</v>
      </c>
      <c r="BI37" s="1">
        <f>INDEX(tblTerritories!$W$3:$Z$14,BI36,$AW36)</f>
        <v>0</v>
      </c>
      <c r="BJ37" s="1">
        <f>INDEX(tblTerritories!$W$3:$Z$14,BJ36,$AW36)</f>
        <v>0</v>
      </c>
    </row>
    <row r="38" spans="1:62">
      <c r="A38" s="1">
        <v>38</v>
      </c>
      <c r="B38" s="1" t="str">
        <f>Scores!N41</f>
        <v xml:space="preserve">   3.1.3) 26.¿Los recicladores tienen acceso a instalaciones para el almacenamiento y la clasificación de materiales?</v>
      </c>
      <c r="C38" s="1">
        <f ca="1">ROUND(Scores!P41,$B$1)</f>
        <v>0</v>
      </c>
      <c r="D38" s="1">
        <f ca="1">ROUND(Scores!Q41,$B$1)</f>
        <v>100</v>
      </c>
      <c r="E38" s="1">
        <f ca="1">ROUND(Scores!R41,$B$1)</f>
        <v>100</v>
      </c>
      <c r="F38" s="1">
        <f ca="1">ROUND(Scores!S41,$B$1)</f>
        <v>0</v>
      </c>
      <c r="G38" s="1">
        <f ca="1">ROUND(Scores!T41,$B$1)</f>
        <v>100</v>
      </c>
      <c r="H38" s="1">
        <f ca="1">ROUND(Scores!U41,$B$1)</f>
        <v>0</v>
      </c>
      <c r="I38" s="1">
        <f ca="1">ROUND(Scores!V41,$B$1)</f>
        <v>100</v>
      </c>
      <c r="J38" s="1">
        <f ca="1">ROUND(Scores!W41,$B$1)</f>
        <v>0</v>
      </c>
      <c r="K38" s="1">
        <f ca="1">ROUND(Scores!X41,$B$1)</f>
        <v>0</v>
      </c>
      <c r="L38" s="1">
        <f ca="1">ROUND(Scores!Y41,$B$1)</f>
        <v>100</v>
      </c>
      <c r="M38" s="1">
        <f ca="1">ROUND(Scores!Z41,$B$1)</f>
        <v>100</v>
      </c>
      <c r="N38" s="1">
        <f ca="1">ROUND(Scores!AA41,$B$1)</f>
        <v>100</v>
      </c>
      <c r="O38" s="1">
        <f ca="1">ROUND(Scores!AB41,$B$1)</f>
        <v>0</v>
      </c>
      <c r="P38" s="1">
        <f>ROUND(Scores!AC41,$B$1)</f>
        <v>0</v>
      </c>
      <c r="Q38" s="1">
        <f>ROUND(Scores!AD41,$B$1)</f>
        <v>0</v>
      </c>
      <c r="R38" s="1">
        <f>ROUND(Scores!AE41,$B$1)</f>
        <v>0</v>
      </c>
      <c r="S38" s="1">
        <f>ROUND(Scores!AF41,$B$1)</f>
        <v>0</v>
      </c>
      <c r="T38" s="1">
        <f>ROUND(Scores!AG41,$B$1)</f>
        <v>0</v>
      </c>
      <c r="U38" s="1">
        <f>ROUND(Scores!AH41,$B$1)</f>
        <v>0</v>
      </c>
      <c r="V38" s="1">
        <f>ROUND(Scores!AI41,$B$1)</f>
        <v>0</v>
      </c>
      <c r="W38" s="1">
        <f>ROUND(Scores!AJ41,$B$1)</f>
        <v>0</v>
      </c>
      <c r="X38" s="1">
        <f>ROUND(Scores!AK41,$B$1)</f>
        <v>0</v>
      </c>
      <c r="Z38" s="1">
        <f t="shared" ca="1" si="6"/>
        <v>58.333333333333336</v>
      </c>
      <c r="AA38" s="1">
        <f t="shared" ca="1" si="7"/>
        <v>58.333333333333336</v>
      </c>
      <c r="AB38" s="28"/>
      <c r="AC38" s="28"/>
      <c r="AD38" s="28"/>
      <c r="AE38" s="28"/>
      <c r="AG38" s="146">
        <f t="shared" ca="1" si="23"/>
        <v>58.333333333333336</v>
      </c>
      <c r="AH38" s="146">
        <f t="shared" ca="1" si="24"/>
        <v>100</v>
      </c>
      <c r="AI38" s="146">
        <f t="shared" ca="1" si="25"/>
        <v>66.666666666666671</v>
      </c>
      <c r="AJ38" s="146">
        <f t="shared" ca="1" si="26"/>
        <v>0</v>
      </c>
      <c r="AK38" s="146">
        <f t="shared" ca="1" si="27"/>
        <v>33.333333333333336</v>
      </c>
      <c r="AP38" s="147">
        <f t="shared" ca="1" si="2"/>
        <v>100</v>
      </c>
      <c r="AQ38" s="147">
        <f t="shared" ca="1" si="3"/>
        <v>66.666666666666671</v>
      </c>
      <c r="AR38" s="147">
        <f t="shared" ca="1" si="4"/>
        <v>0</v>
      </c>
      <c r="AS38" s="147">
        <f t="shared" ca="1" si="5"/>
        <v>33.333333333333336</v>
      </c>
      <c r="AT38" s="28">
        <f t="shared" ca="1" si="28"/>
        <v>58.333333333333336</v>
      </c>
    </row>
    <row r="39" spans="1:62">
      <c r="A39" s="1">
        <v>39</v>
      </c>
      <c r="B39" s="1" t="str">
        <f>Scores!N42</f>
        <v xml:space="preserve">   3.1.4) 27.¿Cuál es el nivel de desarrollo técnico alcanzado en la clasificación (o pre-procesamiento) de materiales reciclables por parte de agrupaciones de recicladores?</v>
      </c>
      <c r="C39" s="1">
        <f ca="1">ROUND(Scores!P42,$B$1)</f>
        <v>0</v>
      </c>
      <c r="D39" s="1">
        <f ca="1">ROUND(Scores!Q42,$B$1)</f>
        <v>50</v>
      </c>
      <c r="E39" s="1">
        <f ca="1">ROUND(Scores!R42,$B$1)</f>
        <v>100</v>
      </c>
      <c r="F39" s="1">
        <f ca="1">ROUND(Scores!S42,$B$1)</f>
        <v>50</v>
      </c>
      <c r="G39" s="1">
        <f ca="1">ROUND(Scores!T42,$B$1)</f>
        <v>0</v>
      </c>
      <c r="H39" s="1">
        <f ca="1">ROUND(Scores!U42,$B$1)</f>
        <v>0</v>
      </c>
      <c r="I39" s="1">
        <f ca="1">ROUND(Scores!V42,$B$1)</f>
        <v>0</v>
      </c>
      <c r="J39" s="1">
        <f ca="1">ROUND(Scores!W42,$B$1)</f>
        <v>0</v>
      </c>
      <c r="K39" s="1">
        <f ca="1">ROUND(Scores!X42,$B$1)</f>
        <v>0</v>
      </c>
      <c r="L39" s="1">
        <f ca="1">ROUND(Scores!Y42,$B$1)</f>
        <v>50</v>
      </c>
      <c r="M39" s="1">
        <f ca="1">ROUND(Scores!Z42,$B$1)</f>
        <v>0</v>
      </c>
      <c r="N39" s="1">
        <f ca="1">ROUND(Scores!AA42,$B$1)</f>
        <v>0</v>
      </c>
      <c r="O39" s="1">
        <f ca="1">ROUND(Scores!AB42,$B$1)</f>
        <v>0</v>
      </c>
      <c r="P39" s="1">
        <f>ROUND(Scores!AC42,$B$1)</f>
        <v>0</v>
      </c>
      <c r="Q39" s="1">
        <f>ROUND(Scores!AD42,$B$1)</f>
        <v>0</v>
      </c>
      <c r="R39" s="1">
        <f>ROUND(Scores!AE42,$B$1)</f>
        <v>0</v>
      </c>
      <c r="S39" s="1">
        <f>ROUND(Scores!AF42,$B$1)</f>
        <v>0</v>
      </c>
      <c r="T39" s="1">
        <f>ROUND(Scores!AG42,$B$1)</f>
        <v>0</v>
      </c>
      <c r="U39" s="1">
        <f>ROUND(Scores!AH42,$B$1)</f>
        <v>0</v>
      </c>
      <c r="V39" s="1">
        <f>ROUND(Scores!AI42,$B$1)</f>
        <v>0</v>
      </c>
      <c r="W39" s="1">
        <f>ROUND(Scores!AJ42,$B$1)</f>
        <v>0</v>
      </c>
      <c r="X39" s="1">
        <f>ROUND(Scores!AK42,$B$1)</f>
        <v>0</v>
      </c>
      <c r="Z39" s="1">
        <f t="shared" ca="1" si="6"/>
        <v>20.833333333333332</v>
      </c>
      <c r="AA39" s="1">
        <f t="shared" ca="1" si="7"/>
        <v>20.833333333333332</v>
      </c>
      <c r="AB39" s="28"/>
      <c r="AC39" s="28"/>
      <c r="AD39" s="28"/>
      <c r="AE39" s="28"/>
      <c r="AG39" s="146">
        <f t="shared" ca="1" si="23"/>
        <v>20.833333333333332</v>
      </c>
      <c r="AH39" s="146">
        <f t="shared" ca="1" si="24"/>
        <v>37.5</v>
      </c>
      <c r="AI39" s="146">
        <f t="shared" ca="1" si="25"/>
        <v>16.666666666666668</v>
      </c>
      <c r="AJ39" s="146">
        <f t="shared" ca="1" si="26"/>
        <v>0</v>
      </c>
      <c r="AK39" s="146">
        <f t="shared" ca="1" si="27"/>
        <v>16.666666666666668</v>
      </c>
      <c r="AP39" s="147">
        <f t="shared" ca="1" si="2"/>
        <v>37.5</v>
      </c>
      <c r="AQ39" s="147">
        <f t="shared" ca="1" si="3"/>
        <v>16.666666666666668</v>
      </c>
      <c r="AR39" s="147">
        <f t="shared" ca="1" si="4"/>
        <v>0</v>
      </c>
      <c r="AS39" s="147">
        <f t="shared" ca="1" si="5"/>
        <v>16.666666666666668</v>
      </c>
      <c r="AT39" s="28">
        <f t="shared" ca="1" si="28"/>
        <v>20.833333333333332</v>
      </c>
    </row>
    <row r="40" spans="1:62">
      <c r="A40" s="1">
        <v>40</v>
      </c>
      <c r="B40" s="1" t="str">
        <f>Scores!N43</f>
        <v xml:space="preserve">  3.2) Condiciones para la comercialización de material reciclable</v>
      </c>
      <c r="C40" s="1">
        <f ca="1">ROUND(Scores!P43,$B$1)</f>
        <v>97.6</v>
      </c>
      <c r="D40" s="1">
        <f ca="1">ROUND(Scores!Q43,$B$1)</f>
        <v>97.3</v>
      </c>
      <c r="E40" s="1">
        <f ca="1">ROUND(Scores!R43,$B$1)</f>
        <v>92.9</v>
      </c>
      <c r="F40" s="1">
        <f ca="1">ROUND(Scores!S43,$B$1)</f>
        <v>64.3</v>
      </c>
      <c r="G40" s="1">
        <f ca="1">ROUND(Scores!T43,$B$1)</f>
        <v>96.7</v>
      </c>
      <c r="H40" s="1">
        <f ca="1">ROUND(Scores!U43,$B$1)</f>
        <v>98.1</v>
      </c>
      <c r="I40" s="1">
        <f ca="1">ROUND(Scores!V43,$B$1)</f>
        <v>90.1</v>
      </c>
      <c r="J40" s="1">
        <f ca="1">ROUND(Scores!W43,$B$1)</f>
        <v>100</v>
      </c>
      <c r="K40" s="1">
        <f ca="1">ROUND(Scores!X43,$B$1)</f>
        <v>33.299999999999997</v>
      </c>
      <c r="L40" s="1">
        <f ca="1">ROUND(Scores!Y43,$B$1)</f>
        <v>66.599999999999994</v>
      </c>
      <c r="M40" s="1">
        <f ca="1">ROUND(Scores!Z43,$B$1)</f>
        <v>82.9</v>
      </c>
      <c r="N40" s="1">
        <f ca="1">ROUND(Scores!AA43,$B$1)</f>
        <v>90.3</v>
      </c>
      <c r="O40" s="1">
        <f ca="1">ROUND(Scores!AB43,$B$1)</f>
        <v>56</v>
      </c>
      <c r="P40" s="1">
        <f>ROUND(Scores!AC43,$B$1)</f>
        <v>0</v>
      </c>
      <c r="Q40" s="1">
        <f>ROUND(Scores!AD43,$B$1)</f>
        <v>0</v>
      </c>
      <c r="R40" s="1">
        <f>ROUND(Scores!AE43,$B$1)</f>
        <v>0</v>
      </c>
      <c r="S40" s="1">
        <f>ROUND(Scores!AF43,$B$1)</f>
        <v>0</v>
      </c>
      <c r="T40" s="1">
        <f>ROUND(Scores!AG43,$B$1)</f>
        <v>0</v>
      </c>
      <c r="U40" s="1">
        <f>ROUND(Scores!AH43,$B$1)</f>
        <v>0</v>
      </c>
      <c r="V40" s="1">
        <f>ROUND(Scores!AI43,$B$1)</f>
        <v>0</v>
      </c>
      <c r="W40" s="1">
        <f>ROUND(Scores!AJ43,$B$1)</f>
        <v>0</v>
      </c>
      <c r="X40" s="1">
        <f>ROUND(Scores!AK43,$B$1)</f>
        <v>0</v>
      </c>
      <c r="Z40" s="1">
        <f t="shared" ca="1" si="6"/>
        <v>84.174999999999997</v>
      </c>
      <c r="AA40" s="1">
        <f t="shared" ca="1" si="7"/>
        <v>84.174999999999997</v>
      </c>
      <c r="AB40" s="28"/>
      <c r="AC40" s="28"/>
      <c r="AD40" s="28"/>
      <c r="AE40" s="28"/>
      <c r="AG40" s="146">
        <f t="shared" ca="1" si="23"/>
        <v>84.174999999999997</v>
      </c>
      <c r="AH40" s="146">
        <f t="shared" ca="1" si="24"/>
        <v>86.625000000000014</v>
      </c>
      <c r="AI40" s="146">
        <f t="shared" ca="1" si="25"/>
        <v>73.566666666666663</v>
      </c>
      <c r="AJ40" s="146">
        <f t="shared" ca="1" si="26"/>
        <v>99.05</v>
      </c>
      <c r="AK40" s="146">
        <f t="shared" ca="1" si="27"/>
        <v>81.599999999999994</v>
      </c>
      <c r="AP40" s="147">
        <f t="shared" ca="1" si="2"/>
        <v>86.625000000000014</v>
      </c>
      <c r="AQ40" s="147">
        <f t="shared" ca="1" si="3"/>
        <v>73.566666666666663</v>
      </c>
      <c r="AR40" s="147">
        <f t="shared" ca="1" si="4"/>
        <v>99.05</v>
      </c>
      <c r="AS40" s="147">
        <f t="shared" ca="1" si="5"/>
        <v>81.599999999999994</v>
      </c>
      <c r="AT40" s="28">
        <f t="shared" ca="1" si="28"/>
        <v>84.174999999999997</v>
      </c>
      <c r="AU40" s="1">
        <v>4</v>
      </c>
      <c r="AW40" s="100">
        <v>4</v>
      </c>
      <c r="AX40" s="6" t="str">
        <f>IF(AU40="","",INDEX(tblTerritories!$S$5:$S$8,AU40))</f>
        <v>Bajo ingreso</v>
      </c>
      <c r="AY40" s="1">
        <v>1</v>
      </c>
      <c r="AZ40" s="1">
        <f t="shared" ref="AZ40:BJ40" si="32">AY40+1</f>
        <v>2</v>
      </c>
      <c r="BA40" s="1">
        <f t="shared" si="32"/>
        <v>3</v>
      </c>
      <c r="BB40" s="1">
        <f t="shared" si="32"/>
        <v>4</v>
      </c>
      <c r="BC40" s="1">
        <f t="shared" si="32"/>
        <v>5</v>
      </c>
      <c r="BD40" s="1">
        <f t="shared" si="32"/>
        <v>6</v>
      </c>
      <c r="BE40" s="1">
        <f t="shared" si="32"/>
        <v>7</v>
      </c>
      <c r="BF40" s="1">
        <f t="shared" si="32"/>
        <v>8</v>
      </c>
      <c r="BG40" s="1">
        <f t="shared" si="32"/>
        <v>9</v>
      </c>
      <c r="BH40" s="1">
        <f t="shared" si="32"/>
        <v>10</v>
      </c>
      <c r="BI40" s="1">
        <f t="shared" si="32"/>
        <v>11</v>
      </c>
      <c r="BJ40" s="1">
        <f t="shared" si="32"/>
        <v>12</v>
      </c>
    </row>
    <row r="41" spans="1:62">
      <c r="A41" s="1">
        <v>41</v>
      </c>
      <c r="B41" s="1" t="str">
        <f>Scores!N44</f>
        <v xml:space="preserve">   3.2.1) 28.¿Cuál es la diferencia de valor del material en los diferentes eslabones de la cadena del reciclaje?</v>
      </c>
      <c r="C41" s="1">
        <f ca="1">ROUND(Scores!P44,$B$1)</f>
        <v>95.2</v>
      </c>
      <c r="D41" s="1">
        <f ca="1">ROUND(Scores!Q44,$B$1)</f>
        <v>94.6</v>
      </c>
      <c r="E41" s="1">
        <f ca="1">ROUND(Scores!R44,$B$1)</f>
        <v>85.9</v>
      </c>
      <c r="F41" s="1">
        <f ca="1">ROUND(Scores!S44,$B$1)</f>
        <v>95.2</v>
      </c>
      <c r="G41" s="1">
        <f ca="1">ROUND(Scores!T44,$B$1)</f>
        <v>93.5</v>
      </c>
      <c r="H41" s="1">
        <f ca="1">ROUND(Scores!U44,$B$1)</f>
        <v>96.2</v>
      </c>
      <c r="I41" s="1">
        <f ca="1">ROUND(Scores!V44,$B$1)</f>
        <v>80.099999999999994</v>
      </c>
      <c r="J41" s="1">
        <f ca="1">ROUND(Scores!W44,$B$1)</f>
        <v>100</v>
      </c>
      <c r="K41" s="1">
        <f ca="1">ROUND(Scores!X44,$B$1)</f>
        <v>0</v>
      </c>
      <c r="L41" s="1">
        <f ca="1">ROUND(Scores!Y44,$B$1)</f>
        <v>33.200000000000003</v>
      </c>
      <c r="M41" s="1">
        <f ca="1">ROUND(Scores!Z44,$B$1)</f>
        <v>99.1</v>
      </c>
      <c r="N41" s="1">
        <f ca="1">ROUND(Scores!AA44,$B$1)</f>
        <v>80.5</v>
      </c>
      <c r="O41" s="1">
        <f ca="1">ROUND(Scores!AB44,$B$1)</f>
        <v>112</v>
      </c>
      <c r="P41" s="1">
        <f>ROUND(Scores!AC44,$B$1)</f>
        <v>0</v>
      </c>
      <c r="Q41" s="1">
        <f>ROUND(Scores!AD44,$B$1)</f>
        <v>0</v>
      </c>
      <c r="R41" s="1">
        <f>ROUND(Scores!AE44,$B$1)</f>
        <v>0</v>
      </c>
      <c r="S41" s="1">
        <f>ROUND(Scores!AF44,$B$1)</f>
        <v>0</v>
      </c>
      <c r="T41" s="1">
        <f>ROUND(Scores!AG44,$B$1)</f>
        <v>0</v>
      </c>
      <c r="U41" s="1">
        <f>ROUND(Scores!AH44,$B$1)</f>
        <v>0</v>
      </c>
      <c r="V41" s="1">
        <f>ROUND(Scores!AI44,$B$1)</f>
        <v>0</v>
      </c>
      <c r="W41" s="1">
        <f>ROUND(Scores!AJ44,$B$1)</f>
        <v>0</v>
      </c>
      <c r="X41" s="1">
        <f>ROUND(Scores!AK44,$B$1)</f>
        <v>0</v>
      </c>
      <c r="Z41" s="1">
        <f t="shared" ca="1" si="6"/>
        <v>79.458333333333343</v>
      </c>
      <c r="AA41" s="1">
        <f t="shared" ca="1" si="7"/>
        <v>79.458333333333343</v>
      </c>
      <c r="AB41" s="28"/>
      <c r="AC41" s="28"/>
      <c r="AD41" s="28"/>
      <c r="AE41" s="28"/>
      <c r="AG41" s="146">
        <f t="shared" ca="1" si="23"/>
        <v>79.458333333333343</v>
      </c>
      <c r="AH41" s="146">
        <f t="shared" ca="1" si="24"/>
        <v>73.275000000000006</v>
      </c>
      <c r="AI41" s="146">
        <f t="shared" ca="1" si="25"/>
        <v>58.233333333333327</v>
      </c>
      <c r="AJ41" s="146">
        <f t="shared" ca="1" si="26"/>
        <v>98.1</v>
      </c>
      <c r="AK41" s="146">
        <f t="shared" ca="1" si="27"/>
        <v>96.5</v>
      </c>
      <c r="AP41" s="147">
        <f t="shared" ca="1" si="2"/>
        <v>73.275000000000006</v>
      </c>
      <c r="AQ41" s="147">
        <f t="shared" ca="1" si="3"/>
        <v>58.233333333333327</v>
      </c>
      <c r="AR41" s="147">
        <f t="shared" ca="1" si="4"/>
        <v>98.1</v>
      </c>
      <c r="AS41" s="147">
        <f t="shared" ca="1" si="5"/>
        <v>96.5</v>
      </c>
      <c r="AT41" s="28">
        <f t="shared" ca="1" si="28"/>
        <v>79.458333333333343</v>
      </c>
      <c r="AV41" s="1">
        <f>SUM(AY41:BJ41)</f>
        <v>3</v>
      </c>
      <c r="AX41" s="6" t="str">
        <f>IF(AU41="","",INDEX(tblTerritories!$S$5:$S$8,AU41))</f>
        <v/>
      </c>
      <c r="AY41" s="1">
        <f>INDEX(tblTerritories!$W$3:$Z$14,AY40,$AW40)</f>
        <v>1</v>
      </c>
      <c r="AZ41" s="1">
        <f>INDEX(tblTerritories!$W$3:$Z$14,AZ40,$AW40)</f>
        <v>0</v>
      </c>
      <c r="BA41" s="1">
        <f>INDEX(tblTerritories!$W$3:$Z$14,BA40,$AW40)</f>
        <v>0</v>
      </c>
      <c r="BB41" s="1">
        <f>INDEX(tblTerritories!$W$3:$Z$14,BB40,$AW40)</f>
        <v>1</v>
      </c>
      <c r="BC41" s="1">
        <f>INDEX(tblTerritories!$W$3:$Z$14,BC40,$AW40)</f>
        <v>0</v>
      </c>
      <c r="BD41" s="1">
        <f>INDEX(tblTerritories!$W$3:$Z$14,BD40,$AW40)</f>
        <v>0</v>
      </c>
      <c r="BE41" s="1">
        <f>INDEX(tblTerritories!$W$3:$Z$14,BE40,$AW40)</f>
        <v>0</v>
      </c>
      <c r="BF41" s="1">
        <f>INDEX(tblTerritories!$W$3:$Z$14,BF40,$AW40)</f>
        <v>0</v>
      </c>
      <c r="BG41" s="1">
        <f>INDEX(tblTerritories!$W$3:$Z$14,BG40,$AW40)</f>
        <v>0</v>
      </c>
      <c r="BH41" s="1">
        <f>INDEX(tblTerritories!$W$3:$Z$14,BH40,$AW40)</f>
        <v>0</v>
      </c>
      <c r="BI41" s="1">
        <f>INDEX(tblTerritories!$W$3:$Z$14,BI40,$AW40)</f>
        <v>1</v>
      </c>
      <c r="BJ41" s="1">
        <f>INDEX(tblTerritories!$W$3:$Z$14,BJ40,$AW40)</f>
        <v>0</v>
      </c>
    </row>
    <row r="42" spans="1:62">
      <c r="A42" s="1">
        <v>42</v>
      </c>
      <c r="B42" s="1" t="str">
        <f>Scores!N45</f>
        <v xml:space="preserve">   3.2.2) 29.¿Cuál es el nivel de desarrollo de la industria transformadora a nivel nacional?</v>
      </c>
      <c r="C42" s="1">
        <f ca="1">ROUND(Scores!P45,$B$1)</f>
        <v>100</v>
      </c>
      <c r="D42" s="1">
        <f ca="1">ROUND(Scores!Q45,$B$1)</f>
        <v>100</v>
      </c>
      <c r="E42" s="1">
        <f ca="1">ROUND(Scores!R45,$B$1)</f>
        <v>100</v>
      </c>
      <c r="F42" s="1">
        <f ca="1">ROUND(Scores!S45,$B$1)</f>
        <v>33.299999999999997</v>
      </c>
      <c r="G42" s="1">
        <f ca="1">ROUND(Scores!T45,$B$1)</f>
        <v>100</v>
      </c>
      <c r="H42" s="1">
        <f ca="1">ROUND(Scores!U45,$B$1)</f>
        <v>100</v>
      </c>
      <c r="I42" s="1">
        <f ca="1">ROUND(Scores!V45,$B$1)</f>
        <v>100</v>
      </c>
      <c r="J42" s="1">
        <f ca="1">ROUND(Scores!W45,$B$1)</f>
        <v>100</v>
      </c>
      <c r="K42" s="1">
        <f ca="1">ROUND(Scores!X45,$B$1)</f>
        <v>66.7</v>
      </c>
      <c r="L42" s="1">
        <f ca="1">ROUND(Scores!Y45,$B$1)</f>
        <v>100</v>
      </c>
      <c r="M42" s="1">
        <f ca="1">ROUND(Scores!Z45,$B$1)</f>
        <v>66.7</v>
      </c>
      <c r="N42" s="1">
        <f ca="1">ROUND(Scores!AA45,$B$1)</f>
        <v>100</v>
      </c>
      <c r="O42" s="1">
        <f ca="1">ROUND(Scores!AB45,$B$1)</f>
        <v>0</v>
      </c>
      <c r="P42" s="1">
        <f>ROUND(Scores!AC45,$B$1)</f>
        <v>0</v>
      </c>
      <c r="Q42" s="1">
        <f>ROUND(Scores!AD45,$B$1)</f>
        <v>0</v>
      </c>
      <c r="R42" s="1">
        <f>ROUND(Scores!AE45,$B$1)</f>
        <v>0</v>
      </c>
      <c r="S42" s="1">
        <f>ROUND(Scores!AF45,$B$1)</f>
        <v>0</v>
      </c>
      <c r="T42" s="1">
        <f>ROUND(Scores!AG45,$B$1)</f>
        <v>0</v>
      </c>
      <c r="U42" s="1">
        <f>ROUND(Scores!AH45,$B$1)</f>
        <v>0</v>
      </c>
      <c r="V42" s="1">
        <f>ROUND(Scores!AI45,$B$1)</f>
        <v>0</v>
      </c>
      <c r="W42" s="1">
        <f>ROUND(Scores!AJ45,$B$1)</f>
        <v>0</v>
      </c>
      <c r="X42" s="1">
        <f>ROUND(Scores!AK45,$B$1)</f>
        <v>0</v>
      </c>
      <c r="Z42" s="1">
        <f t="shared" ca="1" si="6"/>
        <v>88.891666666666666</v>
      </c>
      <c r="AA42" s="1">
        <f t="shared" ca="1" si="7"/>
        <v>88.891666666666666</v>
      </c>
      <c r="AB42" s="28"/>
      <c r="AC42" s="28"/>
      <c r="AD42" s="28"/>
      <c r="AE42" s="28"/>
      <c r="AG42" s="146">
        <f t="shared" ca="1" si="23"/>
        <v>88.891666666666666</v>
      </c>
      <c r="AH42" s="146">
        <f t="shared" ca="1" si="24"/>
        <v>100</v>
      </c>
      <c r="AI42" s="146">
        <f t="shared" ca="1" si="25"/>
        <v>88.899999999999991</v>
      </c>
      <c r="AJ42" s="146">
        <f t="shared" ca="1" si="26"/>
        <v>100</v>
      </c>
      <c r="AK42" s="146">
        <f t="shared" ca="1" si="27"/>
        <v>66.666666666666671</v>
      </c>
      <c r="AP42" s="147">
        <f t="shared" ca="1" si="2"/>
        <v>100</v>
      </c>
      <c r="AQ42" s="147">
        <f t="shared" ca="1" si="3"/>
        <v>88.899999999999991</v>
      </c>
      <c r="AR42" s="147">
        <f t="shared" ca="1" si="4"/>
        <v>100</v>
      </c>
      <c r="AS42" s="147">
        <f t="shared" ca="1" si="5"/>
        <v>66.666666666666671</v>
      </c>
      <c r="AT42" s="28">
        <f t="shared" ca="1" si="28"/>
        <v>88.891666666666666</v>
      </c>
    </row>
    <row r="43" spans="1:62">
      <c r="A43" s="1">
        <v>43</v>
      </c>
      <c r="B43" s="1" t="str">
        <f>Scores!N46</f>
        <v xml:space="preserve">  3.3) Ingreso de los recicladores de base</v>
      </c>
      <c r="C43" s="1">
        <f ca="1">ROUND(Scores!P46,$B$1)</f>
        <v>3.9</v>
      </c>
      <c r="D43" s="1">
        <f ca="1">ROUND(Scores!Q46,$B$1)</f>
        <v>50.3</v>
      </c>
      <c r="E43" s="1">
        <f ca="1">ROUND(Scores!R46,$B$1)</f>
        <v>100</v>
      </c>
      <c r="F43" s="1">
        <f ca="1">ROUND(Scores!S46,$B$1)</f>
        <v>23.8</v>
      </c>
      <c r="G43" s="1">
        <f ca="1">ROUND(Scores!T46,$B$1)</f>
        <v>34.4</v>
      </c>
      <c r="H43" s="1">
        <f ca="1">ROUND(Scores!U46,$B$1)</f>
        <v>18.8</v>
      </c>
      <c r="I43" s="1">
        <f ca="1">ROUND(Scores!V46,$B$1)</f>
        <v>28.9</v>
      </c>
      <c r="J43" s="1">
        <f ca="1">ROUND(Scores!W46,$B$1)</f>
        <v>6.1</v>
      </c>
      <c r="K43" s="1">
        <f ca="1">ROUND(Scores!X46,$B$1)</f>
        <v>0</v>
      </c>
      <c r="L43" s="1">
        <f ca="1">ROUND(Scores!Y46,$B$1)</f>
        <v>84.5</v>
      </c>
      <c r="M43" s="1">
        <f ca="1">ROUND(Scores!Z46,$B$1)</f>
        <v>12.4</v>
      </c>
      <c r="N43" s="1">
        <f ca="1">ROUND(Scores!AA46,$B$1)</f>
        <v>10.7</v>
      </c>
      <c r="O43" s="1">
        <f ca="1">ROUND(Scores!AB46,$B$1)</f>
        <v>2.4</v>
      </c>
      <c r="P43" s="1">
        <f>ROUND(Scores!AC46,$B$1)</f>
        <v>0</v>
      </c>
      <c r="Q43" s="1">
        <f>ROUND(Scores!AD46,$B$1)</f>
        <v>0</v>
      </c>
      <c r="R43" s="1">
        <f>ROUND(Scores!AE46,$B$1)</f>
        <v>0</v>
      </c>
      <c r="S43" s="1">
        <f>ROUND(Scores!AF46,$B$1)</f>
        <v>0</v>
      </c>
      <c r="T43" s="1">
        <f>ROUND(Scores!AG46,$B$1)</f>
        <v>0</v>
      </c>
      <c r="U43" s="1">
        <f>ROUND(Scores!AH46,$B$1)</f>
        <v>0</v>
      </c>
      <c r="V43" s="1">
        <f>ROUND(Scores!AI46,$B$1)</f>
        <v>0</v>
      </c>
      <c r="W43" s="1">
        <f>ROUND(Scores!AJ46,$B$1)</f>
        <v>0</v>
      </c>
      <c r="X43" s="1">
        <f>ROUND(Scores!AK46,$B$1)</f>
        <v>0</v>
      </c>
      <c r="Z43" s="1">
        <f t="shared" ca="1" si="6"/>
        <v>31.150000000000002</v>
      </c>
      <c r="AA43" s="1">
        <f t="shared" ca="1" si="7"/>
        <v>31.150000000000002</v>
      </c>
      <c r="AB43" s="28"/>
      <c r="AC43" s="28"/>
      <c r="AD43" s="28"/>
      <c r="AE43" s="28"/>
      <c r="AG43" s="146">
        <f t="shared" ca="1" si="23"/>
        <v>31.150000000000002</v>
      </c>
      <c r="AH43" s="146">
        <f t="shared" ca="1" si="24"/>
        <v>57.4</v>
      </c>
      <c r="AI43" s="146">
        <f t="shared" ca="1" si="25"/>
        <v>26.399999999999995</v>
      </c>
      <c r="AJ43" s="146">
        <f t="shared" ca="1" si="26"/>
        <v>12.45</v>
      </c>
      <c r="AK43" s="146">
        <f t="shared" ca="1" si="27"/>
        <v>13.366666666666667</v>
      </c>
      <c r="AP43" s="147">
        <f t="shared" ca="1" si="2"/>
        <v>57.4</v>
      </c>
      <c r="AQ43" s="147">
        <f t="shared" ca="1" si="3"/>
        <v>26.399999999999995</v>
      </c>
      <c r="AR43" s="147">
        <f t="shared" ca="1" si="4"/>
        <v>12.45</v>
      </c>
      <c r="AS43" s="147">
        <f t="shared" ca="1" si="5"/>
        <v>13.366666666666667</v>
      </c>
      <c r="AT43" s="28">
        <f t="shared" ca="1" si="28"/>
        <v>31.150000000000002</v>
      </c>
    </row>
    <row r="44" spans="1:62">
      <c r="A44" s="1">
        <v>44</v>
      </c>
      <c r="B44" s="1" t="str">
        <f>Scores!N47</f>
        <v xml:space="preserve">   3.3.1) 30.¿Se permite la contratación con agrupaciones de recicladores de base en el sistema de gestión de residuos del municipio?</v>
      </c>
      <c r="C44" s="1">
        <f ca="1">ROUND(Scores!P47,$B$1)</f>
        <v>0</v>
      </c>
      <c r="D44" s="1">
        <f ca="1">ROUND(Scores!Q47,$B$1)</f>
        <v>50</v>
      </c>
      <c r="E44" s="1">
        <f ca="1">ROUND(Scores!R47,$B$1)</f>
        <v>100</v>
      </c>
      <c r="F44" s="1">
        <f ca="1">ROUND(Scores!S47,$B$1)</f>
        <v>0</v>
      </c>
      <c r="G44" s="1">
        <f ca="1">ROUND(Scores!T47,$B$1)</f>
        <v>100</v>
      </c>
      <c r="H44" s="1">
        <f ca="1">ROUND(Scores!U47,$B$1)</f>
        <v>50</v>
      </c>
      <c r="I44" s="1">
        <f ca="1">ROUND(Scores!V47,$B$1)</f>
        <v>50</v>
      </c>
      <c r="J44" s="1">
        <f ca="1">ROUND(Scores!W47,$B$1)</f>
        <v>0</v>
      </c>
      <c r="K44" s="1">
        <f ca="1">ROUND(Scores!X47,$B$1)</f>
        <v>0</v>
      </c>
      <c r="L44" s="1">
        <f ca="1">ROUND(Scores!Y47,$B$1)</f>
        <v>100</v>
      </c>
      <c r="M44" s="1">
        <f ca="1">ROUND(Scores!Z47,$B$1)</f>
        <v>0</v>
      </c>
      <c r="N44" s="1">
        <f ca="1">ROUND(Scores!AA47,$B$1)</f>
        <v>0</v>
      </c>
      <c r="O44" s="1">
        <f ca="1">ROUND(Scores!AB47,$B$1)</f>
        <v>0</v>
      </c>
      <c r="P44" s="1">
        <f>ROUND(Scores!AC47,$B$1)</f>
        <v>0</v>
      </c>
      <c r="Q44" s="1">
        <f>ROUND(Scores!AD47,$B$1)</f>
        <v>0</v>
      </c>
      <c r="R44" s="1">
        <f>ROUND(Scores!AE47,$B$1)</f>
        <v>0</v>
      </c>
      <c r="S44" s="1">
        <f>ROUND(Scores!AF47,$B$1)</f>
        <v>0</v>
      </c>
      <c r="T44" s="1">
        <f>ROUND(Scores!AG47,$B$1)</f>
        <v>0</v>
      </c>
      <c r="U44" s="1">
        <f>ROUND(Scores!AH47,$B$1)</f>
        <v>0</v>
      </c>
      <c r="V44" s="1">
        <f>ROUND(Scores!AI47,$B$1)</f>
        <v>0</v>
      </c>
      <c r="W44" s="1">
        <f>ROUND(Scores!AJ47,$B$1)</f>
        <v>0</v>
      </c>
      <c r="X44" s="1">
        <f>ROUND(Scores!AK47,$B$1)</f>
        <v>0</v>
      </c>
      <c r="Z44" s="1">
        <f t="shared" ca="1" si="6"/>
        <v>37.5</v>
      </c>
      <c r="AA44" s="1">
        <f t="shared" ca="1" si="7"/>
        <v>37.5</v>
      </c>
      <c r="AB44" s="28"/>
      <c r="AC44" s="28"/>
      <c r="AD44" s="28"/>
      <c r="AE44" s="28"/>
      <c r="AG44" s="146">
        <f t="shared" ca="1" si="23"/>
        <v>37.5</v>
      </c>
      <c r="AH44" s="146">
        <f t="shared" ca="1" si="24"/>
        <v>75</v>
      </c>
      <c r="AI44" s="146">
        <f t="shared" ca="1" si="25"/>
        <v>33.333333333333336</v>
      </c>
      <c r="AJ44" s="146">
        <f t="shared" ca="1" si="26"/>
        <v>25</v>
      </c>
      <c r="AK44" s="146">
        <f t="shared" ca="1" si="27"/>
        <v>0</v>
      </c>
      <c r="AP44" s="147">
        <f t="shared" ca="1" si="2"/>
        <v>75</v>
      </c>
      <c r="AQ44" s="147">
        <f t="shared" ca="1" si="3"/>
        <v>33.333333333333336</v>
      </c>
      <c r="AR44" s="147">
        <f t="shared" ca="1" si="4"/>
        <v>25</v>
      </c>
      <c r="AS44" s="147">
        <f t="shared" ca="1" si="5"/>
        <v>0</v>
      </c>
      <c r="AT44" s="28">
        <f t="shared" ca="1" si="28"/>
        <v>37.5</v>
      </c>
    </row>
    <row r="45" spans="1:62">
      <c r="A45" s="1">
        <v>45</v>
      </c>
      <c r="B45" s="1" t="str">
        <f>Scores!N48</f>
        <v xml:space="preserve">   3.3.2) 31.¿Existen mecanismos de pago periódico fijo para los recicladores de base por servicios prestados?</v>
      </c>
      <c r="C45" s="1">
        <f ca="1">ROUND(Scores!P48,$B$1)</f>
        <v>0</v>
      </c>
      <c r="D45" s="1">
        <f ca="1">ROUND(Scores!Q48,$B$1)</f>
        <v>100</v>
      </c>
      <c r="E45" s="1">
        <f ca="1">ROUND(Scores!R48,$B$1)</f>
        <v>100</v>
      </c>
      <c r="F45" s="1">
        <f ca="1">ROUND(Scores!S48,$B$1)</f>
        <v>0</v>
      </c>
      <c r="G45" s="1">
        <f ca="1">ROUND(Scores!T48,$B$1)</f>
        <v>0</v>
      </c>
      <c r="H45" s="1">
        <f ca="1">ROUND(Scores!U48,$B$1)</f>
        <v>0</v>
      </c>
      <c r="I45" s="1">
        <f ca="1">ROUND(Scores!V48,$B$1)</f>
        <v>0</v>
      </c>
      <c r="J45" s="1">
        <f ca="1">ROUND(Scores!W48,$B$1)</f>
        <v>0</v>
      </c>
      <c r="K45" s="1">
        <f ca="1">ROUND(Scores!X48,$B$1)</f>
        <v>0</v>
      </c>
      <c r="L45" s="1">
        <f ca="1">ROUND(Scores!Y48,$B$1)</f>
        <v>100</v>
      </c>
      <c r="M45" s="1">
        <f ca="1">ROUND(Scores!Z48,$B$1)</f>
        <v>0</v>
      </c>
      <c r="N45" s="1">
        <f ca="1">ROUND(Scores!AA48,$B$1)</f>
        <v>0</v>
      </c>
      <c r="O45" s="1">
        <f ca="1">ROUND(Scores!AB48,$B$1)</f>
        <v>0</v>
      </c>
      <c r="P45" s="1">
        <f>ROUND(Scores!AC48,$B$1)</f>
        <v>0</v>
      </c>
      <c r="Q45" s="1">
        <f>ROUND(Scores!AD48,$B$1)</f>
        <v>0</v>
      </c>
      <c r="R45" s="1">
        <f>ROUND(Scores!AE48,$B$1)</f>
        <v>0</v>
      </c>
      <c r="S45" s="1">
        <f>ROUND(Scores!AF48,$B$1)</f>
        <v>0</v>
      </c>
      <c r="T45" s="1">
        <f>ROUND(Scores!AG48,$B$1)</f>
        <v>0</v>
      </c>
      <c r="U45" s="1">
        <f>ROUND(Scores!AH48,$B$1)</f>
        <v>0</v>
      </c>
      <c r="V45" s="1">
        <f>ROUND(Scores!AI48,$B$1)</f>
        <v>0</v>
      </c>
      <c r="W45" s="1">
        <f>ROUND(Scores!AJ48,$B$1)</f>
        <v>0</v>
      </c>
      <c r="X45" s="1">
        <f>ROUND(Scores!AK48,$B$1)</f>
        <v>0</v>
      </c>
      <c r="Z45" s="1">
        <f t="shared" ca="1" si="6"/>
        <v>25</v>
      </c>
      <c r="AA45" s="1">
        <f t="shared" ca="1" si="7"/>
        <v>25</v>
      </c>
      <c r="AB45" s="28"/>
      <c r="AC45" s="28"/>
      <c r="AD45" s="28"/>
      <c r="AE45" s="28"/>
      <c r="AG45" s="146">
        <f t="shared" ca="1" si="23"/>
        <v>25</v>
      </c>
      <c r="AH45" s="146">
        <f t="shared" ca="1" si="24"/>
        <v>50</v>
      </c>
      <c r="AI45" s="146">
        <f t="shared" ca="1" si="25"/>
        <v>33.333333333333336</v>
      </c>
      <c r="AJ45" s="146">
        <f t="shared" ca="1" si="26"/>
        <v>0</v>
      </c>
      <c r="AK45" s="146">
        <f t="shared" ca="1" si="27"/>
        <v>0</v>
      </c>
      <c r="AP45" s="147">
        <f t="shared" ca="1" si="2"/>
        <v>50</v>
      </c>
      <c r="AQ45" s="147">
        <f t="shared" ca="1" si="3"/>
        <v>33.333333333333336</v>
      </c>
      <c r="AR45" s="147">
        <f t="shared" ca="1" si="4"/>
        <v>0</v>
      </c>
      <c r="AS45" s="147">
        <f t="shared" ca="1" si="5"/>
        <v>0</v>
      </c>
      <c r="AT45" s="28">
        <f t="shared" ca="1" si="28"/>
        <v>25</v>
      </c>
    </row>
    <row r="46" spans="1:62">
      <c r="A46" s="1">
        <v>46</v>
      </c>
      <c r="B46" s="1" t="str">
        <f>Scores!N49</f>
        <v xml:space="preserve">   3.3.3) 32.¿Existen programas de diversificación de los servicios prestados por recicladores?</v>
      </c>
      <c r="C46" s="1">
        <f ca="1">ROUND(Scores!P49,$B$1)</f>
        <v>0</v>
      </c>
      <c r="D46" s="1">
        <f ca="1">ROUND(Scores!Q49,$B$1)</f>
        <v>0</v>
      </c>
      <c r="E46" s="1">
        <f ca="1">ROUND(Scores!R49,$B$1)</f>
        <v>100</v>
      </c>
      <c r="F46" s="1">
        <f ca="1">ROUND(Scores!S49,$B$1)</f>
        <v>0</v>
      </c>
      <c r="G46" s="1">
        <f ca="1">ROUND(Scores!T49,$B$1)</f>
        <v>0</v>
      </c>
      <c r="H46" s="1">
        <f ca="1">ROUND(Scores!U49,$B$1)</f>
        <v>0</v>
      </c>
      <c r="I46" s="1">
        <f ca="1">ROUND(Scores!V49,$B$1)</f>
        <v>0</v>
      </c>
      <c r="J46" s="1">
        <f ca="1">ROUND(Scores!W49,$B$1)</f>
        <v>0</v>
      </c>
      <c r="K46" s="1">
        <f ca="1">ROUND(Scores!X49,$B$1)</f>
        <v>0</v>
      </c>
      <c r="L46" s="1">
        <f ca="1">ROUND(Scores!Y49,$B$1)</f>
        <v>100</v>
      </c>
      <c r="M46" s="1">
        <f ca="1">ROUND(Scores!Z49,$B$1)</f>
        <v>0</v>
      </c>
      <c r="N46" s="1">
        <f ca="1">ROUND(Scores!AA49,$B$1)</f>
        <v>0</v>
      </c>
      <c r="O46" s="1">
        <f ca="1">ROUND(Scores!AB49,$B$1)</f>
        <v>0</v>
      </c>
      <c r="P46" s="1">
        <f>ROUND(Scores!AC49,$B$1)</f>
        <v>0</v>
      </c>
      <c r="Q46" s="1">
        <f>ROUND(Scores!AD49,$B$1)</f>
        <v>0</v>
      </c>
      <c r="R46" s="1">
        <f>ROUND(Scores!AE49,$B$1)</f>
        <v>0</v>
      </c>
      <c r="S46" s="1">
        <f>ROUND(Scores!AF49,$B$1)</f>
        <v>0</v>
      </c>
      <c r="T46" s="1">
        <f>ROUND(Scores!AG49,$B$1)</f>
        <v>0</v>
      </c>
      <c r="U46" s="1">
        <f>ROUND(Scores!AH49,$B$1)</f>
        <v>0</v>
      </c>
      <c r="V46" s="1">
        <f>ROUND(Scores!AI49,$B$1)</f>
        <v>0</v>
      </c>
      <c r="W46" s="1">
        <f>ROUND(Scores!AJ49,$B$1)</f>
        <v>0</v>
      </c>
      <c r="X46" s="1">
        <f>ROUND(Scores!AK49,$B$1)</f>
        <v>0</v>
      </c>
      <c r="Z46" s="1">
        <f t="shared" ca="1" si="6"/>
        <v>16.666666666666668</v>
      </c>
      <c r="AA46" s="1">
        <f t="shared" ca="1" si="7"/>
        <v>16.666666666666668</v>
      </c>
      <c r="AB46" s="28"/>
      <c r="AC46" s="28"/>
      <c r="AD46" s="28"/>
      <c r="AE46" s="28"/>
      <c r="AG46" s="146">
        <f t="shared" ca="1" si="23"/>
        <v>16.666666666666668</v>
      </c>
      <c r="AH46" s="146">
        <f t="shared" ca="1" si="24"/>
        <v>50</v>
      </c>
      <c r="AI46" s="146">
        <f t="shared" ca="1" si="25"/>
        <v>0</v>
      </c>
      <c r="AJ46" s="146">
        <f t="shared" ca="1" si="26"/>
        <v>0</v>
      </c>
      <c r="AK46" s="146">
        <f t="shared" ca="1" si="27"/>
        <v>0</v>
      </c>
      <c r="AP46" s="147">
        <f t="shared" ca="1" si="2"/>
        <v>50</v>
      </c>
      <c r="AQ46" s="147">
        <f t="shared" ca="1" si="3"/>
        <v>0</v>
      </c>
      <c r="AR46" s="147">
        <f t="shared" ca="1" si="4"/>
        <v>0</v>
      </c>
      <c r="AS46" s="147">
        <f t="shared" ca="1" si="5"/>
        <v>0</v>
      </c>
      <c r="AT46" s="28">
        <f t="shared" ca="1" si="28"/>
        <v>16.666666666666668</v>
      </c>
    </row>
    <row r="47" spans="1:62">
      <c r="A47" s="1">
        <v>47</v>
      </c>
      <c r="B47" s="1" t="str">
        <f>Scores!N50</f>
        <v xml:space="preserve">   3.3.4) 33. Ingreso promedio de los recicladores con respecto al salario mínimo nacional</v>
      </c>
      <c r="C47" s="1">
        <f ca="1">ROUND(Scores!P50,$B$1)</f>
        <v>15.5</v>
      </c>
      <c r="D47" s="1">
        <f ca="1">ROUND(Scores!Q50,$B$1)</f>
        <v>51.1</v>
      </c>
      <c r="E47" s="1">
        <f ca="1">ROUND(Scores!R50,$B$1)</f>
        <v>100</v>
      </c>
      <c r="F47" s="1">
        <f ca="1">ROUND(Scores!S50,$B$1)</f>
        <v>95.1</v>
      </c>
      <c r="G47" s="1">
        <f ca="1">ROUND(Scores!T50,$B$1)</f>
        <v>37.799999999999997</v>
      </c>
      <c r="H47" s="1">
        <f ca="1">ROUND(Scores!U50,$B$1)</f>
        <v>25.2</v>
      </c>
      <c r="I47" s="1">
        <f ca="1">ROUND(Scores!V50,$B$1)</f>
        <v>65.5</v>
      </c>
      <c r="J47" s="1">
        <f ca="1">ROUND(Scores!W50,$B$1)</f>
        <v>24.5</v>
      </c>
      <c r="K47" s="1">
        <f ca="1">ROUND(Scores!X50,$B$1)</f>
        <v>0</v>
      </c>
      <c r="L47" s="1">
        <f ca="1">ROUND(Scores!Y50,$B$1)</f>
        <v>37.9</v>
      </c>
      <c r="M47" s="1">
        <f ca="1">ROUND(Scores!Z50,$B$1)</f>
        <v>49.7</v>
      </c>
      <c r="N47" s="1">
        <f ca="1">ROUND(Scores!AA50,$B$1)</f>
        <v>42.7</v>
      </c>
      <c r="O47" s="1">
        <f ca="1">ROUND(Scores!AB50,$B$1)</f>
        <v>9.8000000000000007</v>
      </c>
      <c r="P47" s="1">
        <f>ROUND(Scores!AC50,$B$1)</f>
        <v>0</v>
      </c>
      <c r="Q47" s="1">
        <f>ROUND(Scores!AD50,$B$1)</f>
        <v>0</v>
      </c>
      <c r="R47" s="1">
        <f>ROUND(Scores!AE50,$B$1)</f>
        <v>0</v>
      </c>
      <c r="S47" s="1">
        <f>ROUND(Scores!AF50,$B$1)</f>
        <v>0</v>
      </c>
      <c r="T47" s="1">
        <f>ROUND(Scores!AG50,$B$1)</f>
        <v>0</v>
      </c>
      <c r="U47" s="1">
        <f>ROUND(Scores!AH50,$B$1)</f>
        <v>0</v>
      </c>
      <c r="V47" s="1">
        <f>ROUND(Scores!AI50,$B$1)</f>
        <v>0</v>
      </c>
      <c r="W47" s="1">
        <f>ROUND(Scores!AJ50,$B$1)</f>
        <v>0</v>
      </c>
      <c r="X47" s="1">
        <f>ROUND(Scores!AK50,$B$1)</f>
        <v>0</v>
      </c>
      <c r="Z47" s="1">
        <f t="shared" ca="1" si="6"/>
        <v>45.416666666666664</v>
      </c>
      <c r="AA47" s="1">
        <f t="shared" ca="1" si="7"/>
        <v>45.416666666666664</v>
      </c>
      <c r="AB47" s="28"/>
      <c r="AC47" s="28"/>
      <c r="AD47" s="28"/>
      <c r="AE47" s="28"/>
      <c r="AG47" s="146">
        <f t="shared" ca="1" si="23"/>
        <v>45.416666666666664</v>
      </c>
      <c r="AH47" s="146">
        <f t="shared" ca="1" si="24"/>
        <v>54.600000000000009</v>
      </c>
      <c r="AI47" s="146">
        <f t="shared" ca="1" si="25"/>
        <v>38.866666666666667</v>
      </c>
      <c r="AJ47" s="146">
        <f t="shared" ca="1" si="26"/>
        <v>24.85</v>
      </c>
      <c r="AK47" s="146">
        <f t="shared" ca="1" si="27"/>
        <v>53.433333333333337</v>
      </c>
      <c r="AP47" s="147">
        <f t="shared" ca="1" si="2"/>
        <v>54.600000000000009</v>
      </c>
      <c r="AQ47" s="147">
        <f t="shared" ca="1" si="3"/>
        <v>38.866666666666667</v>
      </c>
      <c r="AR47" s="147">
        <f t="shared" ca="1" si="4"/>
        <v>24.85</v>
      </c>
      <c r="AS47" s="147">
        <f t="shared" ca="1" si="5"/>
        <v>53.433333333333337</v>
      </c>
      <c r="AT47" s="28">
        <f t="shared" ca="1" si="28"/>
        <v>45.416666666666664</v>
      </c>
    </row>
    <row r="48" spans="1:62">
      <c r="A48" s="1">
        <v>48</v>
      </c>
      <c r="B48" s="1" t="str">
        <f>Scores!N51</f>
        <v xml:space="preserve">  3.4) Condiciones de trabajo de los recicladores de base</v>
      </c>
      <c r="C48" s="1">
        <f ca="1">ROUND(Scores!P51,$B$1)</f>
        <v>0</v>
      </c>
      <c r="D48" s="1">
        <f ca="1">ROUND(Scores!Q51,$B$1)</f>
        <v>50</v>
      </c>
      <c r="E48" s="1">
        <f ca="1">ROUND(Scores!R51,$B$1)</f>
        <v>75</v>
      </c>
      <c r="F48" s="1">
        <f ca="1">ROUND(Scores!S51,$B$1)</f>
        <v>37.5</v>
      </c>
      <c r="G48" s="1">
        <f ca="1">ROUND(Scores!T51,$B$1)</f>
        <v>37.5</v>
      </c>
      <c r="H48" s="1">
        <f ca="1">ROUND(Scores!U51,$B$1)</f>
        <v>50</v>
      </c>
      <c r="I48" s="1">
        <f ca="1">ROUND(Scores!V51,$B$1)</f>
        <v>0</v>
      </c>
      <c r="J48" s="1">
        <f ca="1">ROUND(Scores!W51,$B$1)</f>
        <v>25</v>
      </c>
      <c r="K48" s="1">
        <f ca="1">ROUND(Scores!X51,$B$1)</f>
        <v>50</v>
      </c>
      <c r="L48" s="1">
        <f ca="1">ROUND(Scores!Y51,$B$1)</f>
        <v>50</v>
      </c>
      <c r="M48" s="1">
        <f ca="1">ROUND(Scores!Z51,$B$1)</f>
        <v>50</v>
      </c>
      <c r="N48" s="1">
        <f ca="1">ROUND(Scores!AA51,$B$1)</f>
        <v>62.5</v>
      </c>
      <c r="O48" s="1">
        <f ca="1">ROUND(Scores!AB51,$B$1)</f>
        <v>0</v>
      </c>
      <c r="P48" s="1">
        <f>ROUND(Scores!AC51,$B$1)</f>
        <v>0</v>
      </c>
      <c r="Q48" s="1">
        <f>ROUND(Scores!AD51,$B$1)</f>
        <v>0</v>
      </c>
      <c r="R48" s="1">
        <f>ROUND(Scores!AE51,$B$1)</f>
        <v>0</v>
      </c>
      <c r="S48" s="1">
        <f>ROUND(Scores!AF51,$B$1)</f>
        <v>0</v>
      </c>
      <c r="T48" s="1">
        <f>ROUND(Scores!AG51,$B$1)</f>
        <v>0</v>
      </c>
      <c r="U48" s="1">
        <f>ROUND(Scores!AH51,$B$1)</f>
        <v>0</v>
      </c>
      <c r="V48" s="1">
        <f>ROUND(Scores!AI51,$B$1)</f>
        <v>0</v>
      </c>
      <c r="W48" s="1">
        <f>ROUND(Scores!AJ51,$B$1)</f>
        <v>0</v>
      </c>
      <c r="X48" s="1">
        <f>ROUND(Scores!AK51,$B$1)</f>
        <v>0</v>
      </c>
      <c r="Z48" s="1">
        <f t="shared" ca="1" si="6"/>
        <v>40.625</v>
      </c>
      <c r="AA48" s="1">
        <f t="shared" ca="1" si="7"/>
        <v>40.625</v>
      </c>
      <c r="AB48" s="28"/>
      <c r="AC48" s="28"/>
      <c r="AD48" s="28"/>
      <c r="AE48" s="28"/>
      <c r="AG48" s="146">
        <f t="shared" ca="1" si="23"/>
        <v>40.625</v>
      </c>
      <c r="AH48" s="146">
        <f t="shared" ca="1" si="24"/>
        <v>56.25</v>
      </c>
      <c r="AI48" s="146">
        <f t="shared" ca="1" si="25"/>
        <v>33.333333333333336</v>
      </c>
      <c r="AJ48" s="146">
        <f t="shared" ca="1" si="26"/>
        <v>37.5</v>
      </c>
      <c r="AK48" s="146">
        <f t="shared" ca="1" si="27"/>
        <v>29.166666666666668</v>
      </c>
      <c r="AP48" s="147">
        <f t="shared" ca="1" si="2"/>
        <v>56.25</v>
      </c>
      <c r="AQ48" s="147">
        <f t="shared" ca="1" si="3"/>
        <v>33.333333333333336</v>
      </c>
      <c r="AR48" s="147">
        <f t="shared" ca="1" si="4"/>
        <v>37.5</v>
      </c>
      <c r="AS48" s="147">
        <f t="shared" ca="1" si="5"/>
        <v>29.166666666666668</v>
      </c>
      <c r="AT48" s="28">
        <f t="shared" ca="1" si="28"/>
        <v>40.625</v>
      </c>
    </row>
    <row r="49" spans="1:46">
      <c r="A49" s="1">
        <v>49</v>
      </c>
      <c r="B49" s="1" t="str">
        <f>Scores!N52</f>
        <v xml:space="preserve">   3.4.1) 34.¿Existe trabajo infantil en la cadena de manejo de residuos?</v>
      </c>
      <c r="C49" s="1">
        <f ca="1">ROUND(Scores!P52,$B$1)</f>
        <v>0</v>
      </c>
      <c r="D49" s="1">
        <f ca="1">ROUND(Scores!Q52,$B$1)</f>
        <v>50</v>
      </c>
      <c r="E49" s="1">
        <f ca="1">ROUND(Scores!R52,$B$1)</f>
        <v>50</v>
      </c>
      <c r="F49" s="1">
        <f ca="1">ROUND(Scores!S52,$B$1)</f>
        <v>0</v>
      </c>
      <c r="G49" s="1">
        <f ca="1">ROUND(Scores!T52,$B$1)</f>
        <v>50</v>
      </c>
      <c r="H49" s="1">
        <f ca="1">ROUND(Scores!U52,$B$1)</f>
        <v>50</v>
      </c>
      <c r="I49" s="1">
        <f ca="1">ROUND(Scores!V52,$B$1)</f>
        <v>0</v>
      </c>
      <c r="J49" s="1">
        <f ca="1">ROUND(Scores!W52,$B$1)</f>
        <v>0</v>
      </c>
      <c r="K49" s="1">
        <f ca="1">ROUND(Scores!X52,$B$1)</f>
        <v>100</v>
      </c>
      <c r="L49" s="1">
        <f ca="1">ROUND(Scores!Y52,$B$1)</f>
        <v>50</v>
      </c>
      <c r="M49" s="1">
        <f ca="1">ROUND(Scores!Z52,$B$1)</f>
        <v>0</v>
      </c>
      <c r="N49" s="1">
        <f ca="1">ROUND(Scores!AA52,$B$1)</f>
        <v>100</v>
      </c>
      <c r="O49" s="1">
        <f ca="1">ROUND(Scores!AB52,$B$1)</f>
        <v>0</v>
      </c>
      <c r="P49" s="1">
        <f>ROUND(Scores!AC52,$B$1)</f>
        <v>0</v>
      </c>
      <c r="Q49" s="1">
        <f>ROUND(Scores!AD52,$B$1)</f>
        <v>0</v>
      </c>
      <c r="R49" s="1">
        <f>ROUND(Scores!AE52,$B$1)</f>
        <v>0</v>
      </c>
      <c r="S49" s="1">
        <f>ROUND(Scores!AF52,$B$1)</f>
        <v>0</v>
      </c>
      <c r="T49" s="1">
        <f>ROUND(Scores!AG52,$B$1)</f>
        <v>0</v>
      </c>
      <c r="U49" s="1">
        <f>ROUND(Scores!AH52,$B$1)</f>
        <v>0</v>
      </c>
      <c r="V49" s="1">
        <f>ROUND(Scores!AI52,$B$1)</f>
        <v>0</v>
      </c>
      <c r="W49" s="1">
        <f>ROUND(Scores!AJ52,$B$1)</f>
        <v>0</v>
      </c>
      <c r="X49" s="1">
        <f>ROUND(Scores!AK52,$B$1)</f>
        <v>0</v>
      </c>
      <c r="Z49" s="1">
        <f t="shared" ca="1" si="6"/>
        <v>37.5</v>
      </c>
      <c r="AA49" s="1">
        <f t="shared" ca="1" si="7"/>
        <v>37.5</v>
      </c>
      <c r="AB49" s="28"/>
      <c r="AC49" s="28"/>
      <c r="AD49" s="28"/>
      <c r="AE49" s="28"/>
      <c r="AG49" s="146">
        <f t="shared" ca="1" si="23"/>
        <v>37.5</v>
      </c>
      <c r="AH49" s="146">
        <f t="shared" ca="1" si="24"/>
        <v>62.5</v>
      </c>
      <c r="AI49" s="146">
        <f t="shared" ca="1" si="25"/>
        <v>50</v>
      </c>
      <c r="AJ49" s="146">
        <f t="shared" ca="1" si="26"/>
        <v>25</v>
      </c>
      <c r="AK49" s="146">
        <f t="shared" ca="1" si="27"/>
        <v>0</v>
      </c>
      <c r="AP49" s="147">
        <f t="shared" ca="1" si="2"/>
        <v>62.5</v>
      </c>
      <c r="AQ49" s="147">
        <f t="shared" ca="1" si="3"/>
        <v>50</v>
      </c>
      <c r="AR49" s="147">
        <f t="shared" ca="1" si="4"/>
        <v>25</v>
      </c>
      <c r="AS49" s="147">
        <f t="shared" ca="1" si="5"/>
        <v>0</v>
      </c>
      <c r="AT49" s="28">
        <f t="shared" ca="1" si="28"/>
        <v>37.5</v>
      </c>
    </row>
    <row r="50" spans="1:46">
      <c r="A50" s="1">
        <v>50</v>
      </c>
      <c r="B50" s="1" t="str">
        <f>Scores!N53</f>
        <v xml:space="preserve">   3.4.2) 35.¿Cuál es el nivel de enfoque de género en las condiciones de trabajo?</v>
      </c>
      <c r="C50" s="1">
        <f ca="1">ROUND(Scores!P53,$B$1)</f>
        <v>0</v>
      </c>
      <c r="D50" s="1">
        <f ca="1">ROUND(Scores!Q53,$B$1)</f>
        <v>0</v>
      </c>
      <c r="E50" s="1">
        <f ca="1">ROUND(Scores!R53,$B$1)</f>
        <v>50</v>
      </c>
      <c r="F50" s="1">
        <f ca="1">ROUND(Scores!S53,$B$1)</f>
        <v>0</v>
      </c>
      <c r="G50" s="1">
        <f ca="1">ROUND(Scores!T53,$B$1)</f>
        <v>0</v>
      </c>
      <c r="H50" s="1">
        <f ca="1">ROUND(Scores!U53,$B$1)</f>
        <v>0</v>
      </c>
      <c r="I50" s="1">
        <f ca="1">ROUND(Scores!V53,$B$1)</f>
        <v>0</v>
      </c>
      <c r="J50" s="1">
        <f ca="1">ROUND(Scores!W53,$B$1)</f>
        <v>0</v>
      </c>
      <c r="K50" s="1">
        <f ca="1">ROUND(Scores!X53,$B$1)</f>
        <v>0</v>
      </c>
      <c r="L50" s="1">
        <f ca="1">ROUND(Scores!Y53,$B$1)</f>
        <v>0</v>
      </c>
      <c r="M50" s="1">
        <f ca="1">ROUND(Scores!Z53,$B$1)</f>
        <v>50</v>
      </c>
      <c r="N50" s="1">
        <f ca="1">ROUND(Scores!AA53,$B$1)</f>
        <v>0</v>
      </c>
      <c r="O50" s="1">
        <f ca="1">ROUND(Scores!AB53,$B$1)</f>
        <v>0</v>
      </c>
      <c r="P50" s="1">
        <f>ROUND(Scores!AC53,$B$1)</f>
        <v>0</v>
      </c>
      <c r="Q50" s="1">
        <f>ROUND(Scores!AD53,$B$1)</f>
        <v>0</v>
      </c>
      <c r="R50" s="1">
        <f>ROUND(Scores!AE53,$B$1)</f>
        <v>0</v>
      </c>
      <c r="S50" s="1">
        <f>ROUND(Scores!AF53,$B$1)</f>
        <v>0</v>
      </c>
      <c r="T50" s="1">
        <f>ROUND(Scores!AG53,$B$1)</f>
        <v>0</v>
      </c>
      <c r="U50" s="1">
        <f>ROUND(Scores!AH53,$B$1)</f>
        <v>0</v>
      </c>
      <c r="V50" s="1">
        <f>ROUND(Scores!AI53,$B$1)</f>
        <v>0</v>
      </c>
      <c r="W50" s="1">
        <f>ROUND(Scores!AJ53,$B$1)</f>
        <v>0</v>
      </c>
      <c r="X50" s="1">
        <f>ROUND(Scores!AK53,$B$1)</f>
        <v>0</v>
      </c>
      <c r="Z50" s="1">
        <f t="shared" ca="1" si="6"/>
        <v>8.3333333333333339</v>
      </c>
      <c r="AA50" s="1">
        <f t="shared" ca="1" si="7"/>
        <v>8.3333333333333339</v>
      </c>
      <c r="AB50" s="28"/>
      <c r="AC50" s="28"/>
      <c r="AD50" s="28"/>
      <c r="AE50" s="28"/>
      <c r="AG50" s="146">
        <f t="shared" ca="1" si="23"/>
        <v>8.3333333333333339</v>
      </c>
      <c r="AH50" s="146">
        <f t="shared" ca="1" si="24"/>
        <v>12.5</v>
      </c>
      <c r="AI50" s="146">
        <f t="shared" ca="1" si="25"/>
        <v>0</v>
      </c>
      <c r="AJ50" s="146">
        <f t="shared" ca="1" si="26"/>
        <v>0</v>
      </c>
      <c r="AK50" s="146">
        <f t="shared" ca="1" si="27"/>
        <v>16.666666666666668</v>
      </c>
      <c r="AP50" s="147">
        <f t="shared" ca="1" si="2"/>
        <v>12.5</v>
      </c>
      <c r="AQ50" s="147">
        <f t="shared" ca="1" si="3"/>
        <v>0</v>
      </c>
      <c r="AR50" s="147">
        <f t="shared" ca="1" si="4"/>
        <v>0</v>
      </c>
      <c r="AS50" s="147">
        <f t="shared" ca="1" si="5"/>
        <v>16.666666666666668</v>
      </c>
      <c r="AT50" s="28">
        <f t="shared" ca="1" si="28"/>
        <v>8.3333333333333339</v>
      </c>
    </row>
    <row r="51" spans="1:46">
      <c r="A51" s="1">
        <v>51</v>
      </c>
      <c r="B51" s="1" t="str">
        <f>Scores!N54</f>
        <v xml:space="preserve">   3.4.3) 36.¿Hay planes inclusivos de cierre de vertederos a cielo abierto?</v>
      </c>
      <c r="C51" s="1">
        <f ca="1">ROUND(Scores!P54,$B$1)</f>
        <v>0</v>
      </c>
      <c r="D51" s="1">
        <f ca="1">ROUND(Scores!Q54,$B$1)</f>
        <v>100</v>
      </c>
      <c r="E51" s="1">
        <f ca="1">ROUND(Scores!R54,$B$1)</f>
        <v>100</v>
      </c>
      <c r="F51" s="1">
        <f ca="1">ROUND(Scores!S54,$B$1)</f>
        <v>100</v>
      </c>
      <c r="G51" s="1">
        <f ca="1">ROUND(Scores!T54,$B$1)</f>
        <v>100</v>
      </c>
      <c r="H51" s="1">
        <f ca="1">ROUND(Scores!U54,$B$1)</f>
        <v>100</v>
      </c>
      <c r="I51" s="1">
        <f ca="1">ROUND(Scores!V54,$B$1)</f>
        <v>0</v>
      </c>
      <c r="J51" s="1">
        <f ca="1">ROUND(Scores!W54,$B$1)</f>
        <v>100</v>
      </c>
      <c r="K51" s="1">
        <f ca="1">ROUND(Scores!X54,$B$1)</f>
        <v>100</v>
      </c>
      <c r="L51" s="1">
        <f ca="1">ROUND(Scores!Y54,$B$1)</f>
        <v>100</v>
      </c>
      <c r="M51" s="1">
        <f ca="1">ROUND(Scores!Z54,$B$1)</f>
        <v>100</v>
      </c>
      <c r="N51" s="1">
        <f ca="1">ROUND(Scores!AA54,$B$1)</f>
        <v>100</v>
      </c>
      <c r="O51" s="1">
        <f ca="1">ROUND(Scores!AB54,$B$1)</f>
        <v>0</v>
      </c>
      <c r="P51" s="1">
        <f>ROUND(Scores!AC54,$B$1)</f>
        <v>0</v>
      </c>
      <c r="Q51" s="1">
        <f>ROUND(Scores!AD54,$B$1)</f>
        <v>0</v>
      </c>
      <c r="R51" s="1">
        <f>ROUND(Scores!AE54,$B$1)</f>
        <v>0</v>
      </c>
      <c r="S51" s="1">
        <f>ROUND(Scores!AF54,$B$1)</f>
        <v>0</v>
      </c>
      <c r="T51" s="1">
        <f>ROUND(Scores!AG54,$B$1)</f>
        <v>0</v>
      </c>
      <c r="U51" s="1">
        <f>ROUND(Scores!AH54,$B$1)</f>
        <v>0</v>
      </c>
      <c r="V51" s="1">
        <f>ROUND(Scores!AI54,$B$1)</f>
        <v>0</v>
      </c>
      <c r="W51" s="1">
        <f>ROUND(Scores!AJ54,$B$1)</f>
        <v>0</v>
      </c>
      <c r="X51" s="1">
        <f>ROUND(Scores!AK54,$B$1)</f>
        <v>0</v>
      </c>
      <c r="Z51" s="1">
        <f t="shared" ca="1" si="6"/>
        <v>83.333333333333329</v>
      </c>
      <c r="AA51" s="1">
        <f t="shared" ca="1" si="7"/>
        <v>83.333333333333329</v>
      </c>
      <c r="AB51" s="28"/>
      <c r="AC51" s="28"/>
      <c r="AD51" s="28"/>
      <c r="AE51" s="28"/>
      <c r="AG51" s="146">
        <f t="shared" ca="1" si="23"/>
        <v>83.333333333333329</v>
      </c>
      <c r="AH51" s="146">
        <f t="shared" ca="1" si="24"/>
        <v>100</v>
      </c>
      <c r="AI51" s="146">
        <f t="shared" ca="1" si="25"/>
        <v>66.666666666666671</v>
      </c>
      <c r="AJ51" s="146">
        <f t="shared" ca="1" si="26"/>
        <v>100</v>
      </c>
      <c r="AK51" s="146">
        <f t="shared" ca="1" si="27"/>
        <v>66.666666666666671</v>
      </c>
      <c r="AP51" s="147">
        <f t="shared" ca="1" si="2"/>
        <v>100</v>
      </c>
      <c r="AQ51" s="147">
        <f t="shared" ca="1" si="3"/>
        <v>66.666666666666671</v>
      </c>
      <c r="AR51" s="147">
        <f t="shared" ca="1" si="4"/>
        <v>100</v>
      </c>
      <c r="AS51" s="147">
        <f t="shared" ca="1" si="5"/>
        <v>66.666666666666671</v>
      </c>
      <c r="AT51" s="28">
        <f t="shared" ca="1" si="28"/>
        <v>83.333333333333329</v>
      </c>
    </row>
    <row r="52" spans="1:46">
      <c r="A52" s="1">
        <v>52</v>
      </c>
      <c r="B52" s="1" t="str">
        <f>Scores!N55</f>
        <v xml:space="preserve">   3.4.4) 37.¿Los recicladores tienen acceso a herramientas de trabajo adecuadas?</v>
      </c>
      <c r="C52" s="1">
        <f ca="1">ROUND(Scores!P55,$B$1)</f>
        <v>0</v>
      </c>
      <c r="D52" s="1">
        <f ca="1">ROUND(Scores!Q55,$B$1)</f>
        <v>50</v>
      </c>
      <c r="E52" s="1">
        <f ca="1">ROUND(Scores!R55,$B$1)</f>
        <v>100</v>
      </c>
      <c r="F52" s="1">
        <f ca="1">ROUND(Scores!S55,$B$1)</f>
        <v>50</v>
      </c>
      <c r="G52" s="1">
        <f ca="1">ROUND(Scores!T55,$B$1)</f>
        <v>0</v>
      </c>
      <c r="H52" s="1">
        <f ca="1">ROUND(Scores!U55,$B$1)</f>
        <v>50</v>
      </c>
      <c r="I52" s="1">
        <f ca="1">ROUND(Scores!V55,$B$1)</f>
        <v>0</v>
      </c>
      <c r="J52" s="1">
        <f ca="1">ROUND(Scores!W55,$B$1)</f>
        <v>0</v>
      </c>
      <c r="K52" s="1">
        <f ca="1">ROUND(Scores!X55,$B$1)</f>
        <v>0</v>
      </c>
      <c r="L52" s="1">
        <f ca="1">ROUND(Scores!Y55,$B$1)</f>
        <v>50</v>
      </c>
      <c r="M52" s="1">
        <f ca="1">ROUND(Scores!Z55,$B$1)</f>
        <v>50</v>
      </c>
      <c r="N52" s="1">
        <f ca="1">ROUND(Scores!AA55,$B$1)</f>
        <v>50</v>
      </c>
      <c r="O52" s="1">
        <f ca="1">ROUND(Scores!AB55,$B$1)</f>
        <v>0</v>
      </c>
      <c r="P52" s="1">
        <f>ROUND(Scores!AC55,$B$1)</f>
        <v>0</v>
      </c>
      <c r="Q52" s="1">
        <f>ROUND(Scores!AD55,$B$1)</f>
        <v>0</v>
      </c>
      <c r="R52" s="1">
        <f>ROUND(Scores!AE55,$B$1)</f>
        <v>0</v>
      </c>
      <c r="S52" s="1">
        <f>ROUND(Scores!AF55,$B$1)</f>
        <v>0</v>
      </c>
      <c r="T52" s="1">
        <f>ROUND(Scores!AG55,$B$1)</f>
        <v>0</v>
      </c>
      <c r="U52" s="1">
        <f>ROUND(Scores!AH55,$B$1)</f>
        <v>0</v>
      </c>
      <c r="V52" s="1">
        <f>ROUND(Scores!AI55,$B$1)</f>
        <v>0</v>
      </c>
      <c r="W52" s="1">
        <f>ROUND(Scores!AJ55,$B$1)</f>
        <v>0</v>
      </c>
      <c r="X52" s="1">
        <f>ROUND(Scores!AK55,$B$1)</f>
        <v>0</v>
      </c>
      <c r="Z52" s="1">
        <f t="shared" ca="1" si="6"/>
        <v>33.333333333333336</v>
      </c>
      <c r="AA52" s="1">
        <f t="shared" ca="1" si="7"/>
        <v>33.333333333333336</v>
      </c>
      <c r="AB52" s="28"/>
      <c r="AC52" s="28"/>
      <c r="AD52" s="28"/>
      <c r="AE52" s="28"/>
      <c r="AG52" s="146">
        <f t="shared" ca="1" si="23"/>
        <v>33.333333333333336</v>
      </c>
      <c r="AH52" s="146">
        <f t="shared" ca="1" si="24"/>
        <v>50</v>
      </c>
      <c r="AI52" s="146">
        <f t="shared" ca="1" si="25"/>
        <v>16.666666666666668</v>
      </c>
      <c r="AJ52" s="146">
        <f t="shared" ca="1" si="26"/>
        <v>25</v>
      </c>
      <c r="AK52" s="146">
        <f t="shared" ca="1" si="27"/>
        <v>33.333333333333336</v>
      </c>
      <c r="AP52" s="147">
        <f t="shared" ca="1" si="2"/>
        <v>50</v>
      </c>
      <c r="AQ52" s="147">
        <f t="shared" ca="1" si="3"/>
        <v>16.666666666666668</v>
      </c>
      <c r="AR52" s="147">
        <f t="shared" ca="1" si="4"/>
        <v>25</v>
      </c>
      <c r="AS52" s="147">
        <f t="shared" ca="1" si="5"/>
        <v>33.333333333333336</v>
      </c>
      <c r="AT52" s="28">
        <f t="shared" ca="1" si="28"/>
        <v>33.333333333333336</v>
      </c>
    </row>
    <row r="53" spans="1:46">
      <c r="B53" s="6" t="s">
        <v>95</v>
      </c>
      <c r="N53" s="6" t="s">
        <v>2353</v>
      </c>
      <c r="O53" s="6" t="s">
        <v>2354</v>
      </c>
      <c r="P53" s="6" t="s">
        <v>2355</v>
      </c>
      <c r="Q53" s="6" t="s">
        <v>2356</v>
      </c>
      <c r="R53" s="6" t="s">
        <v>2357</v>
      </c>
      <c r="S53" s="6" t="s">
        <v>2358</v>
      </c>
      <c r="T53" s="6" t="s">
        <v>2359</v>
      </c>
      <c r="U53" s="6" t="s">
        <v>2352</v>
      </c>
      <c r="V53" s="6" t="s">
        <v>2345</v>
      </c>
      <c r="W53" s="6" t="s">
        <v>2346</v>
      </c>
      <c r="X53" s="6" t="s">
        <v>2</v>
      </c>
    </row>
    <row r="54" spans="1:46">
      <c r="A54" s="100" t="str">
        <f>uxb_works!A124</f>
        <v>ADDTIONAL_CITIES</v>
      </c>
      <c r="B54" s="100">
        <f>uxb_works!B124+1</f>
        <v>1</v>
      </c>
      <c r="C54" s="100" t="str">
        <f>INDEX($N$53:$X$53,B54)</f>
        <v>N</v>
      </c>
    </row>
    <row r="55" spans="1:46">
      <c r="A55" s="1">
        <v>55</v>
      </c>
      <c r="B55" s="1" t="str">
        <f t="shared" ref="B55:B68" si="33">B2</f>
        <v>CATEGORÍA</v>
      </c>
      <c r="C55" s="1">
        <f ca="1">RANK(C2,INDIRECT("C"&amp;$A2&amp;":"&amp;$C$54&amp;$A2),0)</f>
        <v>10</v>
      </c>
      <c r="D55" s="1">
        <f t="shared" ref="D55:X55" ca="1" si="34">RANK(D2,INDIRECT("C"&amp;$A2&amp;":"&amp;$C$54&amp;$A2),0)</f>
        <v>3</v>
      </c>
      <c r="E55" s="1">
        <f t="shared" ca="1" si="34"/>
        <v>1</v>
      </c>
      <c r="F55" s="1">
        <f t="shared" ca="1" si="34"/>
        <v>11</v>
      </c>
      <c r="G55" s="1">
        <f t="shared" ca="1" si="34"/>
        <v>6</v>
      </c>
      <c r="H55" s="1">
        <f t="shared" ca="1" si="34"/>
        <v>4</v>
      </c>
      <c r="I55" s="1">
        <f t="shared" ca="1" si="34"/>
        <v>9</v>
      </c>
      <c r="J55" s="1">
        <f t="shared" ca="1" si="34"/>
        <v>8</v>
      </c>
      <c r="K55" s="1">
        <f t="shared" ca="1" si="34"/>
        <v>11</v>
      </c>
      <c r="L55" s="1">
        <f t="shared" ca="1" si="34"/>
        <v>2</v>
      </c>
      <c r="M55" s="1">
        <f t="shared" ca="1" si="34"/>
        <v>5</v>
      </c>
      <c r="N55" s="1">
        <f t="shared" ca="1" si="34"/>
        <v>7</v>
      </c>
      <c r="O55" s="1" t="e">
        <f t="shared" ca="1" si="34"/>
        <v>#N/A</v>
      </c>
      <c r="P55" s="1" t="e">
        <f t="shared" ca="1" si="34"/>
        <v>#N/A</v>
      </c>
      <c r="Q55" s="1" t="e">
        <f t="shared" ca="1" si="34"/>
        <v>#N/A</v>
      </c>
      <c r="R55" s="1" t="e">
        <f t="shared" ca="1" si="34"/>
        <v>#N/A</v>
      </c>
      <c r="S55" s="1" t="e">
        <f t="shared" ca="1" si="34"/>
        <v>#N/A</v>
      </c>
      <c r="T55" s="1" t="e">
        <f t="shared" ca="1" si="34"/>
        <v>#N/A</v>
      </c>
      <c r="U55" s="1" t="e">
        <f t="shared" ca="1" si="34"/>
        <v>#N/A</v>
      </c>
      <c r="V55" s="1" t="e">
        <f t="shared" ca="1" si="34"/>
        <v>#N/A</v>
      </c>
      <c r="W55" s="1" t="e">
        <f t="shared" ca="1" si="34"/>
        <v>#N/A</v>
      </c>
      <c r="X55" s="1" t="e">
        <f t="shared" ca="1" si="34"/>
        <v>#N/A</v>
      </c>
    </row>
    <row r="56" spans="1:46">
      <c r="A56" s="1">
        <v>56</v>
      </c>
      <c r="B56" s="1" t="str">
        <f t="shared" si="33"/>
        <v xml:space="preserve"> 1) NORMATIVA</v>
      </c>
      <c r="C56" s="1">
        <f t="shared" ref="C56:X56" ca="1" si="35">RANK(C3,INDIRECT("C"&amp;$A3&amp;":"&amp;$C$54&amp;$A3),0)</f>
        <v>10</v>
      </c>
      <c r="D56" s="1">
        <f t="shared" ca="1" si="35"/>
        <v>3</v>
      </c>
      <c r="E56" s="1">
        <f t="shared" ca="1" si="35"/>
        <v>2</v>
      </c>
      <c r="F56" s="1">
        <f t="shared" ca="1" si="35"/>
        <v>12</v>
      </c>
      <c r="G56" s="1">
        <f t="shared" ca="1" si="35"/>
        <v>9</v>
      </c>
      <c r="H56" s="1">
        <f t="shared" ca="1" si="35"/>
        <v>3</v>
      </c>
      <c r="I56" s="1">
        <f t="shared" ca="1" si="35"/>
        <v>6</v>
      </c>
      <c r="J56" s="1">
        <f t="shared" ca="1" si="35"/>
        <v>7</v>
      </c>
      <c r="K56" s="1">
        <f t="shared" ca="1" si="35"/>
        <v>11</v>
      </c>
      <c r="L56" s="1">
        <f t="shared" ca="1" si="35"/>
        <v>1</v>
      </c>
      <c r="M56" s="1">
        <f t="shared" ca="1" si="35"/>
        <v>5</v>
      </c>
      <c r="N56" s="1">
        <f t="shared" ca="1" si="35"/>
        <v>8</v>
      </c>
      <c r="O56" s="1" t="e">
        <f t="shared" ca="1" si="35"/>
        <v>#N/A</v>
      </c>
      <c r="P56" s="1" t="e">
        <f t="shared" ca="1" si="35"/>
        <v>#N/A</v>
      </c>
      <c r="Q56" s="1" t="e">
        <f t="shared" ca="1" si="35"/>
        <v>#N/A</v>
      </c>
      <c r="R56" s="1" t="e">
        <f t="shared" ca="1" si="35"/>
        <v>#N/A</v>
      </c>
      <c r="S56" s="1" t="e">
        <f t="shared" ca="1" si="35"/>
        <v>#N/A</v>
      </c>
      <c r="T56" s="1" t="e">
        <f t="shared" ca="1" si="35"/>
        <v>#N/A</v>
      </c>
      <c r="U56" s="1" t="e">
        <f t="shared" ca="1" si="35"/>
        <v>#N/A</v>
      </c>
      <c r="V56" s="1" t="e">
        <f t="shared" ca="1" si="35"/>
        <v>#N/A</v>
      </c>
      <c r="W56" s="1" t="e">
        <f t="shared" ca="1" si="35"/>
        <v>#N/A</v>
      </c>
      <c r="X56" s="1" t="e">
        <f t="shared" ca="1" si="35"/>
        <v>#N/A</v>
      </c>
      <c r="AB56" s="28"/>
      <c r="AC56" s="28"/>
      <c r="AD56" s="28"/>
      <c r="AE56" s="28"/>
      <c r="AT56" s="28"/>
    </row>
    <row r="57" spans="1:46">
      <c r="A57" s="1">
        <v>57</v>
      </c>
      <c r="B57" s="1" t="str">
        <f t="shared" si="33"/>
        <v xml:space="preserve">  1.1) Normativa sobre gestión de residuos</v>
      </c>
      <c r="C57" s="1">
        <f t="shared" ref="C57:X57" ca="1" si="36">RANK(C4,INDIRECT("C"&amp;$A4&amp;":"&amp;$C$54&amp;$A4),0)</f>
        <v>7</v>
      </c>
      <c r="D57" s="1">
        <f t="shared" ca="1" si="36"/>
        <v>2</v>
      </c>
      <c r="E57" s="1">
        <f t="shared" ca="1" si="36"/>
        <v>2</v>
      </c>
      <c r="F57" s="1">
        <f t="shared" ca="1" si="36"/>
        <v>11</v>
      </c>
      <c r="G57" s="1">
        <f t="shared" ca="1" si="36"/>
        <v>11</v>
      </c>
      <c r="H57" s="1">
        <f t="shared" ca="1" si="36"/>
        <v>2</v>
      </c>
      <c r="I57" s="1">
        <f t="shared" ca="1" si="36"/>
        <v>10</v>
      </c>
      <c r="J57" s="1">
        <f t="shared" ca="1" si="36"/>
        <v>5</v>
      </c>
      <c r="K57" s="1">
        <f t="shared" ca="1" si="36"/>
        <v>7</v>
      </c>
      <c r="L57" s="1">
        <f t="shared" ca="1" si="36"/>
        <v>1</v>
      </c>
      <c r="M57" s="1">
        <f t="shared" ca="1" si="36"/>
        <v>7</v>
      </c>
      <c r="N57" s="1">
        <f t="shared" ca="1" si="36"/>
        <v>6</v>
      </c>
      <c r="O57" s="1">
        <f t="shared" ca="1" si="36"/>
        <v>10</v>
      </c>
      <c r="P57" s="1">
        <f t="shared" ca="1" si="36"/>
        <v>11</v>
      </c>
      <c r="Q57" s="1">
        <f t="shared" ca="1" si="36"/>
        <v>11</v>
      </c>
      <c r="R57" s="1">
        <f t="shared" ca="1" si="36"/>
        <v>11</v>
      </c>
      <c r="S57" s="1">
        <f t="shared" ca="1" si="36"/>
        <v>11</v>
      </c>
      <c r="T57" s="1">
        <f t="shared" ca="1" si="36"/>
        <v>11</v>
      </c>
      <c r="U57" s="1">
        <f t="shared" ca="1" si="36"/>
        <v>11</v>
      </c>
      <c r="V57" s="1">
        <f t="shared" ca="1" si="36"/>
        <v>11</v>
      </c>
      <c r="W57" s="1">
        <f t="shared" ca="1" si="36"/>
        <v>11</v>
      </c>
      <c r="X57" s="1">
        <f t="shared" ca="1" si="36"/>
        <v>11</v>
      </c>
      <c r="AB57" s="28"/>
      <c r="AC57" s="28"/>
      <c r="AD57" s="28"/>
      <c r="AE57" s="28"/>
      <c r="AT57" s="28"/>
    </row>
    <row r="58" spans="1:46">
      <c r="A58" s="1">
        <v>58</v>
      </c>
      <c r="B58" s="1" t="str">
        <f t="shared" si="33"/>
        <v xml:space="preserve">   1.1.1) 1.¿ Existe un marco legal nacional para la gestión de residuos orientado al reciclaje con la inclusión de actores informales?</v>
      </c>
      <c r="C58" s="1">
        <f t="shared" ref="C58:X58" ca="1" si="37">RANK(C5,INDIRECT("C"&amp;$A5&amp;":"&amp;$C$54&amp;$A5),0)</f>
        <v>8</v>
      </c>
      <c r="D58" s="1">
        <f t="shared" ca="1" si="37"/>
        <v>3</v>
      </c>
      <c r="E58" s="1">
        <f t="shared" ca="1" si="37"/>
        <v>8</v>
      </c>
      <c r="F58" s="1">
        <f t="shared" ca="1" si="37"/>
        <v>8</v>
      </c>
      <c r="G58" s="1">
        <f t="shared" ca="1" si="37"/>
        <v>8</v>
      </c>
      <c r="H58" s="1">
        <f t="shared" ca="1" si="37"/>
        <v>1</v>
      </c>
      <c r="I58" s="1">
        <f t="shared" ca="1" si="37"/>
        <v>3</v>
      </c>
      <c r="J58" s="1">
        <f t="shared" ca="1" si="37"/>
        <v>8</v>
      </c>
      <c r="K58" s="1">
        <f t="shared" ca="1" si="37"/>
        <v>3</v>
      </c>
      <c r="L58" s="1">
        <f t="shared" ca="1" si="37"/>
        <v>1</v>
      </c>
      <c r="M58" s="1">
        <f t="shared" ca="1" si="37"/>
        <v>3</v>
      </c>
      <c r="N58" s="1">
        <f t="shared" ca="1" si="37"/>
        <v>3</v>
      </c>
      <c r="O58" s="1">
        <f t="shared" ca="1" si="37"/>
        <v>3</v>
      </c>
      <c r="P58" s="1">
        <f t="shared" ca="1" si="37"/>
        <v>8</v>
      </c>
      <c r="Q58" s="1">
        <f t="shared" ca="1" si="37"/>
        <v>8</v>
      </c>
      <c r="R58" s="1">
        <f t="shared" ca="1" si="37"/>
        <v>8</v>
      </c>
      <c r="S58" s="1">
        <f t="shared" ca="1" si="37"/>
        <v>8</v>
      </c>
      <c r="T58" s="1">
        <f t="shared" ca="1" si="37"/>
        <v>8</v>
      </c>
      <c r="U58" s="1">
        <f t="shared" ca="1" si="37"/>
        <v>8</v>
      </c>
      <c r="V58" s="1">
        <f t="shared" ca="1" si="37"/>
        <v>8</v>
      </c>
      <c r="W58" s="1">
        <f t="shared" ca="1" si="37"/>
        <v>8</v>
      </c>
      <c r="X58" s="1">
        <f t="shared" ca="1" si="37"/>
        <v>8</v>
      </c>
      <c r="AB58" s="28"/>
      <c r="AC58" s="28"/>
      <c r="AD58" s="28"/>
      <c r="AE58" s="28"/>
      <c r="AT58" s="28"/>
    </row>
    <row r="59" spans="1:46">
      <c r="A59" s="1">
        <v>59</v>
      </c>
      <c r="B59" s="1" t="str">
        <f t="shared" si="33"/>
        <v xml:space="preserve">   1.1.2) 2.¿Existe un marco legal municipal para la gestión de residuos orientado al reciclaje y la inclusión de actores informales?</v>
      </c>
      <c r="C59" s="1">
        <f t="shared" ref="C59:X59" ca="1" si="38">RANK(C6,INDIRECT("C"&amp;$A6&amp;":"&amp;$C$54&amp;$A6),0)</f>
        <v>6</v>
      </c>
      <c r="D59" s="1">
        <f t="shared" ca="1" si="38"/>
        <v>1</v>
      </c>
      <c r="E59" s="1">
        <f t="shared" ca="1" si="38"/>
        <v>1</v>
      </c>
      <c r="F59" s="1">
        <f t="shared" ca="1" si="38"/>
        <v>9</v>
      </c>
      <c r="G59" s="1">
        <f t="shared" ca="1" si="38"/>
        <v>9</v>
      </c>
      <c r="H59" s="1">
        <f t="shared" ca="1" si="38"/>
        <v>1</v>
      </c>
      <c r="I59" s="1">
        <f t="shared" ca="1" si="38"/>
        <v>9</v>
      </c>
      <c r="J59" s="1">
        <f t="shared" ca="1" si="38"/>
        <v>1</v>
      </c>
      <c r="K59" s="1">
        <f t="shared" ca="1" si="38"/>
        <v>6</v>
      </c>
      <c r="L59" s="1">
        <f t="shared" ca="1" si="38"/>
        <v>1</v>
      </c>
      <c r="M59" s="1">
        <f t="shared" ca="1" si="38"/>
        <v>9</v>
      </c>
      <c r="N59" s="1">
        <f t="shared" ca="1" si="38"/>
        <v>6</v>
      </c>
      <c r="O59" s="1">
        <f t="shared" ca="1" si="38"/>
        <v>9</v>
      </c>
      <c r="P59" s="1">
        <f t="shared" ca="1" si="38"/>
        <v>9</v>
      </c>
      <c r="Q59" s="1">
        <f t="shared" ca="1" si="38"/>
        <v>9</v>
      </c>
      <c r="R59" s="1">
        <f t="shared" ca="1" si="38"/>
        <v>9</v>
      </c>
      <c r="S59" s="1">
        <f t="shared" ca="1" si="38"/>
        <v>9</v>
      </c>
      <c r="T59" s="1">
        <f t="shared" ca="1" si="38"/>
        <v>9</v>
      </c>
      <c r="U59" s="1">
        <f t="shared" ca="1" si="38"/>
        <v>9</v>
      </c>
      <c r="V59" s="1">
        <f t="shared" ca="1" si="38"/>
        <v>9</v>
      </c>
      <c r="W59" s="1">
        <f t="shared" ca="1" si="38"/>
        <v>9</v>
      </c>
      <c r="X59" s="1">
        <f t="shared" ca="1" si="38"/>
        <v>9</v>
      </c>
      <c r="AB59" s="28"/>
      <c r="AC59" s="28"/>
      <c r="AD59" s="28"/>
      <c r="AE59" s="28"/>
      <c r="AT59" s="28"/>
    </row>
    <row r="60" spans="1:46">
      <c r="A60" s="1">
        <v>60</v>
      </c>
      <c r="B60" s="1" t="str">
        <f t="shared" si="33"/>
        <v xml:space="preserve">   1.1.3) 3.¿Son las políticas municipales suficientemente estables para garantizar la continuidad en materia de políticas de reciclaje inclusivo?</v>
      </c>
      <c r="C60" s="1">
        <f t="shared" ref="C60:X60" ca="1" si="39">RANK(C7,INDIRECT("C"&amp;$A7&amp;":"&amp;$C$54&amp;$A7),0)</f>
        <v>3</v>
      </c>
      <c r="D60" s="1">
        <f t="shared" ca="1" si="39"/>
        <v>3</v>
      </c>
      <c r="E60" s="1">
        <f t="shared" ca="1" si="39"/>
        <v>1</v>
      </c>
      <c r="F60" s="1">
        <f t="shared" ca="1" si="39"/>
        <v>7</v>
      </c>
      <c r="G60" s="1">
        <f t="shared" ca="1" si="39"/>
        <v>7</v>
      </c>
      <c r="H60" s="1">
        <f t="shared" ca="1" si="39"/>
        <v>7</v>
      </c>
      <c r="I60" s="1">
        <f t="shared" ca="1" si="39"/>
        <v>7</v>
      </c>
      <c r="J60" s="1">
        <f t="shared" ca="1" si="39"/>
        <v>3</v>
      </c>
      <c r="K60" s="1">
        <f t="shared" ca="1" si="39"/>
        <v>7</v>
      </c>
      <c r="L60" s="1">
        <f t="shared" ca="1" si="39"/>
        <v>1</v>
      </c>
      <c r="M60" s="1">
        <f t="shared" ca="1" si="39"/>
        <v>3</v>
      </c>
      <c r="N60" s="1">
        <f t="shared" ca="1" si="39"/>
        <v>7</v>
      </c>
      <c r="O60" s="1">
        <f t="shared" ca="1" si="39"/>
        <v>7</v>
      </c>
      <c r="P60" s="1">
        <f t="shared" ca="1" si="39"/>
        <v>7</v>
      </c>
      <c r="Q60" s="1">
        <f t="shared" ca="1" si="39"/>
        <v>7</v>
      </c>
      <c r="R60" s="1">
        <f t="shared" ca="1" si="39"/>
        <v>7</v>
      </c>
      <c r="S60" s="1">
        <f t="shared" ca="1" si="39"/>
        <v>7</v>
      </c>
      <c r="T60" s="1">
        <f t="shared" ca="1" si="39"/>
        <v>7</v>
      </c>
      <c r="U60" s="1">
        <f t="shared" ca="1" si="39"/>
        <v>7</v>
      </c>
      <c r="V60" s="1">
        <f t="shared" ca="1" si="39"/>
        <v>7</v>
      </c>
      <c r="W60" s="1">
        <f t="shared" ca="1" si="39"/>
        <v>7</v>
      </c>
      <c r="X60" s="1">
        <f t="shared" ca="1" si="39"/>
        <v>7</v>
      </c>
      <c r="AB60" s="28"/>
      <c r="AC60" s="28"/>
      <c r="AD60" s="28"/>
      <c r="AE60" s="28"/>
      <c r="AT60" s="28"/>
    </row>
    <row r="61" spans="1:46" hidden="1">
      <c r="A61" s="1">
        <v>61</v>
      </c>
      <c r="B61" s="1" t="str">
        <f t="shared" si="33"/>
        <v xml:space="preserve">   1.1.4) 4.¿Existe un presupuesto (o mecanismo de financiación) municipal asignado para el reciclaje inclusivo?</v>
      </c>
      <c r="C61" s="1">
        <f t="shared" ref="C61:X61" ca="1" si="40">RANK(C8,INDIRECT("C"&amp;$A8&amp;":"&amp;$C$54&amp;$A8),0)</f>
        <v>7</v>
      </c>
      <c r="D61" s="1">
        <f t="shared" ca="1" si="40"/>
        <v>1</v>
      </c>
      <c r="E61" s="1">
        <f t="shared" ca="1" si="40"/>
        <v>1</v>
      </c>
      <c r="F61" s="1">
        <f t="shared" ca="1" si="40"/>
        <v>7</v>
      </c>
      <c r="G61" s="1">
        <f t="shared" ca="1" si="40"/>
        <v>7</v>
      </c>
      <c r="H61" s="1">
        <f t="shared" ca="1" si="40"/>
        <v>1</v>
      </c>
      <c r="I61" s="1">
        <f t="shared" ca="1" si="40"/>
        <v>7</v>
      </c>
      <c r="J61" s="1">
        <f t="shared" ca="1" si="40"/>
        <v>1</v>
      </c>
      <c r="K61" s="1">
        <f t="shared" ca="1" si="40"/>
        <v>7</v>
      </c>
      <c r="L61" s="1">
        <f t="shared" ca="1" si="40"/>
        <v>1</v>
      </c>
      <c r="M61" s="1">
        <f t="shared" ca="1" si="40"/>
        <v>7</v>
      </c>
      <c r="N61" s="1">
        <f t="shared" ca="1" si="40"/>
        <v>1</v>
      </c>
      <c r="O61" s="1">
        <f t="shared" ca="1" si="40"/>
        <v>7</v>
      </c>
      <c r="P61" s="1">
        <f t="shared" ca="1" si="40"/>
        <v>7</v>
      </c>
      <c r="Q61" s="1">
        <f t="shared" ca="1" si="40"/>
        <v>7</v>
      </c>
      <c r="R61" s="1">
        <f t="shared" ca="1" si="40"/>
        <v>7</v>
      </c>
      <c r="S61" s="1">
        <f t="shared" ca="1" si="40"/>
        <v>7</v>
      </c>
      <c r="T61" s="1">
        <f t="shared" ca="1" si="40"/>
        <v>7</v>
      </c>
      <c r="U61" s="1">
        <f t="shared" ca="1" si="40"/>
        <v>7</v>
      </c>
      <c r="V61" s="1">
        <f t="shared" ca="1" si="40"/>
        <v>7</v>
      </c>
      <c r="W61" s="1">
        <f t="shared" ca="1" si="40"/>
        <v>7</v>
      </c>
      <c r="X61" s="1">
        <f t="shared" ca="1" si="40"/>
        <v>7</v>
      </c>
      <c r="AB61" s="28"/>
      <c r="AC61" s="28"/>
      <c r="AD61" s="28"/>
      <c r="AE61" s="28"/>
      <c r="AT61" s="28"/>
    </row>
    <row r="62" spans="1:46" hidden="1">
      <c r="A62" s="1">
        <v>62</v>
      </c>
      <c r="B62" s="1" t="str">
        <f t="shared" si="33"/>
        <v xml:space="preserve">  1.2) Integración del reciclador de base</v>
      </c>
      <c r="C62" s="1">
        <f t="shared" ref="C62:X62" ca="1" si="41">RANK(C9,INDIRECT("C"&amp;$A9&amp;":"&amp;$C$54&amp;$A9),0)</f>
        <v>7</v>
      </c>
      <c r="D62" s="1">
        <f t="shared" ca="1" si="41"/>
        <v>2</v>
      </c>
      <c r="E62" s="1">
        <f t="shared" ca="1" si="41"/>
        <v>4</v>
      </c>
      <c r="F62" s="1">
        <f t="shared" ca="1" si="41"/>
        <v>10</v>
      </c>
      <c r="G62" s="1">
        <f t="shared" ca="1" si="41"/>
        <v>11</v>
      </c>
      <c r="H62" s="1">
        <f t="shared" ca="1" si="41"/>
        <v>2</v>
      </c>
      <c r="I62" s="1">
        <f t="shared" ca="1" si="41"/>
        <v>5</v>
      </c>
      <c r="J62" s="1">
        <f t="shared" ca="1" si="41"/>
        <v>7</v>
      </c>
      <c r="K62" s="1">
        <f t="shared" ca="1" si="41"/>
        <v>12</v>
      </c>
      <c r="L62" s="1">
        <f t="shared" ca="1" si="41"/>
        <v>1</v>
      </c>
      <c r="M62" s="1">
        <f t="shared" ca="1" si="41"/>
        <v>6</v>
      </c>
      <c r="N62" s="1">
        <f t="shared" ca="1" si="41"/>
        <v>7</v>
      </c>
      <c r="O62" s="1" t="e">
        <f t="shared" ca="1" si="41"/>
        <v>#N/A</v>
      </c>
      <c r="P62" s="1" t="e">
        <f t="shared" ca="1" si="41"/>
        <v>#N/A</v>
      </c>
      <c r="Q62" s="1" t="e">
        <f t="shared" ca="1" si="41"/>
        <v>#N/A</v>
      </c>
      <c r="R62" s="1" t="e">
        <f t="shared" ca="1" si="41"/>
        <v>#N/A</v>
      </c>
      <c r="S62" s="1" t="e">
        <f t="shared" ca="1" si="41"/>
        <v>#N/A</v>
      </c>
      <c r="T62" s="1" t="e">
        <f t="shared" ca="1" si="41"/>
        <v>#N/A</v>
      </c>
      <c r="U62" s="1" t="e">
        <f t="shared" ca="1" si="41"/>
        <v>#N/A</v>
      </c>
      <c r="V62" s="1" t="e">
        <f t="shared" ca="1" si="41"/>
        <v>#N/A</v>
      </c>
      <c r="W62" s="1" t="e">
        <f t="shared" ca="1" si="41"/>
        <v>#N/A</v>
      </c>
      <c r="X62" s="1" t="e">
        <f t="shared" ca="1" si="41"/>
        <v>#N/A</v>
      </c>
      <c r="AB62" s="28"/>
      <c r="AC62" s="28"/>
      <c r="AD62" s="28"/>
      <c r="AE62" s="28"/>
      <c r="AT62" s="28"/>
    </row>
    <row r="63" spans="1:46" hidden="1">
      <c r="A63" s="1">
        <v>63</v>
      </c>
      <c r="B63" s="1" t="str">
        <f t="shared" si="33"/>
        <v xml:space="preserve">   1.2.1) 5.¿Existe reconocimiento legal de la ocupación de reciclador de base?</v>
      </c>
      <c r="C63" s="1">
        <f t="shared" ref="C63:X63" ca="1" si="42">RANK(C10,INDIRECT("C"&amp;$A10&amp;":"&amp;$C$54&amp;$A10),0)</f>
        <v>5</v>
      </c>
      <c r="D63" s="1">
        <f t="shared" ca="1" si="42"/>
        <v>1</v>
      </c>
      <c r="E63" s="1">
        <f t="shared" ca="1" si="42"/>
        <v>1</v>
      </c>
      <c r="F63" s="1">
        <f t="shared" ca="1" si="42"/>
        <v>5</v>
      </c>
      <c r="G63" s="1">
        <f t="shared" ca="1" si="42"/>
        <v>5</v>
      </c>
      <c r="H63" s="1">
        <f t="shared" ca="1" si="42"/>
        <v>1</v>
      </c>
      <c r="I63" s="1">
        <f t="shared" ca="1" si="42"/>
        <v>5</v>
      </c>
      <c r="J63" s="1">
        <f t="shared" ca="1" si="42"/>
        <v>5</v>
      </c>
      <c r="K63" s="1">
        <f t="shared" ca="1" si="42"/>
        <v>5</v>
      </c>
      <c r="L63" s="1">
        <f t="shared" ca="1" si="42"/>
        <v>1</v>
      </c>
      <c r="M63" s="1">
        <f t="shared" ca="1" si="42"/>
        <v>5</v>
      </c>
      <c r="N63" s="1">
        <f t="shared" ca="1" si="42"/>
        <v>5</v>
      </c>
      <c r="O63" s="1">
        <f t="shared" ca="1" si="42"/>
        <v>5</v>
      </c>
      <c r="P63" s="1">
        <f t="shared" ca="1" si="42"/>
        <v>5</v>
      </c>
      <c r="Q63" s="1">
        <f t="shared" ca="1" si="42"/>
        <v>5</v>
      </c>
      <c r="R63" s="1">
        <f t="shared" ca="1" si="42"/>
        <v>5</v>
      </c>
      <c r="S63" s="1">
        <f t="shared" ca="1" si="42"/>
        <v>5</v>
      </c>
      <c r="T63" s="1">
        <f t="shared" ca="1" si="42"/>
        <v>5</v>
      </c>
      <c r="U63" s="1">
        <f t="shared" ca="1" si="42"/>
        <v>5</v>
      </c>
      <c r="V63" s="1">
        <f t="shared" ca="1" si="42"/>
        <v>5</v>
      </c>
      <c r="W63" s="1">
        <f t="shared" ca="1" si="42"/>
        <v>5</v>
      </c>
      <c r="X63" s="1">
        <f t="shared" ca="1" si="42"/>
        <v>5</v>
      </c>
      <c r="AB63" s="28"/>
      <c r="AC63" s="28"/>
      <c r="AD63" s="28"/>
      <c r="AE63" s="28"/>
      <c r="AT63" s="28"/>
    </row>
    <row r="64" spans="1:46" hidden="1">
      <c r="A64" s="1">
        <v>64</v>
      </c>
      <c r="B64" s="1" t="str">
        <f t="shared" si="33"/>
        <v xml:space="preserve">   1.2.2) 6.¿Se reconoce a los recicladores de base como prestadores de servicio en la gestión de residuos?</v>
      </c>
      <c r="C64" s="1">
        <f t="shared" ref="C64:X64" ca="1" si="43">RANK(C11,INDIRECT("C"&amp;$A11&amp;":"&amp;$C$54&amp;$A11),0)</f>
        <v>4</v>
      </c>
      <c r="D64" s="1">
        <f t="shared" ca="1" si="43"/>
        <v>1</v>
      </c>
      <c r="E64" s="1">
        <f t="shared" ca="1" si="43"/>
        <v>1</v>
      </c>
      <c r="F64" s="1">
        <f t="shared" ca="1" si="43"/>
        <v>9</v>
      </c>
      <c r="G64" s="1">
        <f t="shared" ca="1" si="43"/>
        <v>9</v>
      </c>
      <c r="H64" s="1">
        <f t="shared" ca="1" si="43"/>
        <v>4</v>
      </c>
      <c r="I64" s="1">
        <f t="shared" ca="1" si="43"/>
        <v>4</v>
      </c>
      <c r="J64" s="1">
        <f t="shared" ca="1" si="43"/>
        <v>4</v>
      </c>
      <c r="K64" s="1">
        <f t="shared" ca="1" si="43"/>
        <v>9</v>
      </c>
      <c r="L64" s="1">
        <f t="shared" ca="1" si="43"/>
        <v>1</v>
      </c>
      <c r="M64" s="1">
        <f t="shared" ca="1" si="43"/>
        <v>4</v>
      </c>
      <c r="N64" s="1">
        <f t="shared" ca="1" si="43"/>
        <v>9</v>
      </c>
      <c r="O64" s="1">
        <f t="shared" ca="1" si="43"/>
        <v>9</v>
      </c>
      <c r="P64" s="1">
        <f t="shared" ca="1" si="43"/>
        <v>9</v>
      </c>
      <c r="Q64" s="1">
        <f t="shared" ca="1" si="43"/>
        <v>9</v>
      </c>
      <c r="R64" s="1">
        <f t="shared" ca="1" si="43"/>
        <v>9</v>
      </c>
      <c r="S64" s="1">
        <f t="shared" ca="1" si="43"/>
        <v>9</v>
      </c>
      <c r="T64" s="1">
        <f t="shared" ca="1" si="43"/>
        <v>9</v>
      </c>
      <c r="U64" s="1">
        <f t="shared" ca="1" si="43"/>
        <v>9</v>
      </c>
      <c r="V64" s="1">
        <f t="shared" ca="1" si="43"/>
        <v>9</v>
      </c>
      <c r="W64" s="1">
        <f t="shared" ca="1" si="43"/>
        <v>9</v>
      </c>
      <c r="X64" s="1">
        <f t="shared" ca="1" si="43"/>
        <v>9</v>
      </c>
      <c r="AB64" s="28"/>
      <c r="AC64" s="28"/>
      <c r="AD64" s="28"/>
      <c r="AE64" s="28"/>
      <c r="AT64" s="28"/>
    </row>
    <row r="65" spans="1:46" hidden="1">
      <c r="A65" s="1">
        <v>65</v>
      </c>
      <c r="B65" s="1" t="str">
        <f t="shared" si="33"/>
        <v xml:space="preserve">   1.2.3) 7.¿Se ha identificado la población de recicladores de base a través de un censo?</v>
      </c>
      <c r="C65" s="1">
        <f t="shared" ref="C65:X65" ca="1" si="44">RANK(C12,INDIRECT("C"&amp;$A12&amp;":"&amp;$C$54&amp;$A12),0)</f>
        <v>6</v>
      </c>
      <c r="D65" s="1">
        <f t="shared" ca="1" si="44"/>
        <v>1</v>
      </c>
      <c r="E65" s="1">
        <f t="shared" ca="1" si="44"/>
        <v>6</v>
      </c>
      <c r="F65" s="1">
        <f t="shared" ca="1" si="44"/>
        <v>6</v>
      </c>
      <c r="G65" s="1">
        <f t="shared" ca="1" si="44"/>
        <v>6</v>
      </c>
      <c r="H65" s="1">
        <f t="shared" ca="1" si="44"/>
        <v>1</v>
      </c>
      <c r="I65" s="1">
        <f t="shared" ca="1" si="44"/>
        <v>1</v>
      </c>
      <c r="J65" s="1">
        <f t="shared" ca="1" si="44"/>
        <v>1</v>
      </c>
      <c r="K65" s="1">
        <f t="shared" ca="1" si="44"/>
        <v>6</v>
      </c>
      <c r="L65" s="1">
        <f t="shared" ca="1" si="44"/>
        <v>1</v>
      </c>
      <c r="M65" s="1">
        <f t="shared" ca="1" si="44"/>
        <v>6</v>
      </c>
      <c r="N65" s="1">
        <f t="shared" ca="1" si="44"/>
        <v>6</v>
      </c>
      <c r="O65" s="1">
        <f t="shared" ca="1" si="44"/>
        <v>6</v>
      </c>
      <c r="P65" s="1">
        <f t="shared" ca="1" si="44"/>
        <v>6</v>
      </c>
      <c r="Q65" s="1">
        <f t="shared" ca="1" si="44"/>
        <v>6</v>
      </c>
      <c r="R65" s="1">
        <f t="shared" ca="1" si="44"/>
        <v>6</v>
      </c>
      <c r="S65" s="1">
        <f t="shared" ca="1" si="44"/>
        <v>6</v>
      </c>
      <c r="T65" s="1">
        <f t="shared" ca="1" si="44"/>
        <v>6</v>
      </c>
      <c r="U65" s="1">
        <f t="shared" ca="1" si="44"/>
        <v>6</v>
      </c>
      <c r="V65" s="1">
        <f t="shared" ca="1" si="44"/>
        <v>6</v>
      </c>
      <c r="W65" s="1">
        <f t="shared" ca="1" si="44"/>
        <v>6</v>
      </c>
      <c r="X65" s="1">
        <f t="shared" ca="1" si="44"/>
        <v>6</v>
      </c>
      <c r="AB65" s="28"/>
      <c r="AC65" s="28"/>
      <c r="AD65" s="28"/>
      <c r="AE65" s="28"/>
      <c r="AT65" s="28"/>
    </row>
    <row r="66" spans="1:46" hidden="1">
      <c r="A66" s="1">
        <v>66</v>
      </c>
      <c r="B66" s="1" t="str">
        <f t="shared" si="33"/>
        <v xml:space="preserve">   1.2.4) 8.¿Cuál es el grado de transparencia e inclusión en los procesos de licitación para el reciclaje?</v>
      </c>
      <c r="C66" s="1">
        <f t="shared" ref="C66:X66" ca="1" si="45">RANK(C13,INDIRECT("C"&amp;$A13&amp;":"&amp;$C$54&amp;$A13),0)</f>
        <v>1</v>
      </c>
      <c r="D66" s="1">
        <f t="shared" ca="1" si="45"/>
        <v>1</v>
      </c>
      <c r="E66" s="1">
        <f t="shared" ca="1" si="45"/>
        <v>1</v>
      </c>
      <c r="F66" s="1">
        <f t="shared" ca="1" si="45"/>
        <v>7</v>
      </c>
      <c r="G66" s="1">
        <f t="shared" ca="1" si="45"/>
        <v>7</v>
      </c>
      <c r="H66" s="1">
        <f t="shared" ca="1" si="45"/>
        <v>1</v>
      </c>
      <c r="I66" s="1">
        <f t="shared" ca="1" si="45"/>
        <v>7</v>
      </c>
      <c r="J66" s="1">
        <f t="shared" ca="1" si="45"/>
        <v>7</v>
      </c>
      <c r="K66" s="1">
        <f t="shared" ca="1" si="45"/>
        <v>7</v>
      </c>
      <c r="L66" s="1">
        <f t="shared" ca="1" si="45"/>
        <v>1</v>
      </c>
      <c r="M66" s="1">
        <f t="shared" ca="1" si="45"/>
        <v>1</v>
      </c>
      <c r="N66" s="1">
        <f t="shared" ca="1" si="45"/>
        <v>7</v>
      </c>
      <c r="O66" s="1">
        <f t="shared" ca="1" si="45"/>
        <v>1</v>
      </c>
      <c r="P66" s="1">
        <f t="shared" ca="1" si="45"/>
        <v>7</v>
      </c>
      <c r="Q66" s="1">
        <f t="shared" ca="1" si="45"/>
        <v>7</v>
      </c>
      <c r="R66" s="1">
        <f t="shared" ca="1" si="45"/>
        <v>7</v>
      </c>
      <c r="S66" s="1">
        <f t="shared" ca="1" si="45"/>
        <v>7</v>
      </c>
      <c r="T66" s="1">
        <f t="shared" ca="1" si="45"/>
        <v>7</v>
      </c>
      <c r="U66" s="1">
        <f t="shared" ca="1" si="45"/>
        <v>7</v>
      </c>
      <c r="V66" s="1">
        <f t="shared" ca="1" si="45"/>
        <v>7</v>
      </c>
      <c r="W66" s="1">
        <f t="shared" ca="1" si="45"/>
        <v>7</v>
      </c>
      <c r="X66" s="1">
        <f t="shared" ca="1" si="45"/>
        <v>7</v>
      </c>
      <c r="AB66" s="28"/>
      <c r="AC66" s="28"/>
      <c r="AD66" s="28"/>
      <c r="AE66" s="28"/>
      <c r="AT66" s="28"/>
    </row>
    <row r="67" spans="1:46" hidden="1">
      <c r="A67" s="1">
        <v>67</v>
      </c>
      <c r="B67" s="1" t="str">
        <f t="shared" si="33"/>
        <v xml:space="preserve">   1.2.5) 9.¿La normativa/ estrategia municipal de residuos sólidos: fue desarrollada de manera participativa?</v>
      </c>
      <c r="C67" s="1">
        <f t="shared" ref="C67:X67" ca="1" si="46">RANK(C14,INDIRECT("C"&amp;$A14&amp;":"&amp;$C$54&amp;$A14),0)</f>
        <v>1</v>
      </c>
      <c r="D67" s="1">
        <f t="shared" ca="1" si="46"/>
        <v>4</v>
      </c>
      <c r="E67" s="1">
        <f t="shared" ca="1" si="46"/>
        <v>1</v>
      </c>
      <c r="F67" s="1">
        <f t="shared" ca="1" si="46"/>
        <v>9</v>
      </c>
      <c r="G67" s="1">
        <f t="shared" ca="1" si="46"/>
        <v>9</v>
      </c>
      <c r="H67" s="1">
        <f t="shared" ca="1" si="46"/>
        <v>4</v>
      </c>
      <c r="I67" s="1">
        <f t="shared" ca="1" si="46"/>
        <v>4</v>
      </c>
      <c r="J67" s="1">
        <f t="shared" ca="1" si="46"/>
        <v>4</v>
      </c>
      <c r="K67" s="1">
        <f t="shared" ca="1" si="46"/>
        <v>9</v>
      </c>
      <c r="L67" s="1">
        <f t="shared" ca="1" si="46"/>
        <v>1</v>
      </c>
      <c r="M67" s="1">
        <f t="shared" ca="1" si="46"/>
        <v>9</v>
      </c>
      <c r="N67" s="1">
        <f t="shared" ca="1" si="46"/>
        <v>4</v>
      </c>
      <c r="O67" s="1">
        <f t="shared" ca="1" si="46"/>
        <v>9</v>
      </c>
      <c r="P67" s="1">
        <f t="shared" ca="1" si="46"/>
        <v>9</v>
      </c>
      <c r="Q67" s="1">
        <f t="shared" ca="1" si="46"/>
        <v>9</v>
      </c>
      <c r="R67" s="1">
        <f t="shared" ca="1" si="46"/>
        <v>9</v>
      </c>
      <c r="S67" s="1">
        <f t="shared" ca="1" si="46"/>
        <v>9</v>
      </c>
      <c r="T67" s="1">
        <f t="shared" ca="1" si="46"/>
        <v>9</v>
      </c>
      <c r="U67" s="1">
        <f t="shared" ca="1" si="46"/>
        <v>9</v>
      </c>
      <c r="V67" s="1">
        <f t="shared" ca="1" si="46"/>
        <v>9</v>
      </c>
      <c r="W67" s="1">
        <f t="shared" ca="1" si="46"/>
        <v>9</v>
      </c>
      <c r="X67" s="1">
        <f t="shared" ca="1" si="46"/>
        <v>9</v>
      </c>
      <c r="AB67" s="28"/>
      <c r="AC67" s="28"/>
      <c r="AD67" s="28"/>
      <c r="AE67" s="28"/>
      <c r="AT67" s="28"/>
    </row>
    <row r="68" spans="1:46" hidden="1">
      <c r="A68" s="1">
        <v>68</v>
      </c>
      <c r="B68" s="1" t="str">
        <f t="shared" si="33"/>
        <v xml:space="preserve">   1.2.6) 10.¿Hay programas de formación/capacitación a nivel municipal?</v>
      </c>
      <c r="C68" s="1">
        <f t="shared" ref="C68:X68" ca="1" si="47">RANK(C15,INDIRECT("C"&amp;$A15&amp;":"&amp;$C$54&amp;$A15),0)</f>
        <v>10</v>
      </c>
      <c r="D68" s="1">
        <f t="shared" ca="1" si="47"/>
        <v>1</v>
      </c>
      <c r="E68" s="1">
        <f t="shared" ca="1" si="47"/>
        <v>6</v>
      </c>
      <c r="F68" s="1">
        <f t="shared" ca="1" si="47"/>
        <v>10</v>
      </c>
      <c r="G68" s="1">
        <f t="shared" ca="1" si="47"/>
        <v>6</v>
      </c>
      <c r="H68" s="1">
        <f t="shared" ca="1" si="47"/>
        <v>1</v>
      </c>
      <c r="I68" s="1">
        <f t="shared" ca="1" si="47"/>
        <v>6</v>
      </c>
      <c r="J68" s="1">
        <f t="shared" ca="1" si="47"/>
        <v>10</v>
      </c>
      <c r="K68" s="1">
        <f t="shared" ca="1" si="47"/>
        <v>6</v>
      </c>
      <c r="L68" s="1">
        <f t="shared" ca="1" si="47"/>
        <v>1</v>
      </c>
      <c r="M68" s="1">
        <f t="shared" ca="1" si="47"/>
        <v>5</v>
      </c>
      <c r="N68" s="1">
        <f t="shared" ca="1" si="47"/>
        <v>1</v>
      </c>
      <c r="O68" s="1">
        <f t="shared" ca="1" si="47"/>
        <v>10</v>
      </c>
      <c r="P68" s="1">
        <f t="shared" ca="1" si="47"/>
        <v>10</v>
      </c>
      <c r="Q68" s="1">
        <f t="shared" ca="1" si="47"/>
        <v>10</v>
      </c>
      <c r="R68" s="1">
        <f t="shared" ca="1" si="47"/>
        <v>10</v>
      </c>
      <c r="S68" s="1">
        <f t="shared" ca="1" si="47"/>
        <v>10</v>
      </c>
      <c r="T68" s="1">
        <f t="shared" ca="1" si="47"/>
        <v>10</v>
      </c>
      <c r="U68" s="1">
        <f t="shared" ca="1" si="47"/>
        <v>10</v>
      </c>
      <c r="V68" s="1">
        <f t="shared" ca="1" si="47"/>
        <v>10</v>
      </c>
      <c r="W68" s="1">
        <f t="shared" ca="1" si="47"/>
        <v>10</v>
      </c>
      <c r="X68" s="1">
        <f t="shared" ca="1" si="47"/>
        <v>10</v>
      </c>
      <c r="AB68" s="28"/>
      <c r="AC68" s="28"/>
      <c r="AD68" s="28"/>
      <c r="AE68" s="28"/>
      <c r="AT68" s="28"/>
    </row>
    <row r="69" spans="1:46" hidden="1">
      <c r="A69" s="1">
        <v>69</v>
      </c>
      <c r="B69" s="1" t="str">
        <f t="shared" ref="B69:B105" si="48">B16</f>
        <v xml:space="preserve">   1.2.7) 11.¿Existen incentivos, programas y/o acciones concretas para el fortalecimiento de la ocupación del reciclador de base?</v>
      </c>
      <c r="C69" s="1">
        <f t="shared" ref="C69:X69" ca="1" si="49">RANK(C16,INDIRECT("C"&amp;$A16&amp;":"&amp;$C$54&amp;$A16),0)</f>
        <v>5</v>
      </c>
      <c r="D69" s="1">
        <f t="shared" ca="1" si="49"/>
        <v>5</v>
      </c>
      <c r="E69" s="1">
        <f t="shared" ca="1" si="49"/>
        <v>1</v>
      </c>
      <c r="F69" s="1">
        <f t="shared" ca="1" si="49"/>
        <v>5</v>
      </c>
      <c r="G69" s="1">
        <f t="shared" ca="1" si="49"/>
        <v>11</v>
      </c>
      <c r="H69" s="1">
        <f t="shared" ca="1" si="49"/>
        <v>1</v>
      </c>
      <c r="I69" s="1">
        <f t="shared" ca="1" si="49"/>
        <v>5</v>
      </c>
      <c r="J69" s="1">
        <f t="shared" ca="1" si="49"/>
        <v>5</v>
      </c>
      <c r="K69" s="1">
        <f t="shared" ca="1" si="49"/>
        <v>11</v>
      </c>
      <c r="L69" s="1">
        <f t="shared" ca="1" si="49"/>
        <v>1</v>
      </c>
      <c r="M69" s="1">
        <f t="shared" ca="1" si="49"/>
        <v>1</v>
      </c>
      <c r="N69" s="1">
        <f t="shared" ca="1" si="49"/>
        <v>5</v>
      </c>
      <c r="O69" s="1">
        <f t="shared" ca="1" si="49"/>
        <v>11</v>
      </c>
      <c r="P69" s="1">
        <f t="shared" ca="1" si="49"/>
        <v>11</v>
      </c>
      <c r="Q69" s="1">
        <f t="shared" ca="1" si="49"/>
        <v>11</v>
      </c>
      <c r="R69" s="1">
        <f t="shared" ca="1" si="49"/>
        <v>11</v>
      </c>
      <c r="S69" s="1">
        <f t="shared" ca="1" si="49"/>
        <v>11</v>
      </c>
      <c r="T69" s="1">
        <f t="shared" ca="1" si="49"/>
        <v>11</v>
      </c>
      <c r="U69" s="1">
        <f t="shared" ca="1" si="49"/>
        <v>11</v>
      </c>
      <c r="V69" s="1">
        <f t="shared" ca="1" si="49"/>
        <v>11</v>
      </c>
      <c r="W69" s="1">
        <f t="shared" ca="1" si="49"/>
        <v>11</v>
      </c>
      <c r="X69" s="1">
        <f t="shared" ca="1" si="49"/>
        <v>11</v>
      </c>
      <c r="AB69" s="28"/>
      <c r="AC69" s="28"/>
      <c r="AD69" s="28"/>
      <c r="AE69" s="28"/>
      <c r="AT69" s="28"/>
    </row>
    <row r="70" spans="1:46" hidden="1">
      <c r="A70" s="1">
        <v>70</v>
      </c>
      <c r="B70" s="1" t="str">
        <f t="shared" si="48"/>
        <v xml:space="preserve">   1.2.8) 12.¿Existen incentivos de reciclaje para los usuarios? </v>
      </c>
      <c r="C70" s="1">
        <f t="shared" ref="C70:X70" ca="1" si="50">RANK(C17,INDIRECT("C"&amp;$A17&amp;":"&amp;$C$54&amp;$A17),0)</f>
        <v>6</v>
      </c>
      <c r="D70" s="1">
        <f t="shared" ca="1" si="50"/>
        <v>1</v>
      </c>
      <c r="E70" s="1">
        <f t="shared" ca="1" si="50"/>
        <v>6</v>
      </c>
      <c r="F70" s="1">
        <f t="shared" ca="1" si="50"/>
        <v>1</v>
      </c>
      <c r="G70" s="1">
        <f t="shared" ca="1" si="50"/>
        <v>1</v>
      </c>
      <c r="H70" s="1">
        <f t="shared" ca="1" si="50"/>
        <v>1</v>
      </c>
      <c r="I70" s="1">
        <f t="shared" ca="1" si="50"/>
        <v>6</v>
      </c>
      <c r="J70" s="1">
        <f t="shared" ca="1" si="50"/>
        <v>6</v>
      </c>
      <c r="K70" s="1">
        <f t="shared" ca="1" si="50"/>
        <v>6</v>
      </c>
      <c r="L70" s="1">
        <f t="shared" ca="1" si="50"/>
        <v>6</v>
      </c>
      <c r="M70" s="1">
        <f t="shared" ca="1" si="50"/>
        <v>6</v>
      </c>
      <c r="N70" s="1">
        <f t="shared" ca="1" si="50"/>
        <v>1</v>
      </c>
      <c r="O70" s="1">
        <f t="shared" ca="1" si="50"/>
        <v>6</v>
      </c>
      <c r="P70" s="1">
        <f t="shared" ca="1" si="50"/>
        <v>6</v>
      </c>
      <c r="Q70" s="1">
        <f t="shared" ca="1" si="50"/>
        <v>6</v>
      </c>
      <c r="R70" s="1">
        <f t="shared" ca="1" si="50"/>
        <v>6</v>
      </c>
      <c r="S70" s="1">
        <f t="shared" ca="1" si="50"/>
        <v>6</v>
      </c>
      <c r="T70" s="1">
        <f t="shared" ca="1" si="50"/>
        <v>6</v>
      </c>
      <c r="U70" s="1">
        <f t="shared" ca="1" si="50"/>
        <v>6</v>
      </c>
      <c r="V70" s="1">
        <f t="shared" ca="1" si="50"/>
        <v>6</v>
      </c>
      <c r="W70" s="1">
        <f t="shared" ca="1" si="50"/>
        <v>6</v>
      </c>
      <c r="X70" s="1">
        <f t="shared" ca="1" si="50"/>
        <v>6</v>
      </c>
      <c r="AB70" s="28"/>
      <c r="AC70" s="28"/>
      <c r="AD70" s="28"/>
      <c r="AE70" s="28"/>
      <c r="AT70" s="28"/>
    </row>
    <row r="71" spans="1:46" hidden="1">
      <c r="A71" s="1">
        <v>71</v>
      </c>
      <c r="B71" s="1" t="str">
        <f t="shared" si="48"/>
        <v xml:space="preserve">  1.3) Generación de información</v>
      </c>
      <c r="C71" s="1">
        <f t="shared" ref="C71:X71" ca="1" si="51">RANK(C18,INDIRECT("C"&amp;$A18&amp;":"&amp;$C$54&amp;$A18),0)</f>
        <v>5</v>
      </c>
      <c r="D71" s="1">
        <f t="shared" ca="1" si="51"/>
        <v>1</v>
      </c>
      <c r="E71" s="1">
        <f t="shared" ca="1" si="51"/>
        <v>5</v>
      </c>
      <c r="F71" s="1">
        <f t="shared" ca="1" si="51"/>
        <v>12</v>
      </c>
      <c r="G71" s="1">
        <f t="shared" ca="1" si="51"/>
        <v>5</v>
      </c>
      <c r="H71" s="1">
        <f t="shared" ca="1" si="51"/>
        <v>1</v>
      </c>
      <c r="I71" s="1">
        <f t="shared" ca="1" si="51"/>
        <v>5</v>
      </c>
      <c r="J71" s="1">
        <f t="shared" ca="1" si="51"/>
        <v>5</v>
      </c>
      <c r="K71" s="1">
        <f t="shared" ca="1" si="51"/>
        <v>5</v>
      </c>
      <c r="L71" s="1">
        <f t="shared" ca="1" si="51"/>
        <v>1</v>
      </c>
      <c r="M71" s="1">
        <f t="shared" ca="1" si="51"/>
        <v>1</v>
      </c>
      <c r="N71" s="1">
        <f t="shared" ca="1" si="51"/>
        <v>5</v>
      </c>
      <c r="O71" s="1">
        <f t="shared" ca="1" si="51"/>
        <v>12</v>
      </c>
      <c r="P71" s="1">
        <f t="shared" ca="1" si="51"/>
        <v>12</v>
      </c>
      <c r="Q71" s="1">
        <f t="shared" ca="1" si="51"/>
        <v>12</v>
      </c>
      <c r="R71" s="1">
        <f t="shared" ca="1" si="51"/>
        <v>12</v>
      </c>
      <c r="S71" s="1">
        <f t="shared" ca="1" si="51"/>
        <v>12</v>
      </c>
      <c r="T71" s="1">
        <f t="shared" ca="1" si="51"/>
        <v>12</v>
      </c>
      <c r="U71" s="1">
        <f t="shared" ca="1" si="51"/>
        <v>12</v>
      </c>
      <c r="V71" s="1">
        <f t="shared" ca="1" si="51"/>
        <v>12</v>
      </c>
      <c r="W71" s="1">
        <f t="shared" ca="1" si="51"/>
        <v>12</v>
      </c>
      <c r="X71" s="1">
        <f t="shared" ca="1" si="51"/>
        <v>12</v>
      </c>
      <c r="AB71" s="28"/>
      <c r="AC71" s="28"/>
      <c r="AD71" s="28"/>
      <c r="AE71" s="28"/>
      <c r="AT71" s="28"/>
    </row>
    <row r="72" spans="1:46" hidden="1">
      <c r="A72" s="1">
        <v>72</v>
      </c>
      <c r="B72" s="1" t="str">
        <f t="shared" si="48"/>
        <v xml:space="preserve">   1.3.1) 13.¿Hay un sistema municipal de recolección de información de reciclaje inclusivo?</v>
      </c>
      <c r="C72" s="1">
        <f t="shared" ref="C72:X72" ca="1" si="52">RANK(C19,INDIRECT("C"&amp;$A19&amp;":"&amp;$C$54&amp;$A19),0)</f>
        <v>4</v>
      </c>
      <c r="D72" s="1">
        <f t="shared" ca="1" si="52"/>
        <v>1</v>
      </c>
      <c r="E72" s="1">
        <f t="shared" ca="1" si="52"/>
        <v>4</v>
      </c>
      <c r="F72" s="1">
        <f t="shared" ca="1" si="52"/>
        <v>4</v>
      </c>
      <c r="G72" s="1">
        <f t="shared" ca="1" si="52"/>
        <v>4</v>
      </c>
      <c r="H72" s="1">
        <f t="shared" ca="1" si="52"/>
        <v>1</v>
      </c>
      <c r="I72" s="1">
        <f t="shared" ca="1" si="52"/>
        <v>4</v>
      </c>
      <c r="J72" s="1">
        <f t="shared" ca="1" si="52"/>
        <v>4</v>
      </c>
      <c r="K72" s="1">
        <f t="shared" ca="1" si="52"/>
        <v>4</v>
      </c>
      <c r="L72" s="1">
        <f t="shared" ca="1" si="52"/>
        <v>1</v>
      </c>
      <c r="M72" s="1">
        <f t="shared" ca="1" si="52"/>
        <v>4</v>
      </c>
      <c r="N72" s="1">
        <f t="shared" ca="1" si="52"/>
        <v>4</v>
      </c>
      <c r="O72" s="1">
        <f t="shared" ca="1" si="52"/>
        <v>4</v>
      </c>
      <c r="P72" s="1">
        <f t="shared" ca="1" si="52"/>
        <v>4</v>
      </c>
      <c r="Q72" s="1">
        <f t="shared" ca="1" si="52"/>
        <v>4</v>
      </c>
      <c r="R72" s="1">
        <f t="shared" ca="1" si="52"/>
        <v>4</v>
      </c>
      <c r="S72" s="1">
        <f t="shared" ca="1" si="52"/>
        <v>4</v>
      </c>
      <c r="T72" s="1">
        <f t="shared" ca="1" si="52"/>
        <v>4</v>
      </c>
      <c r="U72" s="1">
        <f t="shared" ca="1" si="52"/>
        <v>4</v>
      </c>
      <c r="V72" s="1">
        <f t="shared" ca="1" si="52"/>
        <v>4</v>
      </c>
      <c r="W72" s="1">
        <f t="shared" ca="1" si="52"/>
        <v>4</v>
      </c>
      <c r="X72" s="1">
        <f t="shared" ca="1" si="52"/>
        <v>4</v>
      </c>
      <c r="AB72" s="28"/>
      <c r="AC72" s="28"/>
      <c r="AD72" s="28"/>
      <c r="AE72" s="28"/>
      <c r="AT72" s="28"/>
    </row>
    <row r="73" spans="1:46" hidden="1">
      <c r="A73" s="1">
        <v>73</v>
      </c>
      <c r="B73" s="1" t="str">
        <f t="shared" si="48"/>
        <v xml:space="preserve">   1.3.2) 14.¿Hay campañas de comunicación para fomentar el reciclaje inclusivo con difusión en el municipio?</v>
      </c>
      <c r="C73" s="1">
        <f t="shared" ref="C73:X73" ca="1" si="53">RANK(C20,INDIRECT("C"&amp;$A20&amp;":"&amp;$C$54&amp;$A20),0)</f>
        <v>2</v>
      </c>
      <c r="D73" s="1">
        <f t="shared" ca="1" si="53"/>
        <v>2</v>
      </c>
      <c r="E73" s="1">
        <f t="shared" ca="1" si="53"/>
        <v>2</v>
      </c>
      <c r="F73" s="1">
        <f t="shared" ca="1" si="53"/>
        <v>12</v>
      </c>
      <c r="G73" s="1">
        <f t="shared" ca="1" si="53"/>
        <v>2</v>
      </c>
      <c r="H73" s="1">
        <f t="shared" ca="1" si="53"/>
        <v>2</v>
      </c>
      <c r="I73" s="1">
        <f t="shared" ca="1" si="53"/>
        <v>2</v>
      </c>
      <c r="J73" s="1">
        <f t="shared" ca="1" si="53"/>
        <v>2</v>
      </c>
      <c r="K73" s="1">
        <f t="shared" ca="1" si="53"/>
        <v>2</v>
      </c>
      <c r="L73" s="1">
        <f t="shared" ca="1" si="53"/>
        <v>2</v>
      </c>
      <c r="M73" s="1">
        <f t="shared" ca="1" si="53"/>
        <v>1</v>
      </c>
      <c r="N73" s="1">
        <f t="shared" ca="1" si="53"/>
        <v>2</v>
      </c>
      <c r="O73" s="1">
        <f t="shared" ca="1" si="53"/>
        <v>12</v>
      </c>
      <c r="P73" s="1">
        <f t="shared" ca="1" si="53"/>
        <v>12</v>
      </c>
      <c r="Q73" s="1">
        <f t="shared" ca="1" si="53"/>
        <v>12</v>
      </c>
      <c r="R73" s="1">
        <f t="shared" ca="1" si="53"/>
        <v>12</v>
      </c>
      <c r="S73" s="1">
        <f t="shared" ca="1" si="53"/>
        <v>12</v>
      </c>
      <c r="T73" s="1">
        <f t="shared" ca="1" si="53"/>
        <v>12</v>
      </c>
      <c r="U73" s="1">
        <f t="shared" ca="1" si="53"/>
        <v>12</v>
      </c>
      <c r="V73" s="1">
        <f t="shared" ca="1" si="53"/>
        <v>12</v>
      </c>
      <c r="W73" s="1">
        <f t="shared" ca="1" si="53"/>
        <v>12</v>
      </c>
      <c r="X73" s="1">
        <f t="shared" ca="1" si="53"/>
        <v>12</v>
      </c>
      <c r="AB73" s="28"/>
      <c r="AC73" s="28"/>
      <c r="AD73" s="28"/>
      <c r="AE73" s="28"/>
      <c r="AT73" s="28"/>
    </row>
    <row r="74" spans="1:46" hidden="1">
      <c r="A74" s="1">
        <v>74</v>
      </c>
      <c r="B74" s="1" t="str">
        <f t="shared" si="48"/>
        <v xml:space="preserve">  1.4) Salud pública y el medioambiente</v>
      </c>
      <c r="C74" s="1">
        <f t="shared" ref="C74:X74" ca="1" si="54">RANK(C21,INDIRECT("C"&amp;$A21&amp;":"&amp;$C$54&amp;$A21),0)</f>
        <v>5</v>
      </c>
      <c r="D74" s="1">
        <f t="shared" ca="1" si="54"/>
        <v>5</v>
      </c>
      <c r="E74" s="1">
        <f t="shared" ca="1" si="54"/>
        <v>1</v>
      </c>
      <c r="F74" s="1">
        <f t="shared" ca="1" si="54"/>
        <v>5</v>
      </c>
      <c r="G74" s="1">
        <f t="shared" ca="1" si="54"/>
        <v>1</v>
      </c>
      <c r="H74" s="1">
        <f t="shared" ca="1" si="54"/>
        <v>5</v>
      </c>
      <c r="I74" s="1">
        <f t="shared" ca="1" si="54"/>
        <v>1</v>
      </c>
      <c r="J74" s="1">
        <f t="shared" ca="1" si="54"/>
        <v>5</v>
      </c>
      <c r="K74" s="1">
        <f t="shared" ca="1" si="54"/>
        <v>5</v>
      </c>
      <c r="L74" s="1">
        <f t="shared" ca="1" si="54"/>
        <v>5</v>
      </c>
      <c r="M74" s="1">
        <f t="shared" ca="1" si="54"/>
        <v>1</v>
      </c>
      <c r="N74" s="1">
        <f t="shared" ca="1" si="54"/>
        <v>5</v>
      </c>
      <c r="O74" s="1" t="e">
        <f t="shared" ca="1" si="54"/>
        <v>#N/A</v>
      </c>
      <c r="P74" s="1" t="e">
        <f t="shared" ca="1" si="54"/>
        <v>#N/A</v>
      </c>
      <c r="Q74" s="1" t="e">
        <f t="shared" ca="1" si="54"/>
        <v>#N/A</v>
      </c>
      <c r="R74" s="1" t="e">
        <f t="shared" ca="1" si="54"/>
        <v>#N/A</v>
      </c>
      <c r="S74" s="1" t="e">
        <f t="shared" ca="1" si="54"/>
        <v>#N/A</v>
      </c>
      <c r="T74" s="1" t="e">
        <f t="shared" ca="1" si="54"/>
        <v>#N/A</v>
      </c>
      <c r="U74" s="1" t="e">
        <f t="shared" ca="1" si="54"/>
        <v>#N/A</v>
      </c>
      <c r="V74" s="1" t="e">
        <f t="shared" ca="1" si="54"/>
        <v>#N/A</v>
      </c>
      <c r="W74" s="1" t="e">
        <f t="shared" ca="1" si="54"/>
        <v>#N/A</v>
      </c>
      <c r="X74" s="1" t="e">
        <f t="shared" ca="1" si="54"/>
        <v>#N/A</v>
      </c>
      <c r="AB74" s="28"/>
      <c r="AC74" s="28"/>
      <c r="AD74" s="28"/>
      <c r="AE74" s="28"/>
      <c r="AT74" s="28"/>
    </row>
    <row r="75" spans="1:46" hidden="1">
      <c r="A75" s="1">
        <v>75</v>
      </c>
      <c r="B75" s="1" t="str">
        <f t="shared" si="48"/>
        <v xml:space="preserve">   1.4.1) 15.¿Existe adecuada regulación y control sobre clasificación y manejo de desechos especiales y/o  peligrosos y sobre clasificación en la calle?</v>
      </c>
      <c r="C75" s="1">
        <f t="shared" ref="C75:X75" ca="1" si="55">RANK(C22,INDIRECT("C"&amp;$A22&amp;":"&amp;$C$54&amp;$A22),0)</f>
        <v>5</v>
      </c>
      <c r="D75" s="1">
        <f t="shared" ca="1" si="55"/>
        <v>5</v>
      </c>
      <c r="E75" s="1">
        <f t="shared" ca="1" si="55"/>
        <v>1</v>
      </c>
      <c r="F75" s="1">
        <f t="shared" ca="1" si="55"/>
        <v>5</v>
      </c>
      <c r="G75" s="1">
        <f t="shared" ca="1" si="55"/>
        <v>1</v>
      </c>
      <c r="H75" s="1">
        <f t="shared" ca="1" si="55"/>
        <v>5</v>
      </c>
      <c r="I75" s="1">
        <f t="shared" ca="1" si="55"/>
        <v>1</v>
      </c>
      <c r="J75" s="1">
        <f t="shared" ca="1" si="55"/>
        <v>5</v>
      </c>
      <c r="K75" s="1">
        <f t="shared" ca="1" si="55"/>
        <v>5</v>
      </c>
      <c r="L75" s="1">
        <f t="shared" ca="1" si="55"/>
        <v>5</v>
      </c>
      <c r="M75" s="1">
        <f t="shared" ca="1" si="55"/>
        <v>1</v>
      </c>
      <c r="N75" s="1">
        <f t="shared" ca="1" si="55"/>
        <v>5</v>
      </c>
      <c r="O75" s="1" t="e">
        <f t="shared" ca="1" si="55"/>
        <v>#N/A</v>
      </c>
      <c r="P75" s="1" t="e">
        <f t="shared" ca="1" si="55"/>
        <v>#N/A</v>
      </c>
      <c r="Q75" s="1" t="e">
        <f t="shared" ca="1" si="55"/>
        <v>#N/A</v>
      </c>
      <c r="R75" s="1" t="e">
        <f t="shared" ca="1" si="55"/>
        <v>#N/A</v>
      </c>
      <c r="S75" s="1" t="e">
        <f t="shared" ca="1" si="55"/>
        <v>#N/A</v>
      </c>
      <c r="T75" s="1" t="e">
        <f t="shared" ca="1" si="55"/>
        <v>#N/A</v>
      </c>
      <c r="U75" s="1" t="e">
        <f t="shared" ca="1" si="55"/>
        <v>#N/A</v>
      </c>
      <c r="V75" s="1" t="e">
        <f t="shared" ca="1" si="55"/>
        <v>#N/A</v>
      </c>
      <c r="W75" s="1" t="e">
        <f t="shared" ca="1" si="55"/>
        <v>#N/A</v>
      </c>
      <c r="X75" s="1" t="e">
        <f t="shared" ca="1" si="55"/>
        <v>#N/A</v>
      </c>
      <c r="AB75" s="28"/>
      <c r="AC75" s="28"/>
      <c r="AD75" s="28"/>
      <c r="AE75" s="28"/>
      <c r="AT75" s="28"/>
    </row>
    <row r="76" spans="1:46" hidden="1">
      <c r="A76" s="1">
        <v>76</v>
      </c>
      <c r="B76" s="1" t="str">
        <f t="shared" si="48"/>
        <v xml:space="preserve"> 2) ORGANIZATIVA</v>
      </c>
      <c r="C76" s="1">
        <f t="shared" ref="C76:X76" ca="1" si="56">RANK(C23,INDIRECT("C"&amp;$A23&amp;":"&amp;$C$54&amp;$A23),0)</f>
        <v>10</v>
      </c>
      <c r="D76" s="1">
        <f t="shared" ca="1" si="56"/>
        <v>2</v>
      </c>
      <c r="E76" s="1">
        <f t="shared" ca="1" si="56"/>
        <v>1</v>
      </c>
      <c r="F76" s="1">
        <f t="shared" ca="1" si="56"/>
        <v>11</v>
      </c>
      <c r="G76" s="1">
        <f t="shared" ca="1" si="56"/>
        <v>4</v>
      </c>
      <c r="H76" s="1">
        <f t="shared" ca="1" si="56"/>
        <v>5</v>
      </c>
      <c r="I76" s="1">
        <f t="shared" ca="1" si="56"/>
        <v>9</v>
      </c>
      <c r="J76" s="1">
        <f t="shared" ca="1" si="56"/>
        <v>5</v>
      </c>
      <c r="K76" s="1">
        <f t="shared" ca="1" si="56"/>
        <v>11</v>
      </c>
      <c r="L76" s="1">
        <f t="shared" ca="1" si="56"/>
        <v>3</v>
      </c>
      <c r="M76" s="1">
        <f t="shared" ca="1" si="56"/>
        <v>5</v>
      </c>
      <c r="N76" s="1">
        <f t="shared" ca="1" si="56"/>
        <v>8</v>
      </c>
      <c r="O76" s="1">
        <f t="shared" ca="1" si="56"/>
        <v>11</v>
      </c>
      <c r="P76" s="1">
        <f t="shared" ca="1" si="56"/>
        <v>11</v>
      </c>
      <c r="Q76" s="1">
        <f t="shared" ca="1" si="56"/>
        <v>11</v>
      </c>
      <c r="R76" s="1">
        <f t="shared" ca="1" si="56"/>
        <v>11</v>
      </c>
      <c r="S76" s="1">
        <f t="shared" ca="1" si="56"/>
        <v>11</v>
      </c>
      <c r="T76" s="1">
        <f t="shared" ca="1" si="56"/>
        <v>11</v>
      </c>
      <c r="U76" s="1">
        <f t="shared" ca="1" si="56"/>
        <v>11</v>
      </c>
      <c r="V76" s="1">
        <f t="shared" ca="1" si="56"/>
        <v>11</v>
      </c>
      <c r="W76" s="1">
        <f t="shared" ca="1" si="56"/>
        <v>11</v>
      </c>
      <c r="X76" s="1">
        <f t="shared" ca="1" si="56"/>
        <v>11</v>
      </c>
      <c r="AB76" s="28"/>
      <c r="AC76" s="28"/>
      <c r="AD76" s="28"/>
      <c r="AE76" s="28"/>
      <c r="AT76" s="28"/>
    </row>
    <row r="77" spans="1:46" hidden="1">
      <c r="A77" s="1">
        <v>77</v>
      </c>
      <c r="B77" s="1" t="str">
        <f t="shared" si="48"/>
        <v xml:space="preserve">  2.1) Asociatividad</v>
      </c>
      <c r="C77" s="1">
        <f t="shared" ref="C77:X77" ca="1" si="57">RANK(C24,INDIRECT("C"&amp;$A24&amp;":"&amp;$C$54&amp;$A24),0)</f>
        <v>9</v>
      </c>
      <c r="D77" s="1">
        <f t="shared" ca="1" si="57"/>
        <v>1</v>
      </c>
      <c r="E77" s="1">
        <f t="shared" ca="1" si="57"/>
        <v>2</v>
      </c>
      <c r="F77" s="1">
        <f t="shared" ca="1" si="57"/>
        <v>11</v>
      </c>
      <c r="G77" s="1">
        <f t="shared" ca="1" si="57"/>
        <v>2</v>
      </c>
      <c r="H77" s="1">
        <f t="shared" ca="1" si="57"/>
        <v>4</v>
      </c>
      <c r="I77" s="1">
        <f t="shared" ca="1" si="57"/>
        <v>8</v>
      </c>
      <c r="J77" s="1">
        <f t="shared" ca="1" si="57"/>
        <v>4</v>
      </c>
      <c r="K77" s="1">
        <f t="shared" ca="1" si="57"/>
        <v>11</v>
      </c>
      <c r="L77" s="1">
        <f t="shared" ca="1" si="57"/>
        <v>4</v>
      </c>
      <c r="M77" s="1">
        <f t="shared" ca="1" si="57"/>
        <v>4</v>
      </c>
      <c r="N77" s="1">
        <f t="shared" ca="1" si="57"/>
        <v>10</v>
      </c>
      <c r="O77" s="1">
        <f t="shared" ca="1" si="57"/>
        <v>11</v>
      </c>
      <c r="P77" s="1">
        <f t="shared" ca="1" si="57"/>
        <v>11</v>
      </c>
      <c r="Q77" s="1">
        <f t="shared" ca="1" si="57"/>
        <v>11</v>
      </c>
      <c r="R77" s="1">
        <f t="shared" ca="1" si="57"/>
        <v>11</v>
      </c>
      <c r="S77" s="1">
        <f t="shared" ca="1" si="57"/>
        <v>11</v>
      </c>
      <c r="T77" s="1">
        <f t="shared" ca="1" si="57"/>
        <v>11</v>
      </c>
      <c r="U77" s="1">
        <f t="shared" ca="1" si="57"/>
        <v>11</v>
      </c>
      <c r="V77" s="1">
        <f t="shared" ca="1" si="57"/>
        <v>11</v>
      </c>
      <c r="W77" s="1">
        <f t="shared" ca="1" si="57"/>
        <v>11</v>
      </c>
      <c r="X77" s="1">
        <f t="shared" ca="1" si="57"/>
        <v>11</v>
      </c>
      <c r="AB77" s="28"/>
      <c r="AC77" s="28"/>
      <c r="AD77" s="28"/>
      <c r="AE77" s="28"/>
      <c r="AT77" s="28"/>
    </row>
    <row r="78" spans="1:46" hidden="1">
      <c r="A78" s="1">
        <v>78</v>
      </c>
      <c r="B78" s="1" t="str">
        <f t="shared" si="48"/>
        <v xml:space="preserve">   2.1.1) 16.¿Cuán dinámicas son las asociaciones?</v>
      </c>
      <c r="C78" s="1">
        <f t="shared" ref="C78:X78" ca="1" si="58">RANK(C25,INDIRECT("C"&amp;$A25&amp;":"&amp;$C$54&amp;$A25),0)</f>
        <v>1</v>
      </c>
      <c r="D78" s="1">
        <f t="shared" ca="1" si="58"/>
        <v>4</v>
      </c>
      <c r="E78" s="1">
        <f t="shared" ca="1" si="58"/>
        <v>4</v>
      </c>
      <c r="F78" s="1">
        <f t="shared" ca="1" si="58"/>
        <v>8</v>
      </c>
      <c r="G78" s="1">
        <f t="shared" ca="1" si="58"/>
        <v>1</v>
      </c>
      <c r="H78" s="1">
        <f t="shared" ca="1" si="58"/>
        <v>4</v>
      </c>
      <c r="I78" s="1">
        <f t="shared" ca="1" si="58"/>
        <v>1</v>
      </c>
      <c r="J78" s="1">
        <f t="shared" ca="1" si="58"/>
        <v>4</v>
      </c>
      <c r="K78" s="1">
        <f t="shared" ca="1" si="58"/>
        <v>8</v>
      </c>
      <c r="L78" s="1">
        <f t="shared" ca="1" si="58"/>
        <v>8</v>
      </c>
      <c r="M78" s="1">
        <f t="shared" ca="1" si="58"/>
        <v>8</v>
      </c>
      <c r="N78" s="1">
        <f t="shared" ca="1" si="58"/>
        <v>8</v>
      </c>
      <c r="O78" s="1">
        <f t="shared" ca="1" si="58"/>
        <v>8</v>
      </c>
      <c r="P78" s="1">
        <f t="shared" ca="1" si="58"/>
        <v>8</v>
      </c>
      <c r="Q78" s="1">
        <f t="shared" ca="1" si="58"/>
        <v>8</v>
      </c>
      <c r="R78" s="1">
        <f t="shared" ca="1" si="58"/>
        <v>8</v>
      </c>
      <c r="S78" s="1">
        <f t="shared" ca="1" si="58"/>
        <v>8</v>
      </c>
      <c r="T78" s="1">
        <f t="shared" ca="1" si="58"/>
        <v>8</v>
      </c>
      <c r="U78" s="1">
        <f t="shared" ca="1" si="58"/>
        <v>8</v>
      </c>
      <c r="V78" s="1">
        <f t="shared" ca="1" si="58"/>
        <v>8</v>
      </c>
      <c r="W78" s="1">
        <f t="shared" ca="1" si="58"/>
        <v>8</v>
      </c>
      <c r="X78" s="1">
        <f t="shared" ca="1" si="58"/>
        <v>8</v>
      </c>
      <c r="AB78" s="28"/>
      <c r="AC78" s="28"/>
      <c r="AD78" s="28"/>
      <c r="AE78" s="28"/>
      <c r="AT78" s="28"/>
    </row>
    <row r="79" spans="1:46" hidden="1">
      <c r="A79" s="1">
        <v>79</v>
      </c>
      <c r="B79" s="1" t="str">
        <f t="shared" si="48"/>
        <v xml:space="preserve">   2.1.2) 17.¿Qué nivel de inclusión  presentan estas asociaciones? </v>
      </c>
      <c r="C79" s="1">
        <f t="shared" ref="C79:X79" ca="1" si="59">RANK(C26,INDIRECT("C"&amp;$A26&amp;":"&amp;$C$54&amp;$A26),0)</f>
        <v>8</v>
      </c>
      <c r="D79" s="1">
        <f t="shared" ca="1" si="59"/>
        <v>1</v>
      </c>
      <c r="E79" s="1">
        <f t="shared" ca="1" si="59"/>
        <v>3</v>
      </c>
      <c r="F79" s="1">
        <f t="shared" ca="1" si="59"/>
        <v>8</v>
      </c>
      <c r="G79" s="1">
        <f t="shared" ca="1" si="59"/>
        <v>3</v>
      </c>
      <c r="H79" s="1">
        <f t="shared" ca="1" si="59"/>
        <v>3</v>
      </c>
      <c r="I79" s="1">
        <f t="shared" ca="1" si="59"/>
        <v>8</v>
      </c>
      <c r="J79" s="1">
        <f t="shared" ca="1" si="59"/>
        <v>3</v>
      </c>
      <c r="K79" s="1">
        <f t="shared" ca="1" si="59"/>
        <v>8</v>
      </c>
      <c r="L79" s="1">
        <f t="shared" ca="1" si="59"/>
        <v>1</v>
      </c>
      <c r="M79" s="1">
        <f t="shared" ca="1" si="59"/>
        <v>3</v>
      </c>
      <c r="N79" s="1">
        <f t="shared" ca="1" si="59"/>
        <v>8</v>
      </c>
      <c r="O79" s="1">
        <f t="shared" ca="1" si="59"/>
        <v>8</v>
      </c>
      <c r="P79" s="1">
        <f t="shared" ca="1" si="59"/>
        <v>8</v>
      </c>
      <c r="Q79" s="1">
        <f t="shared" ca="1" si="59"/>
        <v>8</v>
      </c>
      <c r="R79" s="1">
        <f t="shared" ca="1" si="59"/>
        <v>8</v>
      </c>
      <c r="S79" s="1">
        <f t="shared" ca="1" si="59"/>
        <v>8</v>
      </c>
      <c r="T79" s="1">
        <f t="shared" ca="1" si="59"/>
        <v>8</v>
      </c>
      <c r="U79" s="1">
        <f t="shared" ca="1" si="59"/>
        <v>8</v>
      </c>
      <c r="V79" s="1">
        <f t="shared" ca="1" si="59"/>
        <v>8</v>
      </c>
      <c r="W79" s="1">
        <f t="shared" ca="1" si="59"/>
        <v>8</v>
      </c>
      <c r="X79" s="1">
        <f t="shared" ca="1" si="59"/>
        <v>8</v>
      </c>
      <c r="AB79" s="28"/>
      <c r="AC79" s="28"/>
      <c r="AD79" s="28"/>
      <c r="AE79" s="28"/>
      <c r="AT79" s="28"/>
    </row>
    <row r="80" spans="1:46" hidden="1">
      <c r="A80" s="1">
        <v>80</v>
      </c>
      <c r="B80" s="1" t="str">
        <f t="shared" si="48"/>
        <v xml:space="preserve">   2.1.3) 18.¿Las asociaciones: participan en espacios de interlocución o diálogo con pares?</v>
      </c>
      <c r="C80" s="1">
        <f t="shared" ref="C80:X80" ca="1" si="60">RANK(C27,INDIRECT("C"&amp;$A27&amp;":"&amp;$C$54&amp;$A27),0)</f>
        <v>8</v>
      </c>
      <c r="D80" s="1">
        <f t="shared" ca="1" si="60"/>
        <v>1</v>
      </c>
      <c r="E80" s="1">
        <f t="shared" ca="1" si="60"/>
        <v>1</v>
      </c>
      <c r="F80" s="1">
        <f t="shared" ca="1" si="60"/>
        <v>11</v>
      </c>
      <c r="G80" s="1">
        <f t="shared" ca="1" si="60"/>
        <v>8</v>
      </c>
      <c r="H80" s="1">
        <f t="shared" ca="1" si="60"/>
        <v>1</v>
      </c>
      <c r="I80" s="1">
        <f t="shared" ca="1" si="60"/>
        <v>1</v>
      </c>
      <c r="J80" s="1">
        <f t="shared" ca="1" si="60"/>
        <v>1</v>
      </c>
      <c r="K80" s="1">
        <f t="shared" ca="1" si="60"/>
        <v>11</v>
      </c>
      <c r="L80" s="1">
        <f t="shared" ca="1" si="60"/>
        <v>1</v>
      </c>
      <c r="M80" s="1">
        <f t="shared" ca="1" si="60"/>
        <v>1</v>
      </c>
      <c r="N80" s="1">
        <f t="shared" ca="1" si="60"/>
        <v>8</v>
      </c>
      <c r="O80" s="1">
        <f t="shared" ca="1" si="60"/>
        <v>11</v>
      </c>
      <c r="P80" s="1">
        <f t="shared" ca="1" si="60"/>
        <v>11</v>
      </c>
      <c r="Q80" s="1">
        <f t="shared" ca="1" si="60"/>
        <v>11</v>
      </c>
      <c r="R80" s="1">
        <f t="shared" ca="1" si="60"/>
        <v>11</v>
      </c>
      <c r="S80" s="1">
        <f t="shared" ca="1" si="60"/>
        <v>11</v>
      </c>
      <c r="T80" s="1">
        <f t="shared" ca="1" si="60"/>
        <v>11</v>
      </c>
      <c r="U80" s="1">
        <f t="shared" ca="1" si="60"/>
        <v>11</v>
      </c>
      <c r="V80" s="1">
        <f t="shared" ca="1" si="60"/>
        <v>11</v>
      </c>
      <c r="W80" s="1">
        <f t="shared" ca="1" si="60"/>
        <v>11</v>
      </c>
      <c r="X80" s="1">
        <f t="shared" ca="1" si="60"/>
        <v>11</v>
      </c>
      <c r="AB80" s="28"/>
      <c r="AC80" s="28"/>
      <c r="AD80" s="28"/>
      <c r="AE80" s="28"/>
      <c r="AT80" s="28"/>
    </row>
    <row r="81" spans="1:46" hidden="1">
      <c r="A81" s="1">
        <v>81</v>
      </c>
      <c r="B81" s="1" t="str">
        <f t="shared" si="48"/>
        <v xml:space="preserve">   2.1.4) 19.¿Existen espacios de diálogo y coordinación entre diferentes actores de la cadena de valor del reciclaje?</v>
      </c>
      <c r="C81" s="1">
        <f t="shared" ref="C81:X81" ca="1" si="61">RANK(C28,INDIRECT("C"&amp;$A28&amp;":"&amp;$C$54&amp;$A28),0)</f>
        <v>7</v>
      </c>
      <c r="D81" s="1">
        <f t="shared" ca="1" si="61"/>
        <v>1</v>
      </c>
      <c r="E81" s="1">
        <f t="shared" ca="1" si="61"/>
        <v>1</v>
      </c>
      <c r="F81" s="1">
        <f t="shared" ca="1" si="61"/>
        <v>7</v>
      </c>
      <c r="G81" s="1">
        <f t="shared" ca="1" si="61"/>
        <v>1</v>
      </c>
      <c r="H81" s="1">
        <f t="shared" ca="1" si="61"/>
        <v>1</v>
      </c>
      <c r="I81" s="1">
        <f t="shared" ca="1" si="61"/>
        <v>7</v>
      </c>
      <c r="J81" s="1">
        <f t="shared" ca="1" si="61"/>
        <v>7</v>
      </c>
      <c r="K81" s="1">
        <f t="shared" ca="1" si="61"/>
        <v>7</v>
      </c>
      <c r="L81" s="1">
        <f t="shared" ca="1" si="61"/>
        <v>7</v>
      </c>
      <c r="M81" s="1">
        <f t="shared" ca="1" si="61"/>
        <v>6</v>
      </c>
      <c r="N81" s="1">
        <f t="shared" ca="1" si="61"/>
        <v>1</v>
      </c>
      <c r="O81" s="1">
        <f t="shared" ca="1" si="61"/>
        <v>7</v>
      </c>
      <c r="P81" s="1">
        <f t="shared" ca="1" si="61"/>
        <v>7</v>
      </c>
      <c r="Q81" s="1">
        <f t="shared" ca="1" si="61"/>
        <v>7</v>
      </c>
      <c r="R81" s="1">
        <f t="shared" ca="1" si="61"/>
        <v>7</v>
      </c>
      <c r="S81" s="1">
        <f t="shared" ca="1" si="61"/>
        <v>7</v>
      </c>
      <c r="T81" s="1">
        <f t="shared" ca="1" si="61"/>
        <v>7</v>
      </c>
      <c r="U81" s="1">
        <f t="shared" ca="1" si="61"/>
        <v>7</v>
      </c>
      <c r="V81" s="1">
        <f t="shared" ca="1" si="61"/>
        <v>7</v>
      </c>
      <c r="W81" s="1">
        <f t="shared" ca="1" si="61"/>
        <v>7</v>
      </c>
      <c r="X81" s="1">
        <f t="shared" ca="1" si="61"/>
        <v>7</v>
      </c>
      <c r="AB81" s="28"/>
      <c r="AC81" s="28"/>
      <c r="AD81" s="28"/>
      <c r="AE81" s="28"/>
      <c r="AT81" s="28"/>
    </row>
    <row r="82" spans="1:46" hidden="1">
      <c r="A82" s="1">
        <v>82</v>
      </c>
      <c r="B82" s="1" t="str">
        <f t="shared" si="48"/>
        <v xml:space="preserve">   2.1.5) 20.¿Cuál es el nivel de representación de las mujeres en las asociaciones?</v>
      </c>
      <c r="C82" s="1">
        <f t="shared" ref="C82:X82" ca="1" si="62">RANK(C29,INDIRECT("C"&amp;$A29&amp;":"&amp;$C$54&amp;$A29),0)</f>
        <v>5</v>
      </c>
      <c r="D82" s="1">
        <f t="shared" ca="1" si="62"/>
        <v>1</v>
      </c>
      <c r="E82" s="1">
        <f t="shared" ca="1" si="62"/>
        <v>5</v>
      </c>
      <c r="F82" s="1">
        <f t="shared" ca="1" si="62"/>
        <v>9</v>
      </c>
      <c r="G82" s="1">
        <f t="shared" ca="1" si="62"/>
        <v>5</v>
      </c>
      <c r="H82" s="1">
        <f t="shared" ca="1" si="62"/>
        <v>9</v>
      </c>
      <c r="I82" s="1">
        <f t="shared" ca="1" si="62"/>
        <v>5</v>
      </c>
      <c r="J82" s="1">
        <f t="shared" ca="1" si="62"/>
        <v>1</v>
      </c>
      <c r="K82" s="1">
        <f t="shared" ca="1" si="62"/>
        <v>9</v>
      </c>
      <c r="L82" s="1">
        <f t="shared" ca="1" si="62"/>
        <v>1</v>
      </c>
      <c r="M82" s="1">
        <f t="shared" ca="1" si="62"/>
        <v>1</v>
      </c>
      <c r="N82" s="1">
        <f t="shared" ca="1" si="62"/>
        <v>9</v>
      </c>
      <c r="O82" s="1">
        <f t="shared" ca="1" si="62"/>
        <v>9</v>
      </c>
      <c r="P82" s="1">
        <f t="shared" ca="1" si="62"/>
        <v>9</v>
      </c>
      <c r="Q82" s="1">
        <f t="shared" ca="1" si="62"/>
        <v>9</v>
      </c>
      <c r="R82" s="1">
        <f t="shared" ca="1" si="62"/>
        <v>9</v>
      </c>
      <c r="S82" s="1">
        <f t="shared" ca="1" si="62"/>
        <v>9</v>
      </c>
      <c r="T82" s="1">
        <f t="shared" ca="1" si="62"/>
        <v>9</v>
      </c>
      <c r="U82" s="1">
        <f t="shared" ca="1" si="62"/>
        <v>9</v>
      </c>
      <c r="V82" s="1">
        <f t="shared" ca="1" si="62"/>
        <v>9</v>
      </c>
      <c r="W82" s="1">
        <f t="shared" ca="1" si="62"/>
        <v>9</v>
      </c>
      <c r="X82" s="1">
        <f t="shared" ca="1" si="62"/>
        <v>9</v>
      </c>
      <c r="AB82" s="28"/>
      <c r="AC82" s="28"/>
      <c r="AD82" s="28"/>
      <c r="AE82" s="28"/>
      <c r="AT82" s="28"/>
    </row>
    <row r="83" spans="1:46" hidden="1">
      <c r="A83" s="1">
        <v>83</v>
      </c>
      <c r="B83" s="1" t="str">
        <f t="shared" si="48"/>
        <v xml:space="preserve">  2.2) Organizaciones comerciales</v>
      </c>
      <c r="C83" s="1">
        <f t="shared" ref="C83:X83" ca="1" si="63">RANK(C30,INDIRECT("C"&amp;$A30&amp;":"&amp;$C$54&amp;$A30),0)</f>
        <v>9</v>
      </c>
      <c r="D83" s="1">
        <f t="shared" ca="1" si="63"/>
        <v>3</v>
      </c>
      <c r="E83" s="1">
        <f t="shared" ca="1" si="63"/>
        <v>1</v>
      </c>
      <c r="F83" s="1">
        <f t="shared" ca="1" si="63"/>
        <v>11</v>
      </c>
      <c r="G83" s="1">
        <f t="shared" ca="1" si="63"/>
        <v>5</v>
      </c>
      <c r="H83" s="1">
        <f t="shared" ca="1" si="63"/>
        <v>5</v>
      </c>
      <c r="I83" s="1">
        <f t="shared" ca="1" si="63"/>
        <v>9</v>
      </c>
      <c r="J83" s="1">
        <f t="shared" ca="1" si="63"/>
        <v>5</v>
      </c>
      <c r="K83" s="1">
        <f t="shared" ca="1" si="63"/>
        <v>11</v>
      </c>
      <c r="L83" s="1">
        <f t="shared" ca="1" si="63"/>
        <v>2</v>
      </c>
      <c r="M83" s="1">
        <f t="shared" ca="1" si="63"/>
        <v>5</v>
      </c>
      <c r="N83" s="1">
        <f t="shared" ca="1" si="63"/>
        <v>4</v>
      </c>
      <c r="O83" s="1">
        <f t="shared" ca="1" si="63"/>
        <v>11</v>
      </c>
      <c r="P83" s="1">
        <f t="shared" ca="1" si="63"/>
        <v>11</v>
      </c>
      <c r="Q83" s="1">
        <f t="shared" ca="1" si="63"/>
        <v>11</v>
      </c>
      <c r="R83" s="1">
        <f t="shared" ca="1" si="63"/>
        <v>11</v>
      </c>
      <c r="S83" s="1">
        <f t="shared" ca="1" si="63"/>
        <v>11</v>
      </c>
      <c r="T83" s="1">
        <f t="shared" ca="1" si="63"/>
        <v>11</v>
      </c>
      <c r="U83" s="1">
        <f t="shared" ca="1" si="63"/>
        <v>11</v>
      </c>
      <c r="V83" s="1">
        <f t="shared" ca="1" si="63"/>
        <v>11</v>
      </c>
      <c r="W83" s="1">
        <f t="shared" ca="1" si="63"/>
        <v>11</v>
      </c>
      <c r="X83" s="1">
        <f t="shared" ca="1" si="63"/>
        <v>11</v>
      </c>
      <c r="AB83" s="28"/>
      <c r="AC83" s="28"/>
      <c r="AD83" s="28"/>
      <c r="AE83" s="28"/>
      <c r="AT83" s="28"/>
    </row>
    <row r="84" spans="1:46" hidden="1">
      <c r="A84" s="1">
        <v>84</v>
      </c>
      <c r="B84" s="1" t="str">
        <f t="shared" si="48"/>
        <v xml:space="preserve">   2.2.1) 21.¿Existen organizaciones de recicladores con actividad comercial en el municipio (cooperativas y/o microempresas)? </v>
      </c>
      <c r="C84" s="1">
        <f t="shared" ref="C84:X84" ca="1" si="64">RANK(C31,INDIRECT("C"&amp;$A31&amp;":"&amp;$C$54&amp;$A31),0)</f>
        <v>4</v>
      </c>
      <c r="D84" s="1">
        <f t="shared" ca="1" si="64"/>
        <v>1</v>
      </c>
      <c r="E84" s="1">
        <f t="shared" ca="1" si="64"/>
        <v>1</v>
      </c>
      <c r="F84" s="1">
        <f t="shared" ca="1" si="64"/>
        <v>10</v>
      </c>
      <c r="G84" s="1">
        <f t="shared" ca="1" si="64"/>
        <v>4</v>
      </c>
      <c r="H84" s="1">
        <f t="shared" ca="1" si="64"/>
        <v>4</v>
      </c>
      <c r="I84" s="1">
        <f t="shared" ca="1" si="64"/>
        <v>4</v>
      </c>
      <c r="J84" s="1">
        <f t="shared" ca="1" si="64"/>
        <v>4</v>
      </c>
      <c r="K84" s="1">
        <f t="shared" ca="1" si="64"/>
        <v>10</v>
      </c>
      <c r="L84" s="1">
        <f t="shared" ca="1" si="64"/>
        <v>1</v>
      </c>
      <c r="M84" s="1">
        <f t="shared" ca="1" si="64"/>
        <v>4</v>
      </c>
      <c r="N84" s="1">
        <f t="shared" ca="1" si="64"/>
        <v>10</v>
      </c>
      <c r="O84" s="1">
        <f t="shared" ca="1" si="64"/>
        <v>10</v>
      </c>
      <c r="P84" s="1">
        <f t="shared" ca="1" si="64"/>
        <v>10</v>
      </c>
      <c r="Q84" s="1">
        <f t="shared" ca="1" si="64"/>
        <v>10</v>
      </c>
      <c r="R84" s="1">
        <f t="shared" ca="1" si="64"/>
        <v>10</v>
      </c>
      <c r="S84" s="1">
        <f t="shared" ca="1" si="64"/>
        <v>10</v>
      </c>
      <c r="T84" s="1">
        <f t="shared" ca="1" si="64"/>
        <v>10</v>
      </c>
      <c r="U84" s="1">
        <f t="shared" ca="1" si="64"/>
        <v>10</v>
      </c>
      <c r="V84" s="1">
        <f t="shared" ca="1" si="64"/>
        <v>10</v>
      </c>
      <c r="W84" s="1">
        <f t="shared" ca="1" si="64"/>
        <v>10</v>
      </c>
      <c r="X84" s="1">
        <f t="shared" ca="1" si="64"/>
        <v>10</v>
      </c>
      <c r="AB84" s="28"/>
      <c r="AC84" s="28"/>
      <c r="AD84" s="28"/>
      <c r="AE84" s="28"/>
      <c r="AT84" s="28"/>
    </row>
    <row r="85" spans="1:46" hidden="1">
      <c r="A85" s="1">
        <v>85</v>
      </c>
      <c r="B85" s="1" t="str">
        <f t="shared" si="48"/>
        <v xml:space="preserve">   2.2.2) 22.¿Cuál es el nivel de participación de las organizaciones de recicladores en la cadena de valor del reciclaje?</v>
      </c>
      <c r="C85" s="1">
        <f t="shared" ref="C85:X85" ca="1" si="65">RANK(C32,INDIRECT("C"&amp;$A32&amp;":"&amp;$C$54&amp;$A32),0)</f>
        <v>9</v>
      </c>
      <c r="D85" s="1">
        <f t="shared" ca="1" si="65"/>
        <v>3</v>
      </c>
      <c r="E85" s="1">
        <f t="shared" ca="1" si="65"/>
        <v>1</v>
      </c>
      <c r="F85" s="1">
        <f t="shared" ca="1" si="65"/>
        <v>9</v>
      </c>
      <c r="G85" s="1">
        <f t="shared" ca="1" si="65"/>
        <v>3</v>
      </c>
      <c r="H85" s="1">
        <f t="shared" ca="1" si="65"/>
        <v>3</v>
      </c>
      <c r="I85" s="1">
        <f t="shared" ca="1" si="65"/>
        <v>9</v>
      </c>
      <c r="J85" s="1">
        <f t="shared" ca="1" si="65"/>
        <v>3</v>
      </c>
      <c r="K85" s="1">
        <f t="shared" ca="1" si="65"/>
        <v>9</v>
      </c>
      <c r="L85" s="1">
        <f t="shared" ca="1" si="65"/>
        <v>1</v>
      </c>
      <c r="M85" s="1">
        <f t="shared" ca="1" si="65"/>
        <v>3</v>
      </c>
      <c r="N85" s="1">
        <f t="shared" ca="1" si="65"/>
        <v>3</v>
      </c>
      <c r="O85" s="1">
        <f t="shared" ca="1" si="65"/>
        <v>9</v>
      </c>
      <c r="P85" s="1">
        <f t="shared" ca="1" si="65"/>
        <v>9</v>
      </c>
      <c r="Q85" s="1">
        <f t="shared" ca="1" si="65"/>
        <v>9</v>
      </c>
      <c r="R85" s="1">
        <f t="shared" ca="1" si="65"/>
        <v>9</v>
      </c>
      <c r="S85" s="1">
        <f t="shared" ca="1" si="65"/>
        <v>9</v>
      </c>
      <c r="T85" s="1">
        <f t="shared" ca="1" si="65"/>
        <v>9</v>
      </c>
      <c r="U85" s="1">
        <f t="shared" ca="1" si="65"/>
        <v>9</v>
      </c>
      <c r="V85" s="1">
        <f t="shared" ca="1" si="65"/>
        <v>9</v>
      </c>
      <c r="W85" s="1">
        <f t="shared" ca="1" si="65"/>
        <v>9</v>
      </c>
      <c r="X85" s="1">
        <f t="shared" ca="1" si="65"/>
        <v>9</v>
      </c>
      <c r="AB85" s="28"/>
      <c r="AC85" s="28"/>
      <c r="AD85" s="28"/>
      <c r="AE85" s="28"/>
      <c r="AT85" s="28"/>
    </row>
    <row r="86" spans="1:46" hidden="1">
      <c r="A86" s="1">
        <v>86</v>
      </c>
      <c r="B86" s="1" t="str">
        <f t="shared" si="48"/>
        <v xml:space="preserve">   2.2.3) 23. Las organizaciones comerciales de recicladores: ¿Tienen acceso a mecanismos de financiamiento?</v>
      </c>
      <c r="C86" s="1">
        <f t="shared" ref="C86:X86" ca="1" si="66">RANK(C33,INDIRECT("C"&amp;$A33&amp;":"&amp;$C$54&amp;$A33),0)</f>
        <v>4</v>
      </c>
      <c r="D86" s="1">
        <f t="shared" ca="1" si="66"/>
        <v>4</v>
      </c>
      <c r="E86" s="1">
        <f t="shared" ca="1" si="66"/>
        <v>1</v>
      </c>
      <c r="F86" s="1">
        <f t="shared" ca="1" si="66"/>
        <v>4</v>
      </c>
      <c r="G86" s="1">
        <f t="shared" ca="1" si="66"/>
        <v>4</v>
      </c>
      <c r="H86" s="1">
        <f t="shared" ca="1" si="66"/>
        <v>4</v>
      </c>
      <c r="I86" s="1">
        <f t="shared" ca="1" si="66"/>
        <v>4</v>
      </c>
      <c r="J86" s="1">
        <f t="shared" ca="1" si="66"/>
        <v>4</v>
      </c>
      <c r="K86" s="1">
        <f t="shared" ca="1" si="66"/>
        <v>4</v>
      </c>
      <c r="L86" s="1">
        <f t="shared" ca="1" si="66"/>
        <v>3</v>
      </c>
      <c r="M86" s="1">
        <f t="shared" ca="1" si="66"/>
        <v>4</v>
      </c>
      <c r="N86" s="1">
        <f t="shared" ca="1" si="66"/>
        <v>1</v>
      </c>
      <c r="O86" s="1">
        <f t="shared" ca="1" si="66"/>
        <v>4</v>
      </c>
      <c r="P86" s="1">
        <f t="shared" ca="1" si="66"/>
        <v>4</v>
      </c>
      <c r="Q86" s="1">
        <f t="shared" ca="1" si="66"/>
        <v>4</v>
      </c>
      <c r="R86" s="1">
        <f t="shared" ca="1" si="66"/>
        <v>4</v>
      </c>
      <c r="S86" s="1">
        <f t="shared" ca="1" si="66"/>
        <v>4</v>
      </c>
      <c r="T86" s="1">
        <f t="shared" ca="1" si="66"/>
        <v>4</v>
      </c>
      <c r="U86" s="1">
        <f t="shared" ca="1" si="66"/>
        <v>4</v>
      </c>
      <c r="V86" s="1">
        <f t="shared" ca="1" si="66"/>
        <v>4</v>
      </c>
      <c r="W86" s="1">
        <f t="shared" ca="1" si="66"/>
        <v>4</v>
      </c>
      <c r="X86" s="1">
        <f t="shared" ca="1" si="66"/>
        <v>4</v>
      </c>
      <c r="AB86" s="28"/>
      <c r="AC86" s="28"/>
      <c r="AD86" s="28"/>
      <c r="AE86" s="28"/>
      <c r="AT86" s="28"/>
    </row>
    <row r="87" spans="1:46" hidden="1">
      <c r="A87" s="1">
        <v>87</v>
      </c>
      <c r="B87" s="1" t="str">
        <f t="shared" si="48"/>
        <v xml:space="preserve"> 3) MERCADO</v>
      </c>
      <c r="C87" s="1">
        <f t="shared" ref="C87:X87" ca="1" si="67">RANK(C34,INDIRECT("C"&amp;$A34&amp;":"&amp;$C$54&amp;$A34),0)</f>
        <v>11</v>
      </c>
      <c r="D87" s="1">
        <f t="shared" ca="1" si="67"/>
        <v>3</v>
      </c>
      <c r="E87" s="1">
        <f t="shared" ca="1" si="67"/>
        <v>1</v>
      </c>
      <c r="F87" s="1">
        <f t="shared" ca="1" si="67"/>
        <v>9</v>
      </c>
      <c r="G87" s="1">
        <f t="shared" ca="1" si="67"/>
        <v>6</v>
      </c>
      <c r="H87" s="1">
        <f t="shared" ca="1" si="67"/>
        <v>5</v>
      </c>
      <c r="I87" s="1">
        <f t="shared" ca="1" si="67"/>
        <v>8</v>
      </c>
      <c r="J87" s="1">
        <f t="shared" ca="1" si="67"/>
        <v>10</v>
      </c>
      <c r="K87" s="1">
        <f t="shared" ca="1" si="67"/>
        <v>12</v>
      </c>
      <c r="L87" s="1">
        <f t="shared" ca="1" si="67"/>
        <v>2</v>
      </c>
      <c r="M87" s="1">
        <f t="shared" ca="1" si="67"/>
        <v>7</v>
      </c>
      <c r="N87" s="1">
        <f t="shared" ca="1" si="67"/>
        <v>4</v>
      </c>
      <c r="O87" s="1" t="e">
        <f t="shared" ca="1" si="67"/>
        <v>#N/A</v>
      </c>
      <c r="P87" s="1" t="e">
        <f t="shared" ca="1" si="67"/>
        <v>#N/A</v>
      </c>
      <c r="Q87" s="1" t="e">
        <f t="shared" ca="1" si="67"/>
        <v>#N/A</v>
      </c>
      <c r="R87" s="1" t="e">
        <f t="shared" ca="1" si="67"/>
        <v>#N/A</v>
      </c>
      <c r="S87" s="1" t="e">
        <f t="shared" ca="1" si="67"/>
        <v>#N/A</v>
      </c>
      <c r="T87" s="1" t="e">
        <f t="shared" ca="1" si="67"/>
        <v>#N/A</v>
      </c>
      <c r="U87" s="1" t="e">
        <f t="shared" ca="1" si="67"/>
        <v>#N/A</v>
      </c>
      <c r="V87" s="1" t="e">
        <f t="shared" ca="1" si="67"/>
        <v>#N/A</v>
      </c>
      <c r="W87" s="1" t="e">
        <f t="shared" ca="1" si="67"/>
        <v>#N/A</v>
      </c>
      <c r="X87" s="1" t="e">
        <f t="shared" ca="1" si="67"/>
        <v>#N/A</v>
      </c>
      <c r="AB87" s="28"/>
      <c r="AC87" s="28"/>
      <c r="AD87" s="28"/>
      <c r="AE87" s="28"/>
      <c r="AT87" s="28"/>
    </row>
    <row r="88" spans="1:46" hidden="1">
      <c r="A88" s="1">
        <v>88</v>
      </c>
      <c r="B88" s="1" t="str">
        <f t="shared" si="48"/>
        <v xml:space="preserve">  3.1) Condiciones de acceso y almacenamiento de residuos</v>
      </c>
      <c r="C88" s="1">
        <f t="shared" ref="C88:X88" ca="1" si="68">RANK(C35,INDIRECT("C"&amp;$A35&amp;":"&amp;$C$54&amp;$A35),0)</f>
        <v>11</v>
      </c>
      <c r="D88" s="1">
        <f t="shared" ca="1" si="68"/>
        <v>4</v>
      </c>
      <c r="E88" s="1">
        <f t="shared" ca="1" si="68"/>
        <v>1</v>
      </c>
      <c r="F88" s="1">
        <f t="shared" ca="1" si="68"/>
        <v>9</v>
      </c>
      <c r="G88" s="1">
        <f t="shared" ca="1" si="68"/>
        <v>8</v>
      </c>
      <c r="H88" s="1">
        <f t="shared" ca="1" si="68"/>
        <v>7</v>
      </c>
      <c r="I88" s="1">
        <f t="shared" ca="1" si="68"/>
        <v>5</v>
      </c>
      <c r="J88" s="1">
        <f t="shared" ca="1" si="68"/>
        <v>11</v>
      </c>
      <c r="K88" s="1">
        <f t="shared" ca="1" si="68"/>
        <v>9</v>
      </c>
      <c r="L88" s="1">
        <f t="shared" ca="1" si="68"/>
        <v>2</v>
      </c>
      <c r="M88" s="1">
        <f t="shared" ca="1" si="68"/>
        <v>5</v>
      </c>
      <c r="N88" s="1">
        <f t="shared" ca="1" si="68"/>
        <v>3</v>
      </c>
      <c r="O88" s="1" t="e">
        <f t="shared" ca="1" si="68"/>
        <v>#N/A</v>
      </c>
      <c r="P88" s="1" t="e">
        <f t="shared" ca="1" si="68"/>
        <v>#N/A</v>
      </c>
      <c r="Q88" s="1" t="e">
        <f t="shared" ca="1" si="68"/>
        <v>#N/A</v>
      </c>
      <c r="R88" s="1" t="e">
        <f t="shared" ca="1" si="68"/>
        <v>#N/A</v>
      </c>
      <c r="S88" s="1" t="e">
        <f t="shared" ca="1" si="68"/>
        <v>#N/A</v>
      </c>
      <c r="T88" s="1" t="e">
        <f t="shared" ca="1" si="68"/>
        <v>#N/A</v>
      </c>
      <c r="U88" s="1" t="e">
        <f t="shared" ca="1" si="68"/>
        <v>#N/A</v>
      </c>
      <c r="V88" s="1" t="e">
        <f t="shared" ca="1" si="68"/>
        <v>#N/A</v>
      </c>
      <c r="W88" s="1" t="e">
        <f t="shared" ca="1" si="68"/>
        <v>#N/A</v>
      </c>
      <c r="X88" s="1" t="e">
        <f t="shared" ca="1" si="68"/>
        <v>#N/A</v>
      </c>
      <c r="AB88" s="28"/>
      <c r="AC88" s="28"/>
      <c r="AD88" s="28"/>
      <c r="AE88" s="28"/>
      <c r="AT88" s="28"/>
    </row>
    <row r="89" spans="1:46" hidden="1">
      <c r="A89" s="1">
        <v>89</v>
      </c>
      <c r="B89" s="1" t="str">
        <f t="shared" si="48"/>
        <v xml:space="preserve">   3.1.1) 24.¿Cómo es el acceso del material reciclable?</v>
      </c>
      <c r="C89" s="1">
        <f t="shared" ref="C89:X89" ca="1" si="69">RANK(C36,INDIRECT("C"&amp;$A36&amp;":"&amp;$C$54&amp;$A36),0)</f>
        <v>5</v>
      </c>
      <c r="D89" s="1">
        <f t="shared" ca="1" si="69"/>
        <v>3</v>
      </c>
      <c r="E89" s="1">
        <f t="shared" ca="1" si="69"/>
        <v>1</v>
      </c>
      <c r="F89" s="1">
        <f t="shared" ca="1" si="69"/>
        <v>5</v>
      </c>
      <c r="G89" s="1">
        <f t="shared" ca="1" si="69"/>
        <v>5</v>
      </c>
      <c r="H89" s="1">
        <f t="shared" ca="1" si="69"/>
        <v>3</v>
      </c>
      <c r="I89" s="1">
        <f t="shared" ca="1" si="69"/>
        <v>5</v>
      </c>
      <c r="J89" s="1">
        <f t="shared" ca="1" si="69"/>
        <v>5</v>
      </c>
      <c r="K89" s="1">
        <f t="shared" ca="1" si="69"/>
        <v>5</v>
      </c>
      <c r="L89" s="1">
        <f t="shared" ca="1" si="69"/>
        <v>1</v>
      </c>
      <c r="M89" s="1">
        <f t="shared" ca="1" si="69"/>
        <v>5</v>
      </c>
      <c r="N89" s="1">
        <f t="shared" ca="1" si="69"/>
        <v>5</v>
      </c>
      <c r="O89" s="1" t="e">
        <f t="shared" ca="1" si="69"/>
        <v>#N/A</v>
      </c>
      <c r="P89" s="1" t="e">
        <f t="shared" ca="1" si="69"/>
        <v>#N/A</v>
      </c>
      <c r="Q89" s="1" t="e">
        <f t="shared" ca="1" si="69"/>
        <v>#N/A</v>
      </c>
      <c r="R89" s="1" t="e">
        <f t="shared" ca="1" si="69"/>
        <v>#N/A</v>
      </c>
      <c r="S89" s="1" t="e">
        <f t="shared" ca="1" si="69"/>
        <v>#N/A</v>
      </c>
      <c r="T89" s="1" t="e">
        <f t="shared" ca="1" si="69"/>
        <v>#N/A</v>
      </c>
      <c r="U89" s="1" t="e">
        <f t="shared" ca="1" si="69"/>
        <v>#N/A</v>
      </c>
      <c r="V89" s="1" t="e">
        <f t="shared" ca="1" si="69"/>
        <v>#N/A</v>
      </c>
      <c r="W89" s="1" t="e">
        <f t="shared" ca="1" si="69"/>
        <v>#N/A</v>
      </c>
      <c r="X89" s="1" t="e">
        <f t="shared" ca="1" si="69"/>
        <v>#N/A</v>
      </c>
      <c r="AB89" s="28"/>
      <c r="AC89" s="28"/>
      <c r="AD89" s="28"/>
      <c r="AE89" s="28"/>
      <c r="AT89" s="28"/>
    </row>
    <row r="90" spans="1:46" hidden="1">
      <c r="A90" s="1">
        <v>90</v>
      </c>
      <c r="B90" s="1" t="str">
        <f t="shared" si="48"/>
        <v xml:space="preserve">   3.1.2) 25.¿Existen esquemas formales de recolección diferenciada de residuos reciclables en el municipio que involucran a recicladores de base?</v>
      </c>
      <c r="C90" s="1">
        <f t="shared" ref="C90:X90" ca="1" si="70">RANK(C37,INDIRECT("C"&amp;$A37&amp;":"&amp;$C$54&amp;$A37),0)</f>
        <v>8</v>
      </c>
      <c r="D90" s="1">
        <f t="shared" ca="1" si="70"/>
        <v>8</v>
      </c>
      <c r="E90" s="1">
        <f t="shared" ca="1" si="70"/>
        <v>1</v>
      </c>
      <c r="F90" s="1">
        <f t="shared" ca="1" si="70"/>
        <v>8</v>
      </c>
      <c r="G90" s="1">
        <f t="shared" ca="1" si="70"/>
        <v>8</v>
      </c>
      <c r="H90" s="1">
        <f t="shared" ca="1" si="70"/>
        <v>1</v>
      </c>
      <c r="I90" s="1">
        <f t="shared" ca="1" si="70"/>
        <v>5</v>
      </c>
      <c r="J90" s="1">
        <f t="shared" ca="1" si="70"/>
        <v>8</v>
      </c>
      <c r="K90" s="1">
        <f t="shared" ca="1" si="70"/>
        <v>5</v>
      </c>
      <c r="L90" s="1">
        <f t="shared" ca="1" si="70"/>
        <v>1</v>
      </c>
      <c r="M90" s="1">
        <f t="shared" ca="1" si="70"/>
        <v>5</v>
      </c>
      <c r="N90" s="1">
        <f t="shared" ca="1" si="70"/>
        <v>1</v>
      </c>
      <c r="O90" s="1">
        <f t="shared" ca="1" si="70"/>
        <v>8</v>
      </c>
      <c r="P90" s="1">
        <f t="shared" ca="1" si="70"/>
        <v>8</v>
      </c>
      <c r="Q90" s="1">
        <f t="shared" ca="1" si="70"/>
        <v>8</v>
      </c>
      <c r="R90" s="1">
        <f t="shared" ca="1" si="70"/>
        <v>8</v>
      </c>
      <c r="S90" s="1">
        <f t="shared" ca="1" si="70"/>
        <v>8</v>
      </c>
      <c r="T90" s="1">
        <f t="shared" ca="1" si="70"/>
        <v>8</v>
      </c>
      <c r="U90" s="1">
        <f t="shared" ca="1" si="70"/>
        <v>8</v>
      </c>
      <c r="V90" s="1">
        <f t="shared" ca="1" si="70"/>
        <v>8</v>
      </c>
      <c r="W90" s="1">
        <f t="shared" ca="1" si="70"/>
        <v>8</v>
      </c>
      <c r="X90" s="1">
        <f t="shared" ca="1" si="70"/>
        <v>8</v>
      </c>
      <c r="AB90" s="28"/>
      <c r="AC90" s="28"/>
      <c r="AD90" s="28"/>
      <c r="AE90" s="28"/>
      <c r="AT90" s="28"/>
    </row>
    <row r="91" spans="1:46" hidden="1">
      <c r="A91" s="1">
        <v>91</v>
      </c>
      <c r="B91" s="1" t="str">
        <f t="shared" si="48"/>
        <v xml:space="preserve">   3.1.3) 26.¿Los recicladores tienen acceso a instalaciones para el almacenamiento y la clasificación de materiales?</v>
      </c>
      <c r="C91" s="1">
        <f t="shared" ref="C91:X91" ca="1" si="71">RANK(C38,INDIRECT("C"&amp;$A38&amp;":"&amp;$C$54&amp;$A38),0)</f>
        <v>8</v>
      </c>
      <c r="D91" s="1">
        <f t="shared" ca="1" si="71"/>
        <v>1</v>
      </c>
      <c r="E91" s="1">
        <f t="shared" ca="1" si="71"/>
        <v>1</v>
      </c>
      <c r="F91" s="1">
        <f t="shared" ca="1" si="71"/>
        <v>8</v>
      </c>
      <c r="G91" s="1">
        <f t="shared" ca="1" si="71"/>
        <v>1</v>
      </c>
      <c r="H91" s="1">
        <f t="shared" ca="1" si="71"/>
        <v>8</v>
      </c>
      <c r="I91" s="1">
        <f t="shared" ca="1" si="71"/>
        <v>1</v>
      </c>
      <c r="J91" s="1">
        <f t="shared" ca="1" si="71"/>
        <v>8</v>
      </c>
      <c r="K91" s="1">
        <f t="shared" ca="1" si="71"/>
        <v>8</v>
      </c>
      <c r="L91" s="1">
        <f t="shared" ca="1" si="71"/>
        <v>1</v>
      </c>
      <c r="M91" s="1">
        <f t="shared" ca="1" si="71"/>
        <v>1</v>
      </c>
      <c r="N91" s="1">
        <f t="shared" ca="1" si="71"/>
        <v>1</v>
      </c>
      <c r="O91" s="1">
        <f t="shared" ca="1" si="71"/>
        <v>8</v>
      </c>
      <c r="P91" s="1">
        <f t="shared" ca="1" si="71"/>
        <v>8</v>
      </c>
      <c r="Q91" s="1">
        <f t="shared" ca="1" si="71"/>
        <v>8</v>
      </c>
      <c r="R91" s="1">
        <f t="shared" ca="1" si="71"/>
        <v>8</v>
      </c>
      <c r="S91" s="1">
        <f t="shared" ca="1" si="71"/>
        <v>8</v>
      </c>
      <c r="T91" s="1">
        <f t="shared" ca="1" si="71"/>
        <v>8</v>
      </c>
      <c r="U91" s="1">
        <f t="shared" ca="1" si="71"/>
        <v>8</v>
      </c>
      <c r="V91" s="1">
        <f t="shared" ca="1" si="71"/>
        <v>8</v>
      </c>
      <c r="W91" s="1">
        <f t="shared" ca="1" si="71"/>
        <v>8</v>
      </c>
      <c r="X91" s="1">
        <f t="shared" ca="1" si="71"/>
        <v>8</v>
      </c>
      <c r="AB91" s="28"/>
      <c r="AC91" s="28"/>
      <c r="AD91" s="28"/>
      <c r="AE91" s="28"/>
      <c r="AT91" s="28"/>
    </row>
    <row r="92" spans="1:46" hidden="1">
      <c r="A92" s="1">
        <v>92</v>
      </c>
      <c r="B92" s="1" t="str">
        <f t="shared" si="48"/>
        <v xml:space="preserve">   3.1.4) 27.¿Cuál es el nivel de desarrollo técnico alcanzado en la clasificación (o pre-procesamiento) de materiales reciclables por parte de agrupaciones de recicladores?</v>
      </c>
      <c r="C92" s="1">
        <f t="shared" ref="C92:X92" ca="1" si="72">RANK(C39,INDIRECT("C"&amp;$A39&amp;":"&amp;$C$54&amp;$A39),0)</f>
        <v>5</v>
      </c>
      <c r="D92" s="1">
        <f t="shared" ca="1" si="72"/>
        <v>2</v>
      </c>
      <c r="E92" s="1">
        <f t="shared" ca="1" si="72"/>
        <v>1</v>
      </c>
      <c r="F92" s="1">
        <f t="shared" ca="1" si="72"/>
        <v>2</v>
      </c>
      <c r="G92" s="1">
        <f t="shared" ca="1" si="72"/>
        <v>5</v>
      </c>
      <c r="H92" s="1">
        <f t="shared" ca="1" si="72"/>
        <v>5</v>
      </c>
      <c r="I92" s="1">
        <f t="shared" ca="1" si="72"/>
        <v>5</v>
      </c>
      <c r="J92" s="1">
        <f t="shared" ca="1" si="72"/>
        <v>5</v>
      </c>
      <c r="K92" s="1">
        <f t="shared" ca="1" si="72"/>
        <v>5</v>
      </c>
      <c r="L92" s="1">
        <f t="shared" ca="1" si="72"/>
        <v>2</v>
      </c>
      <c r="M92" s="1">
        <f t="shared" ca="1" si="72"/>
        <v>5</v>
      </c>
      <c r="N92" s="1">
        <f t="shared" ca="1" si="72"/>
        <v>5</v>
      </c>
      <c r="O92" s="1">
        <f t="shared" ca="1" si="72"/>
        <v>5</v>
      </c>
      <c r="P92" s="1">
        <f t="shared" ca="1" si="72"/>
        <v>5</v>
      </c>
      <c r="Q92" s="1">
        <f t="shared" ca="1" si="72"/>
        <v>5</v>
      </c>
      <c r="R92" s="1">
        <f t="shared" ca="1" si="72"/>
        <v>5</v>
      </c>
      <c r="S92" s="1">
        <f t="shared" ca="1" si="72"/>
        <v>5</v>
      </c>
      <c r="T92" s="1">
        <f t="shared" ca="1" si="72"/>
        <v>5</v>
      </c>
      <c r="U92" s="1">
        <f t="shared" ca="1" si="72"/>
        <v>5</v>
      </c>
      <c r="V92" s="1">
        <f t="shared" ca="1" si="72"/>
        <v>5</v>
      </c>
      <c r="W92" s="1">
        <f t="shared" ca="1" si="72"/>
        <v>5</v>
      </c>
      <c r="X92" s="1">
        <f t="shared" ca="1" si="72"/>
        <v>5</v>
      </c>
      <c r="AB92" s="28"/>
      <c r="AC92" s="28"/>
      <c r="AD92" s="28"/>
      <c r="AE92" s="28"/>
      <c r="AT92" s="28"/>
    </row>
    <row r="93" spans="1:46" hidden="1">
      <c r="A93" s="1">
        <v>93</v>
      </c>
      <c r="B93" s="1" t="str">
        <f t="shared" si="48"/>
        <v xml:space="preserve">  3.2) Condiciones para la comercialización de material reciclable</v>
      </c>
      <c r="C93" s="1">
        <f t="shared" ref="C93:X93" ca="1" si="73">RANK(C40,INDIRECT("C"&amp;$A40&amp;":"&amp;$C$54&amp;$A40),0)</f>
        <v>3</v>
      </c>
      <c r="D93" s="1">
        <f t="shared" ca="1" si="73"/>
        <v>4</v>
      </c>
      <c r="E93" s="1">
        <f t="shared" ca="1" si="73"/>
        <v>6</v>
      </c>
      <c r="F93" s="1">
        <f t="shared" ca="1" si="73"/>
        <v>11</v>
      </c>
      <c r="G93" s="1">
        <f t="shared" ca="1" si="73"/>
        <v>5</v>
      </c>
      <c r="H93" s="1">
        <f t="shared" ca="1" si="73"/>
        <v>2</v>
      </c>
      <c r="I93" s="1">
        <f t="shared" ca="1" si="73"/>
        <v>8</v>
      </c>
      <c r="J93" s="1">
        <f t="shared" ca="1" si="73"/>
        <v>1</v>
      </c>
      <c r="K93" s="1">
        <f t="shared" ca="1" si="73"/>
        <v>12</v>
      </c>
      <c r="L93" s="1">
        <f t="shared" ca="1" si="73"/>
        <v>10</v>
      </c>
      <c r="M93" s="1">
        <f t="shared" ca="1" si="73"/>
        <v>9</v>
      </c>
      <c r="N93" s="1">
        <f t="shared" ca="1" si="73"/>
        <v>7</v>
      </c>
      <c r="O93" s="1" t="e">
        <f t="shared" ca="1" si="73"/>
        <v>#N/A</v>
      </c>
      <c r="P93" s="1" t="e">
        <f t="shared" ca="1" si="73"/>
        <v>#N/A</v>
      </c>
      <c r="Q93" s="1" t="e">
        <f t="shared" ca="1" si="73"/>
        <v>#N/A</v>
      </c>
      <c r="R93" s="1" t="e">
        <f t="shared" ca="1" si="73"/>
        <v>#N/A</v>
      </c>
      <c r="S93" s="1" t="e">
        <f t="shared" ca="1" si="73"/>
        <v>#N/A</v>
      </c>
      <c r="T93" s="1" t="e">
        <f t="shared" ca="1" si="73"/>
        <v>#N/A</v>
      </c>
      <c r="U93" s="1" t="e">
        <f t="shared" ca="1" si="73"/>
        <v>#N/A</v>
      </c>
      <c r="V93" s="1" t="e">
        <f t="shared" ca="1" si="73"/>
        <v>#N/A</v>
      </c>
      <c r="W93" s="1" t="e">
        <f t="shared" ca="1" si="73"/>
        <v>#N/A</v>
      </c>
      <c r="X93" s="1" t="e">
        <f t="shared" ca="1" si="73"/>
        <v>#N/A</v>
      </c>
      <c r="AB93" s="28"/>
      <c r="AC93" s="28"/>
      <c r="AD93" s="28"/>
      <c r="AE93" s="28"/>
      <c r="AT93" s="28"/>
    </row>
    <row r="94" spans="1:46" hidden="1">
      <c r="A94" s="1">
        <v>94</v>
      </c>
      <c r="B94" s="1" t="str">
        <f t="shared" si="48"/>
        <v xml:space="preserve">   3.2.1) 28.¿Cuál es la diferencia de valor del material en los diferentes eslabones de la cadena del reciclaje?</v>
      </c>
      <c r="C94" s="1">
        <f t="shared" ref="C94:X94" ca="1" si="74">RANK(C41,INDIRECT("C"&amp;$A41&amp;":"&amp;$C$54&amp;$A41),0)</f>
        <v>4</v>
      </c>
      <c r="D94" s="1">
        <f t="shared" ca="1" si="74"/>
        <v>6</v>
      </c>
      <c r="E94" s="1">
        <f t="shared" ca="1" si="74"/>
        <v>8</v>
      </c>
      <c r="F94" s="1">
        <f t="shared" ca="1" si="74"/>
        <v>4</v>
      </c>
      <c r="G94" s="1">
        <f t="shared" ca="1" si="74"/>
        <v>7</v>
      </c>
      <c r="H94" s="1">
        <f t="shared" ca="1" si="74"/>
        <v>3</v>
      </c>
      <c r="I94" s="1">
        <f t="shared" ca="1" si="74"/>
        <v>10</v>
      </c>
      <c r="J94" s="1">
        <f t="shared" ca="1" si="74"/>
        <v>1</v>
      </c>
      <c r="K94" s="1">
        <f t="shared" ca="1" si="74"/>
        <v>12</v>
      </c>
      <c r="L94" s="1">
        <f t="shared" ca="1" si="74"/>
        <v>11</v>
      </c>
      <c r="M94" s="1">
        <f t="shared" ca="1" si="74"/>
        <v>2</v>
      </c>
      <c r="N94" s="1">
        <f t="shared" ca="1" si="74"/>
        <v>9</v>
      </c>
      <c r="O94" s="1" t="e">
        <f t="shared" ca="1" si="74"/>
        <v>#N/A</v>
      </c>
      <c r="P94" s="1">
        <f t="shared" ca="1" si="74"/>
        <v>12</v>
      </c>
      <c r="Q94" s="1">
        <f t="shared" ca="1" si="74"/>
        <v>12</v>
      </c>
      <c r="R94" s="1">
        <f t="shared" ca="1" si="74"/>
        <v>12</v>
      </c>
      <c r="S94" s="1">
        <f t="shared" ca="1" si="74"/>
        <v>12</v>
      </c>
      <c r="T94" s="1">
        <f t="shared" ca="1" si="74"/>
        <v>12</v>
      </c>
      <c r="U94" s="1">
        <f t="shared" ca="1" si="74"/>
        <v>12</v>
      </c>
      <c r="V94" s="1">
        <f t="shared" ca="1" si="74"/>
        <v>12</v>
      </c>
      <c r="W94" s="1">
        <f t="shared" ca="1" si="74"/>
        <v>12</v>
      </c>
      <c r="X94" s="1">
        <f t="shared" ca="1" si="74"/>
        <v>12</v>
      </c>
      <c r="AB94" s="28"/>
      <c r="AC94" s="28"/>
      <c r="AD94" s="28"/>
      <c r="AE94" s="28"/>
      <c r="AT94" s="28"/>
    </row>
    <row r="95" spans="1:46" hidden="1">
      <c r="A95" s="1">
        <v>95</v>
      </c>
      <c r="B95" s="1" t="str">
        <f t="shared" si="48"/>
        <v xml:space="preserve">   3.2.2) 29.¿Cuál es el nivel de desarrollo de la industria transformadora a nivel nacional?</v>
      </c>
      <c r="C95" s="1">
        <f t="shared" ref="C95:X95" ca="1" si="75">RANK(C42,INDIRECT("C"&amp;$A42&amp;":"&amp;$C$54&amp;$A42),0)</f>
        <v>1</v>
      </c>
      <c r="D95" s="1">
        <f t="shared" ca="1" si="75"/>
        <v>1</v>
      </c>
      <c r="E95" s="1">
        <f t="shared" ca="1" si="75"/>
        <v>1</v>
      </c>
      <c r="F95" s="1">
        <f t="shared" ca="1" si="75"/>
        <v>12</v>
      </c>
      <c r="G95" s="1">
        <f t="shared" ca="1" si="75"/>
        <v>1</v>
      </c>
      <c r="H95" s="1">
        <f t="shared" ca="1" si="75"/>
        <v>1</v>
      </c>
      <c r="I95" s="1">
        <f t="shared" ca="1" si="75"/>
        <v>1</v>
      </c>
      <c r="J95" s="1">
        <f t="shared" ca="1" si="75"/>
        <v>1</v>
      </c>
      <c r="K95" s="1">
        <f t="shared" ca="1" si="75"/>
        <v>10</v>
      </c>
      <c r="L95" s="1">
        <f t="shared" ca="1" si="75"/>
        <v>1</v>
      </c>
      <c r="M95" s="1">
        <f t="shared" ca="1" si="75"/>
        <v>10</v>
      </c>
      <c r="N95" s="1">
        <f t="shared" ca="1" si="75"/>
        <v>1</v>
      </c>
      <c r="O95" s="1" t="e">
        <f t="shared" ca="1" si="75"/>
        <v>#N/A</v>
      </c>
      <c r="P95" s="1" t="e">
        <f t="shared" ca="1" si="75"/>
        <v>#N/A</v>
      </c>
      <c r="Q95" s="1" t="e">
        <f t="shared" ca="1" si="75"/>
        <v>#N/A</v>
      </c>
      <c r="R95" s="1" t="e">
        <f t="shared" ca="1" si="75"/>
        <v>#N/A</v>
      </c>
      <c r="S95" s="1" t="e">
        <f t="shared" ca="1" si="75"/>
        <v>#N/A</v>
      </c>
      <c r="T95" s="1" t="e">
        <f t="shared" ca="1" si="75"/>
        <v>#N/A</v>
      </c>
      <c r="U95" s="1" t="e">
        <f t="shared" ca="1" si="75"/>
        <v>#N/A</v>
      </c>
      <c r="V95" s="1" t="e">
        <f t="shared" ca="1" si="75"/>
        <v>#N/A</v>
      </c>
      <c r="W95" s="1" t="e">
        <f t="shared" ca="1" si="75"/>
        <v>#N/A</v>
      </c>
      <c r="X95" s="1" t="e">
        <f t="shared" ca="1" si="75"/>
        <v>#N/A</v>
      </c>
      <c r="AB95" s="28"/>
      <c r="AC95" s="28"/>
      <c r="AD95" s="28"/>
      <c r="AE95" s="28"/>
      <c r="AT95" s="28"/>
    </row>
    <row r="96" spans="1:46">
      <c r="A96" s="1">
        <v>96</v>
      </c>
      <c r="B96" s="1" t="str">
        <f t="shared" si="48"/>
        <v xml:space="preserve">  3.3) Ingreso de los recicladores de base</v>
      </c>
      <c r="C96" s="1">
        <f t="shared" ref="C96:X96" ca="1" si="76">RANK(C43,INDIRECT("C"&amp;$A43&amp;":"&amp;$C$54&amp;$A43),0)</f>
        <v>11</v>
      </c>
      <c r="D96" s="1">
        <f t="shared" ca="1" si="76"/>
        <v>3</v>
      </c>
      <c r="E96" s="1">
        <f t="shared" ca="1" si="76"/>
        <v>1</v>
      </c>
      <c r="F96" s="1">
        <f t="shared" ca="1" si="76"/>
        <v>6</v>
      </c>
      <c r="G96" s="1">
        <f t="shared" ca="1" si="76"/>
        <v>4</v>
      </c>
      <c r="H96" s="1">
        <f t="shared" ca="1" si="76"/>
        <v>7</v>
      </c>
      <c r="I96" s="1">
        <f t="shared" ca="1" si="76"/>
        <v>5</v>
      </c>
      <c r="J96" s="1">
        <f t="shared" ca="1" si="76"/>
        <v>10</v>
      </c>
      <c r="K96" s="1">
        <f t="shared" ca="1" si="76"/>
        <v>12</v>
      </c>
      <c r="L96" s="1">
        <f t="shared" ca="1" si="76"/>
        <v>2</v>
      </c>
      <c r="M96" s="1">
        <f t="shared" ca="1" si="76"/>
        <v>8</v>
      </c>
      <c r="N96" s="1">
        <f t="shared" ca="1" si="76"/>
        <v>9</v>
      </c>
      <c r="O96" s="1" t="e">
        <f t="shared" ca="1" si="76"/>
        <v>#N/A</v>
      </c>
      <c r="P96" s="1">
        <f t="shared" ca="1" si="76"/>
        <v>12</v>
      </c>
      <c r="Q96" s="1">
        <f t="shared" ca="1" si="76"/>
        <v>12</v>
      </c>
      <c r="R96" s="1">
        <f t="shared" ca="1" si="76"/>
        <v>12</v>
      </c>
      <c r="S96" s="1">
        <f t="shared" ca="1" si="76"/>
        <v>12</v>
      </c>
      <c r="T96" s="1">
        <f t="shared" ca="1" si="76"/>
        <v>12</v>
      </c>
      <c r="U96" s="1">
        <f t="shared" ca="1" si="76"/>
        <v>12</v>
      </c>
      <c r="V96" s="1">
        <f t="shared" ca="1" si="76"/>
        <v>12</v>
      </c>
      <c r="W96" s="1">
        <f t="shared" ca="1" si="76"/>
        <v>12</v>
      </c>
      <c r="X96" s="1">
        <f t="shared" ca="1" si="76"/>
        <v>12</v>
      </c>
      <c r="AB96" s="28"/>
      <c r="AC96" s="28"/>
      <c r="AD96" s="28"/>
      <c r="AE96" s="28"/>
      <c r="AT96" s="28"/>
    </row>
    <row r="97" spans="1:46">
      <c r="A97" s="1">
        <v>97</v>
      </c>
      <c r="B97" s="1" t="str">
        <f t="shared" si="48"/>
        <v xml:space="preserve">   3.3.1) 30.¿Se permite la contratación con agrupaciones de recicladores de base en el sistema de gestión de residuos del municipio?</v>
      </c>
      <c r="C97" s="1">
        <f t="shared" ref="C97:X97" ca="1" si="77">RANK(C44,INDIRECT("C"&amp;$A44&amp;":"&amp;$C$54&amp;$A44),0)</f>
        <v>7</v>
      </c>
      <c r="D97" s="1">
        <f t="shared" ca="1" si="77"/>
        <v>4</v>
      </c>
      <c r="E97" s="1">
        <f t="shared" ca="1" si="77"/>
        <v>1</v>
      </c>
      <c r="F97" s="1">
        <f t="shared" ca="1" si="77"/>
        <v>7</v>
      </c>
      <c r="G97" s="1">
        <f t="shared" ca="1" si="77"/>
        <v>1</v>
      </c>
      <c r="H97" s="1">
        <f t="shared" ca="1" si="77"/>
        <v>4</v>
      </c>
      <c r="I97" s="1">
        <f t="shared" ca="1" si="77"/>
        <v>4</v>
      </c>
      <c r="J97" s="1">
        <f t="shared" ca="1" si="77"/>
        <v>7</v>
      </c>
      <c r="K97" s="1">
        <f t="shared" ca="1" si="77"/>
        <v>7</v>
      </c>
      <c r="L97" s="1">
        <f t="shared" ca="1" si="77"/>
        <v>1</v>
      </c>
      <c r="M97" s="1">
        <f t="shared" ca="1" si="77"/>
        <v>7</v>
      </c>
      <c r="N97" s="1">
        <f t="shared" ca="1" si="77"/>
        <v>7</v>
      </c>
      <c r="O97" s="1">
        <f t="shared" ca="1" si="77"/>
        <v>7</v>
      </c>
      <c r="P97" s="1">
        <f t="shared" ca="1" si="77"/>
        <v>7</v>
      </c>
      <c r="Q97" s="1">
        <f t="shared" ca="1" si="77"/>
        <v>7</v>
      </c>
      <c r="R97" s="1">
        <f t="shared" ca="1" si="77"/>
        <v>7</v>
      </c>
      <c r="S97" s="1">
        <f t="shared" ca="1" si="77"/>
        <v>7</v>
      </c>
      <c r="T97" s="1">
        <f t="shared" ca="1" si="77"/>
        <v>7</v>
      </c>
      <c r="U97" s="1">
        <f t="shared" ca="1" si="77"/>
        <v>7</v>
      </c>
      <c r="V97" s="1">
        <f t="shared" ca="1" si="77"/>
        <v>7</v>
      </c>
      <c r="W97" s="1">
        <f t="shared" ca="1" si="77"/>
        <v>7</v>
      </c>
      <c r="X97" s="1">
        <f t="shared" ca="1" si="77"/>
        <v>7</v>
      </c>
      <c r="AB97" s="28"/>
      <c r="AC97" s="28"/>
      <c r="AD97" s="28"/>
      <c r="AE97" s="28"/>
      <c r="AT97" s="28"/>
    </row>
    <row r="98" spans="1:46">
      <c r="A98" s="1">
        <v>98</v>
      </c>
      <c r="B98" s="1" t="str">
        <f t="shared" si="48"/>
        <v xml:space="preserve">   3.3.2) 31.¿Existen mecanismos de pago periódico fijo para los recicladores de base por servicios prestados?</v>
      </c>
      <c r="C98" s="1">
        <f t="shared" ref="C98:X98" ca="1" si="78">RANK(C45,INDIRECT("C"&amp;$A45&amp;":"&amp;$C$54&amp;$A45),0)</f>
        <v>4</v>
      </c>
      <c r="D98" s="1">
        <f t="shared" ca="1" si="78"/>
        <v>1</v>
      </c>
      <c r="E98" s="1">
        <f t="shared" ca="1" si="78"/>
        <v>1</v>
      </c>
      <c r="F98" s="1">
        <f t="shared" ca="1" si="78"/>
        <v>4</v>
      </c>
      <c r="G98" s="1">
        <f t="shared" ca="1" si="78"/>
        <v>4</v>
      </c>
      <c r="H98" s="1">
        <f t="shared" ca="1" si="78"/>
        <v>4</v>
      </c>
      <c r="I98" s="1">
        <f t="shared" ca="1" si="78"/>
        <v>4</v>
      </c>
      <c r="J98" s="1">
        <f t="shared" ca="1" si="78"/>
        <v>4</v>
      </c>
      <c r="K98" s="1">
        <f t="shared" ca="1" si="78"/>
        <v>4</v>
      </c>
      <c r="L98" s="1">
        <f t="shared" ca="1" si="78"/>
        <v>1</v>
      </c>
      <c r="M98" s="1">
        <f t="shared" ca="1" si="78"/>
        <v>4</v>
      </c>
      <c r="N98" s="1">
        <f t="shared" ca="1" si="78"/>
        <v>4</v>
      </c>
      <c r="O98" s="1">
        <f t="shared" ca="1" si="78"/>
        <v>4</v>
      </c>
      <c r="P98" s="1">
        <f t="shared" ca="1" si="78"/>
        <v>4</v>
      </c>
      <c r="Q98" s="1">
        <f t="shared" ca="1" si="78"/>
        <v>4</v>
      </c>
      <c r="R98" s="1">
        <f t="shared" ca="1" si="78"/>
        <v>4</v>
      </c>
      <c r="S98" s="1">
        <f t="shared" ca="1" si="78"/>
        <v>4</v>
      </c>
      <c r="T98" s="1">
        <f t="shared" ca="1" si="78"/>
        <v>4</v>
      </c>
      <c r="U98" s="1">
        <f t="shared" ca="1" si="78"/>
        <v>4</v>
      </c>
      <c r="V98" s="1">
        <f t="shared" ca="1" si="78"/>
        <v>4</v>
      </c>
      <c r="W98" s="1">
        <f t="shared" ca="1" si="78"/>
        <v>4</v>
      </c>
      <c r="X98" s="1">
        <f t="shared" ca="1" si="78"/>
        <v>4</v>
      </c>
      <c r="AB98" s="28"/>
      <c r="AC98" s="28"/>
      <c r="AD98" s="28"/>
      <c r="AE98" s="28"/>
      <c r="AT98" s="28"/>
    </row>
    <row r="99" spans="1:46">
      <c r="A99" s="1">
        <v>99</v>
      </c>
      <c r="B99" s="1" t="str">
        <f t="shared" si="48"/>
        <v xml:space="preserve">   3.3.3) 32.¿Existen programas de diversificación de los servicios prestados por recicladores?</v>
      </c>
      <c r="C99" s="1">
        <f t="shared" ref="C99:X99" ca="1" si="79">RANK(C46,INDIRECT("C"&amp;$A46&amp;":"&amp;$C$54&amp;$A46),0)</f>
        <v>3</v>
      </c>
      <c r="D99" s="1">
        <f t="shared" ca="1" si="79"/>
        <v>3</v>
      </c>
      <c r="E99" s="1">
        <f t="shared" ca="1" si="79"/>
        <v>1</v>
      </c>
      <c r="F99" s="1">
        <f t="shared" ca="1" si="79"/>
        <v>3</v>
      </c>
      <c r="G99" s="1">
        <f t="shared" ca="1" si="79"/>
        <v>3</v>
      </c>
      <c r="H99" s="1">
        <f t="shared" ca="1" si="79"/>
        <v>3</v>
      </c>
      <c r="I99" s="1">
        <f t="shared" ca="1" si="79"/>
        <v>3</v>
      </c>
      <c r="J99" s="1">
        <f t="shared" ca="1" si="79"/>
        <v>3</v>
      </c>
      <c r="K99" s="1">
        <f t="shared" ca="1" si="79"/>
        <v>3</v>
      </c>
      <c r="L99" s="1">
        <f t="shared" ca="1" si="79"/>
        <v>1</v>
      </c>
      <c r="M99" s="1">
        <f t="shared" ca="1" si="79"/>
        <v>3</v>
      </c>
      <c r="N99" s="1">
        <f t="shared" ca="1" si="79"/>
        <v>3</v>
      </c>
      <c r="O99" s="1">
        <f t="shared" ca="1" si="79"/>
        <v>3</v>
      </c>
      <c r="P99" s="1">
        <f t="shared" ca="1" si="79"/>
        <v>3</v>
      </c>
      <c r="Q99" s="1">
        <f t="shared" ca="1" si="79"/>
        <v>3</v>
      </c>
      <c r="R99" s="1">
        <f t="shared" ca="1" si="79"/>
        <v>3</v>
      </c>
      <c r="S99" s="1">
        <f t="shared" ca="1" si="79"/>
        <v>3</v>
      </c>
      <c r="T99" s="1">
        <f t="shared" ca="1" si="79"/>
        <v>3</v>
      </c>
      <c r="U99" s="1">
        <f t="shared" ca="1" si="79"/>
        <v>3</v>
      </c>
      <c r="V99" s="1">
        <f t="shared" ca="1" si="79"/>
        <v>3</v>
      </c>
      <c r="W99" s="1">
        <f t="shared" ca="1" si="79"/>
        <v>3</v>
      </c>
      <c r="X99" s="1">
        <f t="shared" ca="1" si="79"/>
        <v>3</v>
      </c>
      <c r="AB99" s="28"/>
      <c r="AC99" s="28"/>
      <c r="AD99" s="28"/>
      <c r="AE99" s="28"/>
      <c r="AT99" s="28"/>
    </row>
    <row r="100" spans="1:46">
      <c r="A100" s="1">
        <v>100</v>
      </c>
      <c r="B100" s="1" t="str">
        <f t="shared" si="48"/>
        <v xml:space="preserve">   3.3.4) 33. Ingreso promedio de los recicladores con respecto al salario mínimo nacional</v>
      </c>
      <c r="C100" s="1">
        <f t="shared" ref="C100:X100" ca="1" si="80">RANK(C47,INDIRECT("C"&amp;$A47&amp;":"&amp;$C$54&amp;$A47),0)</f>
        <v>11</v>
      </c>
      <c r="D100" s="1">
        <f t="shared" ca="1" si="80"/>
        <v>4</v>
      </c>
      <c r="E100" s="1">
        <f t="shared" ca="1" si="80"/>
        <v>1</v>
      </c>
      <c r="F100" s="1">
        <f t="shared" ca="1" si="80"/>
        <v>2</v>
      </c>
      <c r="G100" s="1">
        <f t="shared" ca="1" si="80"/>
        <v>8</v>
      </c>
      <c r="H100" s="1">
        <f t="shared" ca="1" si="80"/>
        <v>9</v>
      </c>
      <c r="I100" s="1">
        <f t="shared" ca="1" si="80"/>
        <v>3</v>
      </c>
      <c r="J100" s="1">
        <f t="shared" ca="1" si="80"/>
        <v>10</v>
      </c>
      <c r="K100" s="1">
        <f t="shared" ca="1" si="80"/>
        <v>12</v>
      </c>
      <c r="L100" s="1">
        <f t="shared" ca="1" si="80"/>
        <v>7</v>
      </c>
      <c r="M100" s="1">
        <f t="shared" ca="1" si="80"/>
        <v>5</v>
      </c>
      <c r="N100" s="1">
        <f t="shared" ca="1" si="80"/>
        <v>6</v>
      </c>
      <c r="O100" s="1" t="e">
        <f t="shared" ca="1" si="80"/>
        <v>#N/A</v>
      </c>
      <c r="P100" s="1">
        <f t="shared" ca="1" si="80"/>
        <v>12</v>
      </c>
      <c r="Q100" s="1">
        <f t="shared" ca="1" si="80"/>
        <v>12</v>
      </c>
      <c r="R100" s="1">
        <f t="shared" ca="1" si="80"/>
        <v>12</v>
      </c>
      <c r="S100" s="1">
        <f t="shared" ca="1" si="80"/>
        <v>12</v>
      </c>
      <c r="T100" s="1">
        <f t="shared" ca="1" si="80"/>
        <v>12</v>
      </c>
      <c r="U100" s="1">
        <f t="shared" ca="1" si="80"/>
        <v>12</v>
      </c>
      <c r="V100" s="1">
        <f t="shared" ca="1" si="80"/>
        <v>12</v>
      </c>
      <c r="W100" s="1">
        <f t="shared" ca="1" si="80"/>
        <v>12</v>
      </c>
      <c r="X100" s="1">
        <f t="shared" ca="1" si="80"/>
        <v>12</v>
      </c>
      <c r="AB100" s="28"/>
      <c r="AC100" s="28"/>
      <c r="AD100" s="28"/>
      <c r="AE100" s="28"/>
      <c r="AT100" s="28"/>
    </row>
    <row r="101" spans="1:46">
      <c r="A101" s="1">
        <v>101</v>
      </c>
      <c r="B101" s="1" t="str">
        <f t="shared" si="48"/>
        <v xml:space="preserve">  3.4) Condiciones de trabajo de los recicladores de base</v>
      </c>
      <c r="C101" s="1">
        <f t="shared" ref="C101:X101" ca="1" si="81">RANK(C48,INDIRECT("C"&amp;$A48&amp;":"&amp;$C$54&amp;$A48),0)</f>
        <v>11</v>
      </c>
      <c r="D101" s="1">
        <f t="shared" ca="1" si="81"/>
        <v>3</v>
      </c>
      <c r="E101" s="1">
        <f t="shared" ca="1" si="81"/>
        <v>1</v>
      </c>
      <c r="F101" s="1">
        <f t="shared" ca="1" si="81"/>
        <v>8</v>
      </c>
      <c r="G101" s="1">
        <f t="shared" ca="1" si="81"/>
        <v>8</v>
      </c>
      <c r="H101" s="1">
        <f t="shared" ca="1" si="81"/>
        <v>3</v>
      </c>
      <c r="I101" s="1">
        <f t="shared" ca="1" si="81"/>
        <v>11</v>
      </c>
      <c r="J101" s="1">
        <f t="shared" ca="1" si="81"/>
        <v>10</v>
      </c>
      <c r="K101" s="1">
        <f t="shared" ca="1" si="81"/>
        <v>3</v>
      </c>
      <c r="L101" s="1">
        <f t="shared" ca="1" si="81"/>
        <v>3</v>
      </c>
      <c r="M101" s="1">
        <f t="shared" ca="1" si="81"/>
        <v>3</v>
      </c>
      <c r="N101" s="1">
        <f t="shared" ca="1" si="81"/>
        <v>2</v>
      </c>
      <c r="O101" s="1">
        <f t="shared" ca="1" si="81"/>
        <v>11</v>
      </c>
      <c r="P101" s="1">
        <f t="shared" ca="1" si="81"/>
        <v>11</v>
      </c>
      <c r="Q101" s="1">
        <f t="shared" ca="1" si="81"/>
        <v>11</v>
      </c>
      <c r="R101" s="1">
        <f t="shared" ca="1" si="81"/>
        <v>11</v>
      </c>
      <c r="S101" s="1">
        <f t="shared" ca="1" si="81"/>
        <v>11</v>
      </c>
      <c r="T101" s="1">
        <f t="shared" ca="1" si="81"/>
        <v>11</v>
      </c>
      <c r="U101" s="1">
        <f t="shared" ca="1" si="81"/>
        <v>11</v>
      </c>
      <c r="V101" s="1">
        <f t="shared" ca="1" si="81"/>
        <v>11</v>
      </c>
      <c r="W101" s="1">
        <f t="shared" ca="1" si="81"/>
        <v>11</v>
      </c>
      <c r="X101" s="1">
        <f t="shared" ca="1" si="81"/>
        <v>11</v>
      </c>
      <c r="AB101" s="28"/>
      <c r="AC101" s="28"/>
      <c r="AD101" s="28"/>
      <c r="AE101" s="28"/>
      <c r="AT101" s="28"/>
    </row>
    <row r="102" spans="1:46">
      <c r="A102" s="1">
        <v>102</v>
      </c>
      <c r="B102" s="1" t="str">
        <f t="shared" si="48"/>
        <v xml:space="preserve">   3.4.1) 34.¿Existe trabajo infantil en la cadena de manejo de residuos?</v>
      </c>
      <c r="C102" s="1">
        <f t="shared" ref="C102:X102" ca="1" si="82">RANK(C49,INDIRECT("C"&amp;$A49&amp;":"&amp;$C$54&amp;$A49),0)</f>
        <v>8</v>
      </c>
      <c r="D102" s="1">
        <f t="shared" ca="1" si="82"/>
        <v>3</v>
      </c>
      <c r="E102" s="1">
        <f t="shared" ca="1" si="82"/>
        <v>3</v>
      </c>
      <c r="F102" s="1">
        <f t="shared" ca="1" si="82"/>
        <v>8</v>
      </c>
      <c r="G102" s="1">
        <f t="shared" ca="1" si="82"/>
        <v>3</v>
      </c>
      <c r="H102" s="1">
        <f t="shared" ca="1" si="82"/>
        <v>3</v>
      </c>
      <c r="I102" s="1">
        <f t="shared" ca="1" si="82"/>
        <v>8</v>
      </c>
      <c r="J102" s="1">
        <f t="shared" ca="1" si="82"/>
        <v>8</v>
      </c>
      <c r="K102" s="1">
        <f t="shared" ca="1" si="82"/>
        <v>1</v>
      </c>
      <c r="L102" s="1">
        <f t="shared" ca="1" si="82"/>
        <v>3</v>
      </c>
      <c r="M102" s="1">
        <f t="shared" ca="1" si="82"/>
        <v>8</v>
      </c>
      <c r="N102" s="1">
        <f t="shared" ca="1" si="82"/>
        <v>1</v>
      </c>
      <c r="O102" s="1">
        <f t="shared" ca="1" si="82"/>
        <v>8</v>
      </c>
      <c r="P102" s="1">
        <f t="shared" ca="1" si="82"/>
        <v>8</v>
      </c>
      <c r="Q102" s="1">
        <f t="shared" ca="1" si="82"/>
        <v>8</v>
      </c>
      <c r="R102" s="1">
        <f t="shared" ca="1" si="82"/>
        <v>8</v>
      </c>
      <c r="S102" s="1">
        <f t="shared" ca="1" si="82"/>
        <v>8</v>
      </c>
      <c r="T102" s="1">
        <f t="shared" ca="1" si="82"/>
        <v>8</v>
      </c>
      <c r="U102" s="1">
        <f t="shared" ca="1" si="82"/>
        <v>8</v>
      </c>
      <c r="V102" s="1">
        <f t="shared" ca="1" si="82"/>
        <v>8</v>
      </c>
      <c r="W102" s="1">
        <f t="shared" ca="1" si="82"/>
        <v>8</v>
      </c>
      <c r="X102" s="1">
        <f t="shared" ca="1" si="82"/>
        <v>8</v>
      </c>
      <c r="AB102" s="28"/>
      <c r="AC102" s="28"/>
      <c r="AD102" s="28"/>
      <c r="AE102" s="28"/>
      <c r="AT102" s="28"/>
    </row>
    <row r="103" spans="1:46">
      <c r="A103" s="1">
        <v>103</v>
      </c>
      <c r="B103" s="1" t="str">
        <f t="shared" si="48"/>
        <v xml:space="preserve">   3.4.2) 35.¿Cuál es el nivel de enfoque de género en las condiciones de trabajo?</v>
      </c>
      <c r="C103" s="1">
        <f t="shared" ref="C103:X103" ca="1" si="83">RANK(C50,INDIRECT("C"&amp;$A50&amp;":"&amp;$C$54&amp;$A50),0)</f>
        <v>3</v>
      </c>
      <c r="D103" s="1">
        <f t="shared" ca="1" si="83"/>
        <v>3</v>
      </c>
      <c r="E103" s="1">
        <f t="shared" ca="1" si="83"/>
        <v>1</v>
      </c>
      <c r="F103" s="1">
        <f t="shared" ca="1" si="83"/>
        <v>3</v>
      </c>
      <c r="G103" s="1">
        <f t="shared" ca="1" si="83"/>
        <v>3</v>
      </c>
      <c r="H103" s="1">
        <f t="shared" ca="1" si="83"/>
        <v>3</v>
      </c>
      <c r="I103" s="1">
        <f t="shared" ca="1" si="83"/>
        <v>3</v>
      </c>
      <c r="J103" s="1">
        <f t="shared" ca="1" si="83"/>
        <v>3</v>
      </c>
      <c r="K103" s="1">
        <f t="shared" ca="1" si="83"/>
        <v>3</v>
      </c>
      <c r="L103" s="1">
        <f t="shared" ca="1" si="83"/>
        <v>3</v>
      </c>
      <c r="M103" s="1">
        <f t="shared" ca="1" si="83"/>
        <v>1</v>
      </c>
      <c r="N103" s="1">
        <f t="shared" ca="1" si="83"/>
        <v>3</v>
      </c>
      <c r="O103" s="1">
        <f t="shared" ca="1" si="83"/>
        <v>3</v>
      </c>
      <c r="P103" s="1">
        <f t="shared" ca="1" si="83"/>
        <v>3</v>
      </c>
      <c r="Q103" s="1">
        <f t="shared" ca="1" si="83"/>
        <v>3</v>
      </c>
      <c r="R103" s="1">
        <f t="shared" ca="1" si="83"/>
        <v>3</v>
      </c>
      <c r="S103" s="1">
        <f t="shared" ca="1" si="83"/>
        <v>3</v>
      </c>
      <c r="T103" s="1">
        <f t="shared" ca="1" si="83"/>
        <v>3</v>
      </c>
      <c r="U103" s="1">
        <f t="shared" ca="1" si="83"/>
        <v>3</v>
      </c>
      <c r="V103" s="1">
        <f t="shared" ca="1" si="83"/>
        <v>3</v>
      </c>
      <c r="W103" s="1">
        <f t="shared" ca="1" si="83"/>
        <v>3</v>
      </c>
      <c r="X103" s="1">
        <f t="shared" ca="1" si="83"/>
        <v>3</v>
      </c>
      <c r="AB103" s="28"/>
      <c r="AC103" s="28"/>
      <c r="AD103" s="28"/>
      <c r="AE103" s="28"/>
      <c r="AT103" s="28"/>
    </row>
    <row r="104" spans="1:46">
      <c r="A104" s="1">
        <v>104</v>
      </c>
      <c r="B104" s="1" t="str">
        <f t="shared" si="48"/>
        <v xml:space="preserve">   3.4.3) 36.¿Hay planes inclusivos de cierre de vertederos a cielo abierto?</v>
      </c>
      <c r="C104" s="1">
        <f t="shared" ref="C104:X104" ca="1" si="84">RANK(C51,INDIRECT("C"&amp;$A51&amp;":"&amp;$C$54&amp;$A51),0)</f>
        <v>11</v>
      </c>
      <c r="D104" s="1">
        <f t="shared" ca="1" si="84"/>
        <v>1</v>
      </c>
      <c r="E104" s="1">
        <f t="shared" ca="1" si="84"/>
        <v>1</v>
      </c>
      <c r="F104" s="1">
        <f t="shared" ca="1" si="84"/>
        <v>1</v>
      </c>
      <c r="G104" s="1">
        <f t="shared" ca="1" si="84"/>
        <v>1</v>
      </c>
      <c r="H104" s="1">
        <f t="shared" ca="1" si="84"/>
        <v>1</v>
      </c>
      <c r="I104" s="1">
        <f t="shared" ca="1" si="84"/>
        <v>11</v>
      </c>
      <c r="J104" s="1">
        <f t="shared" ca="1" si="84"/>
        <v>1</v>
      </c>
      <c r="K104" s="1">
        <f t="shared" ca="1" si="84"/>
        <v>1</v>
      </c>
      <c r="L104" s="1">
        <f t="shared" ca="1" si="84"/>
        <v>1</v>
      </c>
      <c r="M104" s="1">
        <f t="shared" ca="1" si="84"/>
        <v>1</v>
      </c>
      <c r="N104" s="1">
        <f t="shared" ca="1" si="84"/>
        <v>1</v>
      </c>
      <c r="O104" s="1">
        <f t="shared" ca="1" si="84"/>
        <v>11</v>
      </c>
      <c r="P104" s="1">
        <f t="shared" ca="1" si="84"/>
        <v>11</v>
      </c>
      <c r="Q104" s="1">
        <f t="shared" ca="1" si="84"/>
        <v>11</v>
      </c>
      <c r="R104" s="1">
        <f t="shared" ca="1" si="84"/>
        <v>11</v>
      </c>
      <c r="S104" s="1">
        <f t="shared" ca="1" si="84"/>
        <v>11</v>
      </c>
      <c r="T104" s="1">
        <f t="shared" ca="1" si="84"/>
        <v>11</v>
      </c>
      <c r="U104" s="1">
        <f t="shared" ca="1" si="84"/>
        <v>11</v>
      </c>
      <c r="V104" s="1">
        <f t="shared" ca="1" si="84"/>
        <v>11</v>
      </c>
      <c r="W104" s="1">
        <f t="shared" ca="1" si="84"/>
        <v>11</v>
      </c>
      <c r="X104" s="1">
        <f t="shared" ca="1" si="84"/>
        <v>11</v>
      </c>
      <c r="AB104" s="28"/>
      <c r="AC104" s="28"/>
      <c r="AD104" s="28"/>
      <c r="AE104" s="28"/>
      <c r="AT104" s="28"/>
    </row>
    <row r="105" spans="1:46">
      <c r="A105" s="1">
        <v>105</v>
      </c>
      <c r="B105" s="1" t="str">
        <f t="shared" si="48"/>
        <v xml:space="preserve">   3.4.4) 37.¿Los recicladores tienen acceso a herramientas de trabajo adecuadas?</v>
      </c>
      <c r="C105" s="1">
        <f t="shared" ref="C105:X105" ca="1" si="85">RANK(C52,INDIRECT("C"&amp;$A52&amp;":"&amp;$C$54&amp;$A52),0)</f>
        <v>8</v>
      </c>
      <c r="D105" s="1">
        <f t="shared" ca="1" si="85"/>
        <v>2</v>
      </c>
      <c r="E105" s="1">
        <f t="shared" ca="1" si="85"/>
        <v>1</v>
      </c>
      <c r="F105" s="1">
        <f t="shared" ca="1" si="85"/>
        <v>2</v>
      </c>
      <c r="G105" s="1">
        <f t="shared" ca="1" si="85"/>
        <v>8</v>
      </c>
      <c r="H105" s="1">
        <f t="shared" ca="1" si="85"/>
        <v>2</v>
      </c>
      <c r="I105" s="1">
        <f t="shared" ca="1" si="85"/>
        <v>8</v>
      </c>
      <c r="J105" s="1">
        <f t="shared" ca="1" si="85"/>
        <v>8</v>
      </c>
      <c r="K105" s="1">
        <f t="shared" ca="1" si="85"/>
        <v>8</v>
      </c>
      <c r="L105" s="1">
        <f t="shared" ca="1" si="85"/>
        <v>2</v>
      </c>
      <c r="M105" s="1">
        <f t="shared" ca="1" si="85"/>
        <v>2</v>
      </c>
      <c r="N105" s="1">
        <f t="shared" ca="1" si="85"/>
        <v>2</v>
      </c>
      <c r="O105" s="1">
        <f t="shared" ca="1" si="85"/>
        <v>8</v>
      </c>
      <c r="P105" s="1">
        <f t="shared" ca="1" si="85"/>
        <v>8</v>
      </c>
      <c r="Q105" s="1">
        <f t="shared" ca="1" si="85"/>
        <v>8</v>
      </c>
      <c r="R105" s="1">
        <f t="shared" ca="1" si="85"/>
        <v>8</v>
      </c>
      <c r="S105" s="1">
        <f t="shared" ca="1" si="85"/>
        <v>8</v>
      </c>
      <c r="T105" s="1">
        <f t="shared" ca="1" si="85"/>
        <v>8</v>
      </c>
      <c r="U105" s="1">
        <f t="shared" ca="1" si="85"/>
        <v>8</v>
      </c>
      <c r="V105" s="1">
        <f t="shared" ca="1" si="85"/>
        <v>8</v>
      </c>
      <c r="W105" s="1">
        <f t="shared" ca="1" si="85"/>
        <v>8</v>
      </c>
      <c r="X105" s="1">
        <f t="shared" ca="1" si="85"/>
        <v>8</v>
      </c>
      <c r="AB105" s="28"/>
      <c r="AC105" s="28"/>
      <c r="AD105" s="28"/>
      <c r="AE105" s="28"/>
      <c r="AT105" s="28"/>
    </row>
    <row r="109" spans="1:46">
      <c r="B109" s="1" t="str">
        <f t="shared" ref="B109:B117" si="86">B55</f>
        <v>CATEGORÍA</v>
      </c>
      <c r="C109" s="1">
        <f ca="1">COUNTIF(INDIRECT("C"&amp;$A55&amp;":"&amp;$C$54&amp;$A55),C55)</f>
        <v>1</v>
      </c>
      <c r="D109" s="1">
        <f t="shared" ref="D109:X109" ca="1" si="87">COUNTIF(INDIRECT("C"&amp;$A55&amp;":"&amp;$C$54&amp;$A55),D55)</f>
        <v>1</v>
      </c>
      <c r="E109" s="1">
        <f t="shared" ca="1" si="87"/>
        <v>1</v>
      </c>
      <c r="F109" s="1">
        <f t="shared" ca="1" si="87"/>
        <v>2</v>
      </c>
      <c r="G109" s="1">
        <f t="shared" ca="1" si="87"/>
        <v>1</v>
      </c>
      <c r="H109" s="1">
        <f t="shared" ca="1" si="87"/>
        <v>1</v>
      </c>
      <c r="I109" s="1">
        <f t="shared" ca="1" si="87"/>
        <v>1</v>
      </c>
      <c r="J109" s="1">
        <f t="shared" ca="1" si="87"/>
        <v>1</v>
      </c>
      <c r="K109" s="1">
        <f t="shared" ca="1" si="87"/>
        <v>2</v>
      </c>
      <c r="L109" s="1">
        <f t="shared" ca="1" si="87"/>
        <v>1</v>
      </c>
      <c r="M109" s="1">
        <f t="shared" ca="1" si="87"/>
        <v>1</v>
      </c>
      <c r="N109" s="1">
        <f t="shared" ca="1" si="87"/>
        <v>1</v>
      </c>
      <c r="O109" s="1">
        <f t="shared" ca="1" si="87"/>
        <v>0</v>
      </c>
      <c r="P109" s="1">
        <f t="shared" ca="1" si="87"/>
        <v>0</v>
      </c>
      <c r="Q109" s="1">
        <f t="shared" ca="1" si="87"/>
        <v>0</v>
      </c>
      <c r="R109" s="1">
        <f t="shared" ca="1" si="87"/>
        <v>0</v>
      </c>
      <c r="S109" s="1">
        <f t="shared" ca="1" si="87"/>
        <v>0</v>
      </c>
      <c r="T109" s="1">
        <f t="shared" ca="1" si="87"/>
        <v>0</v>
      </c>
      <c r="U109" s="1">
        <f t="shared" ca="1" si="87"/>
        <v>0</v>
      </c>
      <c r="V109" s="1">
        <f t="shared" ca="1" si="87"/>
        <v>0</v>
      </c>
      <c r="W109" s="1">
        <f t="shared" ca="1" si="87"/>
        <v>0</v>
      </c>
      <c r="X109" s="1">
        <f t="shared" ca="1" si="87"/>
        <v>0</v>
      </c>
    </row>
    <row r="110" spans="1:46">
      <c r="B110" s="1" t="str">
        <f t="shared" si="86"/>
        <v xml:space="preserve"> 1) NORMATIVA</v>
      </c>
      <c r="C110" s="1">
        <f t="shared" ref="C110:X110" ca="1" si="88">COUNTIF(INDIRECT("C"&amp;$A56&amp;":"&amp;$C$54&amp;$A56),C56)</f>
        <v>1</v>
      </c>
      <c r="D110" s="1">
        <f t="shared" ca="1" si="88"/>
        <v>2</v>
      </c>
      <c r="E110" s="1">
        <f t="shared" ca="1" si="88"/>
        <v>1</v>
      </c>
      <c r="F110" s="1">
        <f t="shared" ca="1" si="88"/>
        <v>1</v>
      </c>
      <c r="G110" s="1">
        <f t="shared" ca="1" si="88"/>
        <v>1</v>
      </c>
      <c r="H110" s="1">
        <f t="shared" ca="1" si="88"/>
        <v>2</v>
      </c>
      <c r="I110" s="1">
        <f t="shared" ca="1" si="88"/>
        <v>1</v>
      </c>
      <c r="J110" s="1">
        <f t="shared" ca="1" si="88"/>
        <v>1</v>
      </c>
      <c r="K110" s="1">
        <f t="shared" ca="1" si="88"/>
        <v>1</v>
      </c>
      <c r="L110" s="1">
        <f t="shared" ca="1" si="88"/>
        <v>1</v>
      </c>
      <c r="M110" s="1">
        <f t="shared" ca="1" si="88"/>
        <v>1</v>
      </c>
      <c r="N110" s="1">
        <f t="shared" ca="1" si="88"/>
        <v>1</v>
      </c>
      <c r="O110" s="1">
        <f t="shared" ca="1" si="88"/>
        <v>0</v>
      </c>
      <c r="P110" s="1">
        <f t="shared" ca="1" si="88"/>
        <v>0</v>
      </c>
      <c r="Q110" s="1">
        <f t="shared" ca="1" si="88"/>
        <v>0</v>
      </c>
      <c r="R110" s="1">
        <f t="shared" ca="1" si="88"/>
        <v>0</v>
      </c>
      <c r="S110" s="1">
        <f t="shared" ca="1" si="88"/>
        <v>0</v>
      </c>
      <c r="T110" s="1">
        <f t="shared" ca="1" si="88"/>
        <v>0</v>
      </c>
      <c r="U110" s="1">
        <f t="shared" ca="1" si="88"/>
        <v>0</v>
      </c>
      <c r="V110" s="1">
        <f t="shared" ca="1" si="88"/>
        <v>0</v>
      </c>
      <c r="W110" s="1">
        <f t="shared" ca="1" si="88"/>
        <v>0</v>
      </c>
      <c r="X110" s="1">
        <f t="shared" ca="1" si="88"/>
        <v>0</v>
      </c>
      <c r="AB110" s="28"/>
      <c r="AC110" s="28"/>
      <c r="AD110" s="28"/>
      <c r="AE110" s="28"/>
      <c r="AT110" s="28"/>
    </row>
    <row r="111" spans="1:46">
      <c r="B111" s="1" t="str">
        <f t="shared" si="86"/>
        <v xml:space="preserve">  1.1) Normativa sobre gestión de residuos</v>
      </c>
      <c r="C111" s="1">
        <f t="shared" ref="C111:X111" ca="1" si="89">COUNTIF(INDIRECT("C"&amp;$A57&amp;":"&amp;$C$54&amp;$A57),C57)</f>
        <v>3</v>
      </c>
      <c r="D111" s="1">
        <f t="shared" ca="1" si="89"/>
        <v>3</v>
      </c>
      <c r="E111" s="1">
        <f t="shared" ca="1" si="89"/>
        <v>3</v>
      </c>
      <c r="F111" s="1">
        <f t="shared" ca="1" si="89"/>
        <v>2</v>
      </c>
      <c r="G111" s="1">
        <f t="shared" ca="1" si="89"/>
        <v>2</v>
      </c>
      <c r="H111" s="1">
        <f t="shared" ca="1" si="89"/>
        <v>3</v>
      </c>
      <c r="I111" s="1">
        <f t="shared" ca="1" si="89"/>
        <v>1</v>
      </c>
      <c r="J111" s="1">
        <f t="shared" ca="1" si="89"/>
        <v>1</v>
      </c>
      <c r="K111" s="1">
        <f t="shared" ca="1" si="89"/>
        <v>3</v>
      </c>
      <c r="L111" s="1">
        <f t="shared" ca="1" si="89"/>
        <v>1</v>
      </c>
      <c r="M111" s="1">
        <f t="shared" ca="1" si="89"/>
        <v>3</v>
      </c>
      <c r="N111" s="1">
        <f t="shared" ca="1" si="89"/>
        <v>1</v>
      </c>
      <c r="O111" s="1">
        <f t="shared" ca="1" si="89"/>
        <v>1</v>
      </c>
      <c r="P111" s="1">
        <f t="shared" ca="1" si="89"/>
        <v>2</v>
      </c>
      <c r="Q111" s="1">
        <f t="shared" ca="1" si="89"/>
        <v>2</v>
      </c>
      <c r="R111" s="1">
        <f t="shared" ca="1" si="89"/>
        <v>2</v>
      </c>
      <c r="S111" s="1">
        <f t="shared" ca="1" si="89"/>
        <v>2</v>
      </c>
      <c r="T111" s="1">
        <f t="shared" ca="1" si="89"/>
        <v>2</v>
      </c>
      <c r="U111" s="1">
        <f t="shared" ca="1" si="89"/>
        <v>2</v>
      </c>
      <c r="V111" s="1">
        <f t="shared" ca="1" si="89"/>
        <v>2</v>
      </c>
      <c r="W111" s="1">
        <f t="shared" ca="1" si="89"/>
        <v>2</v>
      </c>
      <c r="X111" s="1">
        <f t="shared" ca="1" si="89"/>
        <v>2</v>
      </c>
      <c r="AB111" s="28"/>
      <c r="AC111" s="28"/>
      <c r="AD111" s="28"/>
      <c r="AE111" s="28"/>
      <c r="AT111" s="28"/>
    </row>
    <row r="112" spans="1:46">
      <c r="B112" s="1" t="str">
        <f t="shared" si="86"/>
        <v xml:space="preserve">   1.1.1) 1.¿ Existe un marco legal nacional para la gestión de residuos orientado al reciclaje con la inclusión de actores informales?</v>
      </c>
      <c r="C112" s="1">
        <f t="shared" ref="C112:X112" ca="1" si="90">COUNTIF(INDIRECT("C"&amp;$A58&amp;":"&amp;$C$54&amp;$A58),C58)</f>
        <v>5</v>
      </c>
      <c r="D112" s="1">
        <f t="shared" ca="1" si="90"/>
        <v>5</v>
      </c>
      <c r="E112" s="1">
        <f t="shared" ca="1" si="90"/>
        <v>5</v>
      </c>
      <c r="F112" s="1">
        <f t="shared" ca="1" si="90"/>
        <v>5</v>
      </c>
      <c r="G112" s="1">
        <f t="shared" ca="1" si="90"/>
        <v>5</v>
      </c>
      <c r="H112" s="1">
        <f t="shared" ca="1" si="90"/>
        <v>2</v>
      </c>
      <c r="I112" s="1">
        <f t="shared" ca="1" si="90"/>
        <v>5</v>
      </c>
      <c r="J112" s="1">
        <f t="shared" ca="1" si="90"/>
        <v>5</v>
      </c>
      <c r="K112" s="1">
        <f t="shared" ca="1" si="90"/>
        <v>5</v>
      </c>
      <c r="L112" s="1">
        <f t="shared" ca="1" si="90"/>
        <v>2</v>
      </c>
      <c r="M112" s="1">
        <f t="shared" ca="1" si="90"/>
        <v>5</v>
      </c>
      <c r="N112" s="1">
        <f t="shared" ca="1" si="90"/>
        <v>5</v>
      </c>
      <c r="O112" s="1">
        <f t="shared" ca="1" si="90"/>
        <v>5</v>
      </c>
      <c r="P112" s="1">
        <f t="shared" ca="1" si="90"/>
        <v>5</v>
      </c>
      <c r="Q112" s="1">
        <f t="shared" ca="1" si="90"/>
        <v>5</v>
      </c>
      <c r="R112" s="1">
        <f t="shared" ca="1" si="90"/>
        <v>5</v>
      </c>
      <c r="S112" s="1">
        <f t="shared" ca="1" si="90"/>
        <v>5</v>
      </c>
      <c r="T112" s="1">
        <f t="shared" ca="1" si="90"/>
        <v>5</v>
      </c>
      <c r="U112" s="1">
        <f t="shared" ca="1" si="90"/>
        <v>5</v>
      </c>
      <c r="V112" s="1">
        <f t="shared" ca="1" si="90"/>
        <v>5</v>
      </c>
      <c r="W112" s="1">
        <f t="shared" ca="1" si="90"/>
        <v>5</v>
      </c>
      <c r="X112" s="1">
        <f t="shared" ca="1" si="90"/>
        <v>5</v>
      </c>
      <c r="AB112" s="28"/>
      <c r="AC112" s="28"/>
      <c r="AD112" s="28"/>
      <c r="AE112" s="28"/>
      <c r="AT112" s="28"/>
    </row>
    <row r="113" spans="2:46" hidden="1">
      <c r="B113" s="1" t="str">
        <f t="shared" si="86"/>
        <v xml:space="preserve">   1.1.2) 2.¿Existe un marco legal municipal para la gestión de residuos orientado al reciclaje y la inclusión de actores informales?</v>
      </c>
      <c r="C113" s="1">
        <f t="shared" ref="C113:X113" ca="1" si="91">COUNTIF(INDIRECT("C"&amp;$A59&amp;":"&amp;$C$54&amp;$A59),C59)</f>
        <v>3</v>
      </c>
      <c r="D113" s="1">
        <f t="shared" ca="1" si="91"/>
        <v>5</v>
      </c>
      <c r="E113" s="1">
        <f t="shared" ca="1" si="91"/>
        <v>5</v>
      </c>
      <c r="F113" s="1">
        <f t="shared" ca="1" si="91"/>
        <v>4</v>
      </c>
      <c r="G113" s="1">
        <f t="shared" ca="1" si="91"/>
        <v>4</v>
      </c>
      <c r="H113" s="1">
        <f t="shared" ca="1" si="91"/>
        <v>5</v>
      </c>
      <c r="I113" s="1">
        <f t="shared" ca="1" si="91"/>
        <v>4</v>
      </c>
      <c r="J113" s="1">
        <f t="shared" ca="1" si="91"/>
        <v>5</v>
      </c>
      <c r="K113" s="1">
        <f t="shared" ca="1" si="91"/>
        <v>3</v>
      </c>
      <c r="L113" s="1">
        <f t="shared" ca="1" si="91"/>
        <v>5</v>
      </c>
      <c r="M113" s="1">
        <f t="shared" ca="1" si="91"/>
        <v>4</v>
      </c>
      <c r="N113" s="1">
        <f t="shared" ca="1" si="91"/>
        <v>3</v>
      </c>
      <c r="O113" s="1">
        <f t="shared" ca="1" si="91"/>
        <v>4</v>
      </c>
      <c r="P113" s="1">
        <f t="shared" ca="1" si="91"/>
        <v>4</v>
      </c>
      <c r="Q113" s="1">
        <f t="shared" ca="1" si="91"/>
        <v>4</v>
      </c>
      <c r="R113" s="1">
        <f t="shared" ca="1" si="91"/>
        <v>4</v>
      </c>
      <c r="S113" s="1">
        <f t="shared" ca="1" si="91"/>
        <v>4</v>
      </c>
      <c r="T113" s="1">
        <f t="shared" ca="1" si="91"/>
        <v>4</v>
      </c>
      <c r="U113" s="1">
        <f t="shared" ca="1" si="91"/>
        <v>4</v>
      </c>
      <c r="V113" s="1">
        <f t="shared" ca="1" si="91"/>
        <v>4</v>
      </c>
      <c r="W113" s="1">
        <f t="shared" ca="1" si="91"/>
        <v>4</v>
      </c>
      <c r="X113" s="1">
        <f t="shared" ca="1" si="91"/>
        <v>4</v>
      </c>
      <c r="AB113" s="28"/>
      <c r="AC113" s="28"/>
      <c r="AD113" s="28"/>
      <c r="AE113" s="28"/>
      <c r="AT113" s="28"/>
    </row>
    <row r="114" spans="2:46" hidden="1">
      <c r="B114" s="1" t="str">
        <f t="shared" si="86"/>
        <v xml:space="preserve">   1.1.3) 3.¿Son las políticas municipales suficientemente estables para garantizar la continuidad en materia de políticas de reciclaje inclusivo?</v>
      </c>
      <c r="C114" s="1">
        <f t="shared" ref="C114:X114" ca="1" si="92">COUNTIF(INDIRECT("C"&amp;$A60&amp;":"&amp;$C$54&amp;$A60),C60)</f>
        <v>4</v>
      </c>
      <c r="D114" s="1">
        <f t="shared" ca="1" si="92"/>
        <v>4</v>
      </c>
      <c r="E114" s="1">
        <f t="shared" ca="1" si="92"/>
        <v>2</v>
      </c>
      <c r="F114" s="1">
        <f t="shared" ca="1" si="92"/>
        <v>6</v>
      </c>
      <c r="G114" s="1">
        <f t="shared" ca="1" si="92"/>
        <v>6</v>
      </c>
      <c r="H114" s="1">
        <f t="shared" ca="1" si="92"/>
        <v>6</v>
      </c>
      <c r="I114" s="1">
        <f t="shared" ca="1" si="92"/>
        <v>6</v>
      </c>
      <c r="J114" s="1">
        <f t="shared" ca="1" si="92"/>
        <v>4</v>
      </c>
      <c r="K114" s="1">
        <f t="shared" ca="1" si="92"/>
        <v>6</v>
      </c>
      <c r="L114" s="1">
        <f t="shared" ca="1" si="92"/>
        <v>2</v>
      </c>
      <c r="M114" s="1">
        <f t="shared" ca="1" si="92"/>
        <v>4</v>
      </c>
      <c r="N114" s="1">
        <f t="shared" ca="1" si="92"/>
        <v>6</v>
      </c>
      <c r="O114" s="1">
        <f t="shared" ca="1" si="92"/>
        <v>6</v>
      </c>
      <c r="P114" s="1">
        <f t="shared" ca="1" si="92"/>
        <v>6</v>
      </c>
      <c r="Q114" s="1">
        <f t="shared" ca="1" si="92"/>
        <v>6</v>
      </c>
      <c r="R114" s="1">
        <f t="shared" ca="1" si="92"/>
        <v>6</v>
      </c>
      <c r="S114" s="1">
        <f t="shared" ca="1" si="92"/>
        <v>6</v>
      </c>
      <c r="T114" s="1">
        <f t="shared" ca="1" si="92"/>
        <v>6</v>
      </c>
      <c r="U114" s="1">
        <f t="shared" ca="1" si="92"/>
        <v>6</v>
      </c>
      <c r="V114" s="1">
        <f t="shared" ca="1" si="92"/>
        <v>6</v>
      </c>
      <c r="W114" s="1">
        <f t="shared" ca="1" si="92"/>
        <v>6</v>
      </c>
      <c r="X114" s="1">
        <f t="shared" ca="1" si="92"/>
        <v>6</v>
      </c>
      <c r="AB114" s="28"/>
      <c r="AC114" s="28"/>
      <c r="AD114" s="28"/>
      <c r="AE114" s="28"/>
      <c r="AT114" s="28"/>
    </row>
    <row r="115" spans="2:46" hidden="1">
      <c r="B115" s="1" t="str">
        <f t="shared" si="86"/>
        <v xml:space="preserve">   1.1.4) 4.¿Existe un presupuesto (o mecanismo de financiación) municipal asignado para el reciclaje inclusivo?</v>
      </c>
      <c r="C115" s="1">
        <f t="shared" ref="C115:X115" ca="1" si="93">COUNTIF(INDIRECT("C"&amp;$A61&amp;":"&amp;$C$54&amp;$A61),C61)</f>
        <v>6</v>
      </c>
      <c r="D115" s="1">
        <f t="shared" ca="1" si="93"/>
        <v>6</v>
      </c>
      <c r="E115" s="1">
        <f t="shared" ca="1" si="93"/>
        <v>6</v>
      </c>
      <c r="F115" s="1">
        <f t="shared" ca="1" si="93"/>
        <v>6</v>
      </c>
      <c r="G115" s="1">
        <f t="shared" ca="1" si="93"/>
        <v>6</v>
      </c>
      <c r="H115" s="1">
        <f t="shared" ca="1" si="93"/>
        <v>6</v>
      </c>
      <c r="I115" s="1">
        <f t="shared" ca="1" si="93"/>
        <v>6</v>
      </c>
      <c r="J115" s="1">
        <f t="shared" ca="1" si="93"/>
        <v>6</v>
      </c>
      <c r="K115" s="1">
        <f t="shared" ca="1" si="93"/>
        <v>6</v>
      </c>
      <c r="L115" s="1">
        <f t="shared" ca="1" si="93"/>
        <v>6</v>
      </c>
      <c r="M115" s="1">
        <f t="shared" ca="1" si="93"/>
        <v>6</v>
      </c>
      <c r="N115" s="1">
        <f t="shared" ca="1" si="93"/>
        <v>6</v>
      </c>
      <c r="O115" s="1">
        <f t="shared" ca="1" si="93"/>
        <v>6</v>
      </c>
      <c r="P115" s="1">
        <f t="shared" ca="1" si="93"/>
        <v>6</v>
      </c>
      <c r="Q115" s="1">
        <f t="shared" ca="1" si="93"/>
        <v>6</v>
      </c>
      <c r="R115" s="1">
        <f t="shared" ca="1" si="93"/>
        <v>6</v>
      </c>
      <c r="S115" s="1">
        <f t="shared" ca="1" si="93"/>
        <v>6</v>
      </c>
      <c r="T115" s="1">
        <f t="shared" ca="1" si="93"/>
        <v>6</v>
      </c>
      <c r="U115" s="1">
        <f t="shared" ca="1" si="93"/>
        <v>6</v>
      </c>
      <c r="V115" s="1">
        <f t="shared" ca="1" si="93"/>
        <v>6</v>
      </c>
      <c r="W115" s="1">
        <f t="shared" ca="1" si="93"/>
        <v>6</v>
      </c>
      <c r="X115" s="1">
        <f t="shared" ca="1" si="93"/>
        <v>6</v>
      </c>
      <c r="AB115" s="28"/>
      <c r="AC115" s="28"/>
      <c r="AD115" s="28"/>
      <c r="AE115" s="28"/>
      <c r="AT115" s="28"/>
    </row>
    <row r="116" spans="2:46" hidden="1">
      <c r="B116" s="1" t="str">
        <f t="shared" si="86"/>
        <v xml:space="preserve">  1.2) Integración del reciclador de base</v>
      </c>
      <c r="C116" s="1">
        <f t="shared" ref="C116:X116" ca="1" si="94">COUNTIF(INDIRECT("C"&amp;$A62&amp;":"&amp;$C$54&amp;$A62),C62)</f>
        <v>3</v>
      </c>
      <c r="D116" s="1">
        <f t="shared" ca="1" si="94"/>
        <v>2</v>
      </c>
      <c r="E116" s="1">
        <f t="shared" ca="1" si="94"/>
        <v>1</v>
      </c>
      <c r="F116" s="1">
        <f t="shared" ca="1" si="94"/>
        <v>1</v>
      </c>
      <c r="G116" s="1">
        <f t="shared" ca="1" si="94"/>
        <v>1</v>
      </c>
      <c r="H116" s="1">
        <f t="shared" ca="1" si="94"/>
        <v>2</v>
      </c>
      <c r="I116" s="1">
        <f t="shared" ca="1" si="94"/>
        <v>1</v>
      </c>
      <c r="J116" s="1">
        <f t="shared" ca="1" si="94"/>
        <v>3</v>
      </c>
      <c r="K116" s="1">
        <f t="shared" ca="1" si="94"/>
        <v>1</v>
      </c>
      <c r="L116" s="1">
        <f t="shared" ca="1" si="94"/>
        <v>1</v>
      </c>
      <c r="M116" s="1">
        <f t="shared" ca="1" si="94"/>
        <v>1</v>
      </c>
      <c r="N116" s="1">
        <f t="shared" ca="1" si="94"/>
        <v>3</v>
      </c>
      <c r="O116" s="1">
        <f t="shared" ca="1" si="94"/>
        <v>0</v>
      </c>
      <c r="P116" s="1">
        <f t="shared" ca="1" si="94"/>
        <v>0</v>
      </c>
      <c r="Q116" s="1">
        <f t="shared" ca="1" si="94"/>
        <v>0</v>
      </c>
      <c r="R116" s="1">
        <f t="shared" ca="1" si="94"/>
        <v>0</v>
      </c>
      <c r="S116" s="1">
        <f t="shared" ca="1" si="94"/>
        <v>0</v>
      </c>
      <c r="T116" s="1">
        <f t="shared" ca="1" si="94"/>
        <v>0</v>
      </c>
      <c r="U116" s="1">
        <f t="shared" ca="1" si="94"/>
        <v>0</v>
      </c>
      <c r="V116" s="1">
        <f t="shared" ca="1" si="94"/>
        <v>0</v>
      </c>
      <c r="W116" s="1">
        <f t="shared" ca="1" si="94"/>
        <v>0</v>
      </c>
      <c r="X116" s="1">
        <f t="shared" ca="1" si="94"/>
        <v>0</v>
      </c>
      <c r="AB116" s="28"/>
      <c r="AC116" s="28"/>
      <c r="AD116" s="28"/>
      <c r="AE116" s="28"/>
      <c r="AT116" s="28"/>
    </row>
    <row r="117" spans="2:46" hidden="1">
      <c r="B117" s="1" t="str">
        <f t="shared" si="86"/>
        <v xml:space="preserve">   1.2.1) 5.¿Existe reconocimiento legal de la ocupación de reciclador de base?</v>
      </c>
      <c r="C117" s="1">
        <f t="shared" ref="C117:X117" ca="1" si="95">COUNTIF(INDIRECT("C"&amp;$A63&amp;":"&amp;$C$54&amp;$A63),C63)</f>
        <v>8</v>
      </c>
      <c r="D117" s="1">
        <f t="shared" ca="1" si="95"/>
        <v>4</v>
      </c>
      <c r="E117" s="1">
        <f t="shared" ca="1" si="95"/>
        <v>4</v>
      </c>
      <c r="F117" s="1">
        <f t="shared" ca="1" si="95"/>
        <v>8</v>
      </c>
      <c r="G117" s="1">
        <f t="shared" ca="1" si="95"/>
        <v>8</v>
      </c>
      <c r="H117" s="1">
        <f t="shared" ca="1" si="95"/>
        <v>4</v>
      </c>
      <c r="I117" s="1">
        <f t="shared" ca="1" si="95"/>
        <v>8</v>
      </c>
      <c r="J117" s="1">
        <f t="shared" ca="1" si="95"/>
        <v>8</v>
      </c>
      <c r="K117" s="1">
        <f t="shared" ca="1" si="95"/>
        <v>8</v>
      </c>
      <c r="L117" s="1">
        <f t="shared" ca="1" si="95"/>
        <v>4</v>
      </c>
      <c r="M117" s="1">
        <f t="shared" ca="1" si="95"/>
        <v>8</v>
      </c>
      <c r="N117" s="1">
        <f t="shared" ca="1" si="95"/>
        <v>8</v>
      </c>
      <c r="O117" s="1">
        <f t="shared" ca="1" si="95"/>
        <v>8</v>
      </c>
      <c r="P117" s="1">
        <f t="shared" ca="1" si="95"/>
        <v>8</v>
      </c>
      <c r="Q117" s="1">
        <f t="shared" ca="1" si="95"/>
        <v>8</v>
      </c>
      <c r="R117" s="1">
        <f t="shared" ca="1" si="95"/>
        <v>8</v>
      </c>
      <c r="S117" s="1">
        <f t="shared" ca="1" si="95"/>
        <v>8</v>
      </c>
      <c r="T117" s="1">
        <f t="shared" ca="1" si="95"/>
        <v>8</v>
      </c>
      <c r="U117" s="1">
        <f t="shared" ca="1" si="95"/>
        <v>8</v>
      </c>
      <c r="V117" s="1">
        <f t="shared" ca="1" si="95"/>
        <v>8</v>
      </c>
      <c r="W117" s="1">
        <f t="shared" ca="1" si="95"/>
        <v>8</v>
      </c>
      <c r="X117" s="1">
        <f t="shared" ca="1" si="95"/>
        <v>8</v>
      </c>
      <c r="AB117" s="28"/>
      <c r="AC117" s="28"/>
      <c r="AD117" s="28"/>
      <c r="AE117" s="28"/>
      <c r="AT117" s="28"/>
    </row>
    <row r="118" spans="2:46" hidden="1">
      <c r="B118" s="1" t="str">
        <f t="shared" ref="B118:B159" si="96">B64</f>
        <v xml:space="preserve">   1.2.2) 6.¿Se reconoce a los recicladores de base como prestadores de servicio en la gestión de residuos?</v>
      </c>
      <c r="C118" s="1">
        <f t="shared" ref="C118:X118" ca="1" si="97">COUNTIF(INDIRECT("C"&amp;$A64&amp;":"&amp;$C$54&amp;$A64),C64)</f>
        <v>5</v>
      </c>
      <c r="D118" s="1">
        <f t="shared" ca="1" si="97"/>
        <v>3</v>
      </c>
      <c r="E118" s="1">
        <f t="shared" ca="1" si="97"/>
        <v>3</v>
      </c>
      <c r="F118" s="1">
        <f t="shared" ca="1" si="97"/>
        <v>4</v>
      </c>
      <c r="G118" s="1">
        <f t="shared" ca="1" si="97"/>
        <v>4</v>
      </c>
      <c r="H118" s="1">
        <f t="shared" ca="1" si="97"/>
        <v>5</v>
      </c>
      <c r="I118" s="1">
        <f t="shared" ca="1" si="97"/>
        <v>5</v>
      </c>
      <c r="J118" s="1">
        <f t="shared" ca="1" si="97"/>
        <v>5</v>
      </c>
      <c r="K118" s="1">
        <f t="shared" ca="1" si="97"/>
        <v>4</v>
      </c>
      <c r="L118" s="1">
        <f t="shared" ca="1" si="97"/>
        <v>3</v>
      </c>
      <c r="M118" s="1">
        <f t="shared" ca="1" si="97"/>
        <v>5</v>
      </c>
      <c r="N118" s="1">
        <f t="shared" ca="1" si="97"/>
        <v>4</v>
      </c>
      <c r="O118" s="1">
        <f t="shared" ca="1" si="97"/>
        <v>4</v>
      </c>
      <c r="P118" s="1">
        <f t="shared" ca="1" si="97"/>
        <v>4</v>
      </c>
      <c r="Q118" s="1">
        <f t="shared" ca="1" si="97"/>
        <v>4</v>
      </c>
      <c r="R118" s="1">
        <f t="shared" ca="1" si="97"/>
        <v>4</v>
      </c>
      <c r="S118" s="1">
        <f t="shared" ca="1" si="97"/>
        <v>4</v>
      </c>
      <c r="T118" s="1">
        <f t="shared" ca="1" si="97"/>
        <v>4</v>
      </c>
      <c r="U118" s="1">
        <f t="shared" ca="1" si="97"/>
        <v>4</v>
      </c>
      <c r="V118" s="1">
        <f t="shared" ca="1" si="97"/>
        <v>4</v>
      </c>
      <c r="W118" s="1">
        <f t="shared" ca="1" si="97"/>
        <v>4</v>
      </c>
      <c r="X118" s="1">
        <f t="shared" ca="1" si="97"/>
        <v>4</v>
      </c>
      <c r="AB118" s="28"/>
      <c r="AC118" s="28"/>
      <c r="AD118" s="28"/>
      <c r="AE118" s="28"/>
      <c r="AT118" s="28"/>
    </row>
    <row r="119" spans="2:46" hidden="1">
      <c r="B119" s="1" t="str">
        <f t="shared" si="96"/>
        <v xml:space="preserve">   1.2.3) 7.¿Se ha identificado la población de recicladores de base a través de un censo?</v>
      </c>
      <c r="C119" s="1">
        <f t="shared" ref="C119:X119" ca="1" si="98">COUNTIF(INDIRECT("C"&amp;$A65&amp;":"&amp;$C$54&amp;$A65),C65)</f>
        <v>7</v>
      </c>
      <c r="D119" s="1">
        <f t="shared" ca="1" si="98"/>
        <v>5</v>
      </c>
      <c r="E119" s="1">
        <f t="shared" ca="1" si="98"/>
        <v>7</v>
      </c>
      <c r="F119" s="1">
        <f t="shared" ca="1" si="98"/>
        <v>7</v>
      </c>
      <c r="G119" s="1">
        <f t="shared" ca="1" si="98"/>
        <v>7</v>
      </c>
      <c r="H119" s="1">
        <f t="shared" ca="1" si="98"/>
        <v>5</v>
      </c>
      <c r="I119" s="1">
        <f t="shared" ca="1" si="98"/>
        <v>5</v>
      </c>
      <c r="J119" s="1">
        <f t="shared" ca="1" si="98"/>
        <v>5</v>
      </c>
      <c r="K119" s="1">
        <f t="shared" ca="1" si="98"/>
        <v>7</v>
      </c>
      <c r="L119" s="1">
        <f t="shared" ca="1" si="98"/>
        <v>5</v>
      </c>
      <c r="M119" s="1">
        <f t="shared" ca="1" si="98"/>
        <v>7</v>
      </c>
      <c r="N119" s="1">
        <f t="shared" ca="1" si="98"/>
        <v>7</v>
      </c>
      <c r="O119" s="1">
        <f t="shared" ca="1" si="98"/>
        <v>7</v>
      </c>
      <c r="P119" s="1">
        <f t="shared" ca="1" si="98"/>
        <v>7</v>
      </c>
      <c r="Q119" s="1">
        <f t="shared" ca="1" si="98"/>
        <v>7</v>
      </c>
      <c r="R119" s="1">
        <f t="shared" ca="1" si="98"/>
        <v>7</v>
      </c>
      <c r="S119" s="1">
        <f t="shared" ca="1" si="98"/>
        <v>7</v>
      </c>
      <c r="T119" s="1">
        <f t="shared" ca="1" si="98"/>
        <v>7</v>
      </c>
      <c r="U119" s="1">
        <f t="shared" ca="1" si="98"/>
        <v>7</v>
      </c>
      <c r="V119" s="1">
        <f t="shared" ca="1" si="98"/>
        <v>7</v>
      </c>
      <c r="W119" s="1">
        <f t="shared" ca="1" si="98"/>
        <v>7</v>
      </c>
      <c r="X119" s="1">
        <f t="shared" ca="1" si="98"/>
        <v>7</v>
      </c>
      <c r="AB119" s="28"/>
      <c r="AC119" s="28"/>
      <c r="AD119" s="28"/>
      <c r="AE119" s="28"/>
      <c r="AT119" s="28"/>
    </row>
    <row r="120" spans="2:46" hidden="1">
      <c r="B120" s="1" t="str">
        <f t="shared" si="96"/>
        <v xml:space="preserve">   1.2.4) 8.¿Cuál es el grado de transparencia e inclusión en los procesos de licitación para el reciclaje?</v>
      </c>
      <c r="C120" s="1">
        <f t="shared" ref="C120:X120" ca="1" si="99">COUNTIF(INDIRECT("C"&amp;$A66&amp;":"&amp;$C$54&amp;$A66),C66)</f>
        <v>6</v>
      </c>
      <c r="D120" s="1">
        <f t="shared" ca="1" si="99"/>
        <v>6</v>
      </c>
      <c r="E120" s="1">
        <f t="shared" ca="1" si="99"/>
        <v>6</v>
      </c>
      <c r="F120" s="1">
        <f t="shared" ca="1" si="99"/>
        <v>6</v>
      </c>
      <c r="G120" s="1">
        <f t="shared" ca="1" si="99"/>
        <v>6</v>
      </c>
      <c r="H120" s="1">
        <f t="shared" ca="1" si="99"/>
        <v>6</v>
      </c>
      <c r="I120" s="1">
        <f t="shared" ca="1" si="99"/>
        <v>6</v>
      </c>
      <c r="J120" s="1">
        <f t="shared" ca="1" si="99"/>
        <v>6</v>
      </c>
      <c r="K120" s="1">
        <f t="shared" ca="1" si="99"/>
        <v>6</v>
      </c>
      <c r="L120" s="1">
        <f t="shared" ca="1" si="99"/>
        <v>6</v>
      </c>
      <c r="M120" s="1">
        <f t="shared" ca="1" si="99"/>
        <v>6</v>
      </c>
      <c r="N120" s="1">
        <f t="shared" ca="1" si="99"/>
        <v>6</v>
      </c>
      <c r="O120" s="1">
        <f t="shared" ca="1" si="99"/>
        <v>6</v>
      </c>
      <c r="P120" s="1">
        <f t="shared" ca="1" si="99"/>
        <v>6</v>
      </c>
      <c r="Q120" s="1">
        <f t="shared" ca="1" si="99"/>
        <v>6</v>
      </c>
      <c r="R120" s="1">
        <f t="shared" ca="1" si="99"/>
        <v>6</v>
      </c>
      <c r="S120" s="1">
        <f t="shared" ca="1" si="99"/>
        <v>6</v>
      </c>
      <c r="T120" s="1">
        <f t="shared" ca="1" si="99"/>
        <v>6</v>
      </c>
      <c r="U120" s="1">
        <f t="shared" ca="1" si="99"/>
        <v>6</v>
      </c>
      <c r="V120" s="1">
        <f t="shared" ca="1" si="99"/>
        <v>6</v>
      </c>
      <c r="W120" s="1">
        <f t="shared" ca="1" si="99"/>
        <v>6</v>
      </c>
      <c r="X120" s="1">
        <f t="shared" ca="1" si="99"/>
        <v>6</v>
      </c>
      <c r="AB120" s="28"/>
      <c r="AC120" s="28"/>
      <c r="AD120" s="28"/>
      <c r="AE120" s="28"/>
      <c r="AT120" s="28"/>
    </row>
    <row r="121" spans="2:46" hidden="1">
      <c r="B121" s="1" t="str">
        <f t="shared" si="96"/>
        <v xml:space="preserve">   1.2.5) 9.¿La normativa/ estrategia municipal de residuos sólidos: fue desarrollada de manera participativa?</v>
      </c>
      <c r="C121" s="1">
        <f t="shared" ref="C121:X121" ca="1" si="100">COUNTIF(INDIRECT("C"&amp;$A67&amp;":"&amp;$C$54&amp;$A67),C67)</f>
        <v>3</v>
      </c>
      <c r="D121" s="1">
        <f t="shared" ca="1" si="100"/>
        <v>5</v>
      </c>
      <c r="E121" s="1">
        <f t="shared" ca="1" si="100"/>
        <v>3</v>
      </c>
      <c r="F121" s="1">
        <f t="shared" ca="1" si="100"/>
        <v>4</v>
      </c>
      <c r="G121" s="1">
        <f t="shared" ca="1" si="100"/>
        <v>4</v>
      </c>
      <c r="H121" s="1">
        <f t="shared" ca="1" si="100"/>
        <v>5</v>
      </c>
      <c r="I121" s="1">
        <f t="shared" ca="1" si="100"/>
        <v>5</v>
      </c>
      <c r="J121" s="1">
        <f t="shared" ca="1" si="100"/>
        <v>5</v>
      </c>
      <c r="K121" s="1">
        <f t="shared" ca="1" si="100"/>
        <v>4</v>
      </c>
      <c r="L121" s="1">
        <f t="shared" ca="1" si="100"/>
        <v>3</v>
      </c>
      <c r="M121" s="1">
        <f t="shared" ca="1" si="100"/>
        <v>4</v>
      </c>
      <c r="N121" s="1">
        <f t="shared" ca="1" si="100"/>
        <v>5</v>
      </c>
      <c r="O121" s="1">
        <f t="shared" ca="1" si="100"/>
        <v>4</v>
      </c>
      <c r="P121" s="1">
        <f t="shared" ca="1" si="100"/>
        <v>4</v>
      </c>
      <c r="Q121" s="1">
        <f t="shared" ca="1" si="100"/>
        <v>4</v>
      </c>
      <c r="R121" s="1">
        <f t="shared" ca="1" si="100"/>
        <v>4</v>
      </c>
      <c r="S121" s="1">
        <f t="shared" ca="1" si="100"/>
        <v>4</v>
      </c>
      <c r="T121" s="1">
        <f t="shared" ca="1" si="100"/>
        <v>4</v>
      </c>
      <c r="U121" s="1">
        <f t="shared" ca="1" si="100"/>
        <v>4</v>
      </c>
      <c r="V121" s="1">
        <f t="shared" ca="1" si="100"/>
        <v>4</v>
      </c>
      <c r="W121" s="1">
        <f t="shared" ca="1" si="100"/>
        <v>4</v>
      </c>
      <c r="X121" s="1">
        <f t="shared" ca="1" si="100"/>
        <v>4</v>
      </c>
      <c r="AB121" s="28"/>
      <c r="AC121" s="28"/>
      <c r="AD121" s="28"/>
      <c r="AE121" s="28"/>
      <c r="AT121" s="28"/>
    </row>
    <row r="122" spans="2:46" hidden="1">
      <c r="B122" s="1" t="str">
        <f t="shared" si="96"/>
        <v xml:space="preserve">   1.2.6) 10.¿Hay programas de formación/capacitación a nivel municipal?</v>
      </c>
      <c r="C122" s="1">
        <f t="shared" ref="C122:X122" ca="1" si="101">COUNTIF(INDIRECT("C"&amp;$A68&amp;":"&amp;$C$54&amp;$A68),C68)</f>
        <v>3</v>
      </c>
      <c r="D122" s="1">
        <f t="shared" ca="1" si="101"/>
        <v>4</v>
      </c>
      <c r="E122" s="1">
        <f t="shared" ca="1" si="101"/>
        <v>4</v>
      </c>
      <c r="F122" s="1">
        <f t="shared" ca="1" si="101"/>
        <v>3</v>
      </c>
      <c r="G122" s="1">
        <f t="shared" ca="1" si="101"/>
        <v>4</v>
      </c>
      <c r="H122" s="1">
        <f t="shared" ca="1" si="101"/>
        <v>4</v>
      </c>
      <c r="I122" s="1">
        <f t="shared" ca="1" si="101"/>
        <v>4</v>
      </c>
      <c r="J122" s="1">
        <f t="shared" ca="1" si="101"/>
        <v>3</v>
      </c>
      <c r="K122" s="1">
        <f t="shared" ca="1" si="101"/>
        <v>4</v>
      </c>
      <c r="L122" s="1">
        <f t="shared" ca="1" si="101"/>
        <v>4</v>
      </c>
      <c r="M122" s="1">
        <f t="shared" ca="1" si="101"/>
        <v>1</v>
      </c>
      <c r="N122" s="1">
        <f t="shared" ca="1" si="101"/>
        <v>4</v>
      </c>
      <c r="O122" s="1">
        <f t="shared" ca="1" si="101"/>
        <v>3</v>
      </c>
      <c r="P122" s="1">
        <f t="shared" ca="1" si="101"/>
        <v>3</v>
      </c>
      <c r="Q122" s="1">
        <f t="shared" ca="1" si="101"/>
        <v>3</v>
      </c>
      <c r="R122" s="1">
        <f t="shared" ca="1" si="101"/>
        <v>3</v>
      </c>
      <c r="S122" s="1">
        <f t="shared" ca="1" si="101"/>
        <v>3</v>
      </c>
      <c r="T122" s="1">
        <f t="shared" ca="1" si="101"/>
        <v>3</v>
      </c>
      <c r="U122" s="1">
        <f t="shared" ca="1" si="101"/>
        <v>3</v>
      </c>
      <c r="V122" s="1">
        <f t="shared" ca="1" si="101"/>
        <v>3</v>
      </c>
      <c r="W122" s="1">
        <f t="shared" ca="1" si="101"/>
        <v>3</v>
      </c>
      <c r="X122" s="1">
        <f t="shared" ca="1" si="101"/>
        <v>3</v>
      </c>
      <c r="AB122" s="28"/>
      <c r="AC122" s="28"/>
      <c r="AD122" s="28"/>
      <c r="AE122" s="28"/>
      <c r="AT122" s="28"/>
    </row>
    <row r="123" spans="2:46" hidden="1">
      <c r="B123" s="1" t="str">
        <f t="shared" si="96"/>
        <v xml:space="preserve">   1.2.7) 11.¿Existen incentivos, programas y/o acciones concretas para el fortalecimiento de la ocupación del reciclador de base?</v>
      </c>
      <c r="C123" s="1">
        <f t="shared" ref="C123:X123" ca="1" si="102">COUNTIF(INDIRECT("C"&amp;$A69&amp;":"&amp;$C$54&amp;$A69),C69)</f>
        <v>6</v>
      </c>
      <c r="D123" s="1">
        <f t="shared" ca="1" si="102"/>
        <v>6</v>
      </c>
      <c r="E123" s="1">
        <f t="shared" ca="1" si="102"/>
        <v>4</v>
      </c>
      <c r="F123" s="1">
        <f t="shared" ca="1" si="102"/>
        <v>6</v>
      </c>
      <c r="G123" s="1">
        <f t="shared" ca="1" si="102"/>
        <v>2</v>
      </c>
      <c r="H123" s="1">
        <f t="shared" ca="1" si="102"/>
        <v>4</v>
      </c>
      <c r="I123" s="1">
        <f t="shared" ca="1" si="102"/>
        <v>6</v>
      </c>
      <c r="J123" s="1">
        <f t="shared" ca="1" si="102"/>
        <v>6</v>
      </c>
      <c r="K123" s="1">
        <f t="shared" ca="1" si="102"/>
        <v>2</v>
      </c>
      <c r="L123" s="1">
        <f t="shared" ca="1" si="102"/>
        <v>4</v>
      </c>
      <c r="M123" s="1">
        <f t="shared" ca="1" si="102"/>
        <v>4</v>
      </c>
      <c r="N123" s="1">
        <f t="shared" ca="1" si="102"/>
        <v>6</v>
      </c>
      <c r="O123" s="1">
        <f t="shared" ca="1" si="102"/>
        <v>2</v>
      </c>
      <c r="P123" s="1">
        <f t="shared" ca="1" si="102"/>
        <v>2</v>
      </c>
      <c r="Q123" s="1">
        <f t="shared" ca="1" si="102"/>
        <v>2</v>
      </c>
      <c r="R123" s="1">
        <f t="shared" ca="1" si="102"/>
        <v>2</v>
      </c>
      <c r="S123" s="1">
        <f t="shared" ca="1" si="102"/>
        <v>2</v>
      </c>
      <c r="T123" s="1">
        <f t="shared" ca="1" si="102"/>
        <v>2</v>
      </c>
      <c r="U123" s="1">
        <f t="shared" ca="1" si="102"/>
        <v>2</v>
      </c>
      <c r="V123" s="1">
        <f t="shared" ca="1" si="102"/>
        <v>2</v>
      </c>
      <c r="W123" s="1">
        <f t="shared" ca="1" si="102"/>
        <v>2</v>
      </c>
      <c r="X123" s="1">
        <f t="shared" ca="1" si="102"/>
        <v>2</v>
      </c>
      <c r="AB123" s="28"/>
      <c r="AC123" s="28"/>
      <c r="AD123" s="28"/>
      <c r="AE123" s="28"/>
      <c r="AT123" s="28"/>
    </row>
    <row r="124" spans="2:46" hidden="1">
      <c r="B124" s="1" t="str">
        <f t="shared" si="96"/>
        <v xml:space="preserve">   1.2.8) 12.¿Existen incentivos de reciclaje para los usuarios? </v>
      </c>
      <c r="C124" s="1">
        <f t="shared" ref="C124:X124" ca="1" si="103">COUNTIF(INDIRECT("C"&amp;$A70&amp;":"&amp;$C$54&amp;$A70),C70)</f>
        <v>7</v>
      </c>
      <c r="D124" s="1">
        <f t="shared" ca="1" si="103"/>
        <v>5</v>
      </c>
      <c r="E124" s="1">
        <f t="shared" ca="1" si="103"/>
        <v>7</v>
      </c>
      <c r="F124" s="1">
        <f t="shared" ca="1" si="103"/>
        <v>5</v>
      </c>
      <c r="G124" s="1">
        <f t="shared" ca="1" si="103"/>
        <v>5</v>
      </c>
      <c r="H124" s="1">
        <f t="shared" ca="1" si="103"/>
        <v>5</v>
      </c>
      <c r="I124" s="1">
        <f t="shared" ca="1" si="103"/>
        <v>7</v>
      </c>
      <c r="J124" s="1">
        <f t="shared" ca="1" si="103"/>
        <v>7</v>
      </c>
      <c r="K124" s="1">
        <f t="shared" ca="1" si="103"/>
        <v>7</v>
      </c>
      <c r="L124" s="1">
        <f t="shared" ca="1" si="103"/>
        <v>7</v>
      </c>
      <c r="M124" s="1">
        <f t="shared" ca="1" si="103"/>
        <v>7</v>
      </c>
      <c r="N124" s="1">
        <f t="shared" ca="1" si="103"/>
        <v>5</v>
      </c>
      <c r="O124" s="1">
        <f t="shared" ca="1" si="103"/>
        <v>7</v>
      </c>
      <c r="P124" s="1">
        <f t="shared" ca="1" si="103"/>
        <v>7</v>
      </c>
      <c r="Q124" s="1">
        <f t="shared" ca="1" si="103"/>
        <v>7</v>
      </c>
      <c r="R124" s="1">
        <f t="shared" ca="1" si="103"/>
        <v>7</v>
      </c>
      <c r="S124" s="1">
        <f t="shared" ca="1" si="103"/>
        <v>7</v>
      </c>
      <c r="T124" s="1">
        <f t="shared" ca="1" si="103"/>
        <v>7</v>
      </c>
      <c r="U124" s="1">
        <f t="shared" ca="1" si="103"/>
        <v>7</v>
      </c>
      <c r="V124" s="1">
        <f t="shared" ca="1" si="103"/>
        <v>7</v>
      </c>
      <c r="W124" s="1">
        <f t="shared" ca="1" si="103"/>
        <v>7</v>
      </c>
      <c r="X124" s="1">
        <f t="shared" ca="1" si="103"/>
        <v>7</v>
      </c>
      <c r="AB124" s="28"/>
      <c r="AC124" s="28"/>
      <c r="AD124" s="28"/>
      <c r="AE124" s="28"/>
      <c r="AT124" s="28"/>
    </row>
    <row r="125" spans="2:46" hidden="1">
      <c r="B125" s="1" t="str">
        <f t="shared" si="96"/>
        <v xml:space="preserve">  1.3) Generación de información</v>
      </c>
      <c r="C125" s="1">
        <f t="shared" ref="C125:X125" ca="1" si="104">COUNTIF(INDIRECT("C"&amp;$A71&amp;":"&amp;$C$54&amp;$A71),C71)</f>
        <v>7</v>
      </c>
      <c r="D125" s="1">
        <f t="shared" ca="1" si="104"/>
        <v>4</v>
      </c>
      <c r="E125" s="1">
        <f t="shared" ca="1" si="104"/>
        <v>7</v>
      </c>
      <c r="F125" s="1">
        <f t="shared" ca="1" si="104"/>
        <v>1</v>
      </c>
      <c r="G125" s="1">
        <f t="shared" ca="1" si="104"/>
        <v>7</v>
      </c>
      <c r="H125" s="1">
        <f t="shared" ca="1" si="104"/>
        <v>4</v>
      </c>
      <c r="I125" s="1">
        <f t="shared" ca="1" si="104"/>
        <v>7</v>
      </c>
      <c r="J125" s="1">
        <f t="shared" ca="1" si="104"/>
        <v>7</v>
      </c>
      <c r="K125" s="1">
        <f t="shared" ca="1" si="104"/>
        <v>7</v>
      </c>
      <c r="L125" s="1">
        <f t="shared" ca="1" si="104"/>
        <v>4</v>
      </c>
      <c r="M125" s="1">
        <f t="shared" ca="1" si="104"/>
        <v>4</v>
      </c>
      <c r="N125" s="1">
        <f t="shared" ca="1" si="104"/>
        <v>7</v>
      </c>
      <c r="O125" s="1">
        <f t="shared" ca="1" si="104"/>
        <v>1</v>
      </c>
      <c r="P125" s="1">
        <f t="shared" ca="1" si="104"/>
        <v>1</v>
      </c>
      <c r="Q125" s="1">
        <f t="shared" ca="1" si="104"/>
        <v>1</v>
      </c>
      <c r="R125" s="1">
        <f t="shared" ca="1" si="104"/>
        <v>1</v>
      </c>
      <c r="S125" s="1">
        <f t="shared" ca="1" si="104"/>
        <v>1</v>
      </c>
      <c r="T125" s="1">
        <f t="shared" ca="1" si="104"/>
        <v>1</v>
      </c>
      <c r="U125" s="1">
        <f t="shared" ca="1" si="104"/>
        <v>1</v>
      </c>
      <c r="V125" s="1">
        <f t="shared" ca="1" si="104"/>
        <v>1</v>
      </c>
      <c r="W125" s="1">
        <f t="shared" ca="1" si="104"/>
        <v>1</v>
      </c>
      <c r="X125" s="1">
        <f t="shared" ca="1" si="104"/>
        <v>1</v>
      </c>
      <c r="AB125" s="28"/>
      <c r="AC125" s="28"/>
      <c r="AD125" s="28"/>
      <c r="AE125" s="28"/>
      <c r="AT125" s="28"/>
    </row>
    <row r="126" spans="2:46" hidden="1">
      <c r="B126" s="1" t="str">
        <f t="shared" si="96"/>
        <v xml:space="preserve">   1.3.1) 13.¿Hay un sistema municipal de recolección de información de reciclaje inclusivo?</v>
      </c>
      <c r="C126" s="1">
        <f t="shared" ref="C126:X126" ca="1" si="105">COUNTIF(INDIRECT("C"&amp;$A72&amp;":"&amp;$C$54&amp;$A72),C72)</f>
        <v>9</v>
      </c>
      <c r="D126" s="1">
        <f t="shared" ca="1" si="105"/>
        <v>3</v>
      </c>
      <c r="E126" s="1">
        <f t="shared" ca="1" si="105"/>
        <v>9</v>
      </c>
      <c r="F126" s="1">
        <f t="shared" ca="1" si="105"/>
        <v>9</v>
      </c>
      <c r="G126" s="1">
        <f t="shared" ca="1" si="105"/>
        <v>9</v>
      </c>
      <c r="H126" s="1">
        <f t="shared" ca="1" si="105"/>
        <v>3</v>
      </c>
      <c r="I126" s="1">
        <f t="shared" ca="1" si="105"/>
        <v>9</v>
      </c>
      <c r="J126" s="1">
        <f t="shared" ca="1" si="105"/>
        <v>9</v>
      </c>
      <c r="K126" s="1">
        <f t="shared" ca="1" si="105"/>
        <v>9</v>
      </c>
      <c r="L126" s="1">
        <f t="shared" ca="1" si="105"/>
        <v>3</v>
      </c>
      <c r="M126" s="1">
        <f t="shared" ca="1" si="105"/>
        <v>9</v>
      </c>
      <c r="N126" s="1">
        <f t="shared" ca="1" si="105"/>
        <v>9</v>
      </c>
      <c r="O126" s="1">
        <f t="shared" ca="1" si="105"/>
        <v>9</v>
      </c>
      <c r="P126" s="1">
        <f t="shared" ca="1" si="105"/>
        <v>9</v>
      </c>
      <c r="Q126" s="1">
        <f t="shared" ca="1" si="105"/>
        <v>9</v>
      </c>
      <c r="R126" s="1">
        <f t="shared" ca="1" si="105"/>
        <v>9</v>
      </c>
      <c r="S126" s="1">
        <f t="shared" ca="1" si="105"/>
        <v>9</v>
      </c>
      <c r="T126" s="1">
        <f t="shared" ca="1" si="105"/>
        <v>9</v>
      </c>
      <c r="U126" s="1">
        <f t="shared" ca="1" si="105"/>
        <v>9</v>
      </c>
      <c r="V126" s="1">
        <f t="shared" ca="1" si="105"/>
        <v>9</v>
      </c>
      <c r="W126" s="1">
        <f t="shared" ca="1" si="105"/>
        <v>9</v>
      </c>
      <c r="X126" s="1">
        <f t="shared" ca="1" si="105"/>
        <v>9</v>
      </c>
      <c r="AB126" s="28"/>
      <c r="AC126" s="28"/>
      <c r="AD126" s="28"/>
      <c r="AE126" s="28"/>
      <c r="AT126" s="28"/>
    </row>
    <row r="127" spans="2:46" hidden="1">
      <c r="B127" s="1" t="str">
        <f t="shared" si="96"/>
        <v xml:space="preserve">   1.3.2) 14.¿Hay campañas de comunicación para fomentar el reciclaje inclusivo con difusión en el municipio?</v>
      </c>
      <c r="C127" s="1">
        <f t="shared" ref="C127:X127" ca="1" si="106">COUNTIF(INDIRECT("C"&amp;$A73&amp;":"&amp;$C$54&amp;$A73),C73)</f>
        <v>10</v>
      </c>
      <c r="D127" s="1">
        <f t="shared" ca="1" si="106"/>
        <v>10</v>
      </c>
      <c r="E127" s="1">
        <f t="shared" ca="1" si="106"/>
        <v>10</v>
      </c>
      <c r="F127" s="1">
        <f t="shared" ca="1" si="106"/>
        <v>1</v>
      </c>
      <c r="G127" s="1">
        <f t="shared" ca="1" si="106"/>
        <v>10</v>
      </c>
      <c r="H127" s="1">
        <f t="shared" ca="1" si="106"/>
        <v>10</v>
      </c>
      <c r="I127" s="1">
        <f t="shared" ca="1" si="106"/>
        <v>10</v>
      </c>
      <c r="J127" s="1">
        <f t="shared" ca="1" si="106"/>
        <v>10</v>
      </c>
      <c r="K127" s="1">
        <f t="shared" ca="1" si="106"/>
        <v>10</v>
      </c>
      <c r="L127" s="1">
        <f t="shared" ca="1" si="106"/>
        <v>10</v>
      </c>
      <c r="M127" s="1">
        <f t="shared" ca="1" si="106"/>
        <v>1</v>
      </c>
      <c r="N127" s="1">
        <f t="shared" ca="1" si="106"/>
        <v>10</v>
      </c>
      <c r="O127" s="1">
        <f t="shared" ca="1" si="106"/>
        <v>1</v>
      </c>
      <c r="P127" s="1">
        <f t="shared" ca="1" si="106"/>
        <v>1</v>
      </c>
      <c r="Q127" s="1">
        <f t="shared" ca="1" si="106"/>
        <v>1</v>
      </c>
      <c r="R127" s="1">
        <f t="shared" ca="1" si="106"/>
        <v>1</v>
      </c>
      <c r="S127" s="1">
        <f t="shared" ca="1" si="106"/>
        <v>1</v>
      </c>
      <c r="T127" s="1">
        <f t="shared" ca="1" si="106"/>
        <v>1</v>
      </c>
      <c r="U127" s="1">
        <f t="shared" ca="1" si="106"/>
        <v>1</v>
      </c>
      <c r="V127" s="1">
        <f t="shared" ca="1" si="106"/>
        <v>1</v>
      </c>
      <c r="W127" s="1">
        <f t="shared" ca="1" si="106"/>
        <v>1</v>
      </c>
      <c r="X127" s="1">
        <f t="shared" ca="1" si="106"/>
        <v>1</v>
      </c>
      <c r="AB127" s="28"/>
      <c r="AC127" s="28"/>
      <c r="AD127" s="28"/>
      <c r="AE127" s="28"/>
      <c r="AT127" s="28"/>
    </row>
    <row r="128" spans="2:46" hidden="1">
      <c r="B128" s="1" t="str">
        <f t="shared" si="96"/>
        <v xml:space="preserve">  1.4) Salud pública y el medioambiente</v>
      </c>
      <c r="C128" s="1">
        <f t="shared" ref="C128:X128" ca="1" si="107">COUNTIF(INDIRECT("C"&amp;$A74&amp;":"&amp;$C$54&amp;$A74),C74)</f>
        <v>8</v>
      </c>
      <c r="D128" s="1">
        <f t="shared" ca="1" si="107"/>
        <v>8</v>
      </c>
      <c r="E128" s="1">
        <f t="shared" ca="1" si="107"/>
        <v>4</v>
      </c>
      <c r="F128" s="1">
        <f t="shared" ca="1" si="107"/>
        <v>8</v>
      </c>
      <c r="G128" s="1">
        <f t="shared" ca="1" si="107"/>
        <v>4</v>
      </c>
      <c r="H128" s="1">
        <f t="shared" ca="1" si="107"/>
        <v>8</v>
      </c>
      <c r="I128" s="1">
        <f t="shared" ca="1" si="107"/>
        <v>4</v>
      </c>
      <c r="J128" s="1">
        <f t="shared" ca="1" si="107"/>
        <v>8</v>
      </c>
      <c r="K128" s="1">
        <f t="shared" ca="1" si="107"/>
        <v>8</v>
      </c>
      <c r="L128" s="1">
        <f t="shared" ca="1" si="107"/>
        <v>8</v>
      </c>
      <c r="M128" s="1">
        <f t="shared" ca="1" si="107"/>
        <v>4</v>
      </c>
      <c r="N128" s="1">
        <f t="shared" ca="1" si="107"/>
        <v>8</v>
      </c>
      <c r="O128" s="1">
        <f t="shared" ca="1" si="107"/>
        <v>0</v>
      </c>
      <c r="P128" s="1">
        <f t="shared" ca="1" si="107"/>
        <v>0</v>
      </c>
      <c r="Q128" s="1">
        <f t="shared" ca="1" si="107"/>
        <v>0</v>
      </c>
      <c r="R128" s="1">
        <f t="shared" ca="1" si="107"/>
        <v>0</v>
      </c>
      <c r="S128" s="1">
        <f t="shared" ca="1" si="107"/>
        <v>0</v>
      </c>
      <c r="T128" s="1">
        <f t="shared" ca="1" si="107"/>
        <v>0</v>
      </c>
      <c r="U128" s="1">
        <f t="shared" ca="1" si="107"/>
        <v>0</v>
      </c>
      <c r="V128" s="1">
        <f t="shared" ca="1" si="107"/>
        <v>0</v>
      </c>
      <c r="W128" s="1">
        <f t="shared" ca="1" si="107"/>
        <v>0</v>
      </c>
      <c r="X128" s="1">
        <f t="shared" ca="1" si="107"/>
        <v>0</v>
      </c>
      <c r="AB128" s="28"/>
      <c r="AC128" s="28"/>
      <c r="AD128" s="28"/>
      <c r="AE128" s="28"/>
      <c r="AT128" s="28"/>
    </row>
    <row r="129" spans="2:46" hidden="1">
      <c r="B129" s="1" t="str">
        <f t="shared" si="96"/>
        <v xml:space="preserve">   1.4.1) 15.¿Existe adecuada regulación y control sobre clasificación y manejo de desechos especiales y/o  peligrosos y sobre clasificación en la calle?</v>
      </c>
      <c r="C129" s="1">
        <f t="shared" ref="C129:X129" ca="1" si="108">COUNTIF(INDIRECT("C"&amp;$A75&amp;":"&amp;$C$54&amp;$A75),C75)</f>
        <v>8</v>
      </c>
      <c r="D129" s="1">
        <f t="shared" ca="1" si="108"/>
        <v>8</v>
      </c>
      <c r="E129" s="1">
        <f t="shared" ca="1" si="108"/>
        <v>4</v>
      </c>
      <c r="F129" s="1">
        <f t="shared" ca="1" si="108"/>
        <v>8</v>
      </c>
      <c r="G129" s="1">
        <f t="shared" ca="1" si="108"/>
        <v>4</v>
      </c>
      <c r="H129" s="1">
        <f t="shared" ca="1" si="108"/>
        <v>8</v>
      </c>
      <c r="I129" s="1">
        <f t="shared" ca="1" si="108"/>
        <v>4</v>
      </c>
      <c r="J129" s="1">
        <f t="shared" ca="1" si="108"/>
        <v>8</v>
      </c>
      <c r="K129" s="1">
        <f t="shared" ca="1" si="108"/>
        <v>8</v>
      </c>
      <c r="L129" s="1">
        <f t="shared" ca="1" si="108"/>
        <v>8</v>
      </c>
      <c r="M129" s="1">
        <f t="shared" ca="1" si="108"/>
        <v>4</v>
      </c>
      <c r="N129" s="1">
        <f t="shared" ca="1" si="108"/>
        <v>8</v>
      </c>
      <c r="O129" s="1">
        <f t="shared" ca="1" si="108"/>
        <v>0</v>
      </c>
      <c r="P129" s="1">
        <f t="shared" ca="1" si="108"/>
        <v>0</v>
      </c>
      <c r="Q129" s="1">
        <f t="shared" ca="1" si="108"/>
        <v>0</v>
      </c>
      <c r="R129" s="1">
        <f t="shared" ca="1" si="108"/>
        <v>0</v>
      </c>
      <c r="S129" s="1">
        <f t="shared" ca="1" si="108"/>
        <v>0</v>
      </c>
      <c r="T129" s="1">
        <f t="shared" ca="1" si="108"/>
        <v>0</v>
      </c>
      <c r="U129" s="1">
        <f t="shared" ca="1" si="108"/>
        <v>0</v>
      </c>
      <c r="V129" s="1">
        <f t="shared" ca="1" si="108"/>
        <v>0</v>
      </c>
      <c r="W129" s="1">
        <f t="shared" ca="1" si="108"/>
        <v>0</v>
      </c>
      <c r="X129" s="1">
        <f t="shared" ca="1" si="108"/>
        <v>0</v>
      </c>
      <c r="AB129" s="28"/>
      <c r="AC129" s="28"/>
      <c r="AD129" s="28"/>
      <c r="AE129" s="28"/>
      <c r="AT129" s="28"/>
    </row>
    <row r="130" spans="2:46" hidden="1">
      <c r="B130" s="1" t="str">
        <f t="shared" si="96"/>
        <v xml:space="preserve"> 2) ORGANIZATIVA</v>
      </c>
      <c r="C130" s="1">
        <f t="shared" ref="C130:X130" ca="1" si="109">COUNTIF(INDIRECT("C"&amp;$A76&amp;":"&amp;$C$54&amp;$A76),C76)</f>
        <v>1</v>
      </c>
      <c r="D130" s="1">
        <f t="shared" ca="1" si="109"/>
        <v>1</v>
      </c>
      <c r="E130" s="1">
        <f t="shared" ca="1" si="109"/>
        <v>1</v>
      </c>
      <c r="F130" s="1">
        <f t="shared" ca="1" si="109"/>
        <v>2</v>
      </c>
      <c r="G130" s="1">
        <f t="shared" ca="1" si="109"/>
        <v>1</v>
      </c>
      <c r="H130" s="1">
        <f t="shared" ca="1" si="109"/>
        <v>3</v>
      </c>
      <c r="I130" s="1">
        <f t="shared" ca="1" si="109"/>
        <v>1</v>
      </c>
      <c r="J130" s="1">
        <f t="shared" ca="1" si="109"/>
        <v>3</v>
      </c>
      <c r="K130" s="1">
        <f t="shared" ca="1" si="109"/>
        <v>2</v>
      </c>
      <c r="L130" s="1">
        <f t="shared" ca="1" si="109"/>
        <v>1</v>
      </c>
      <c r="M130" s="1">
        <f t="shared" ca="1" si="109"/>
        <v>3</v>
      </c>
      <c r="N130" s="1">
        <f t="shared" ca="1" si="109"/>
        <v>1</v>
      </c>
      <c r="O130" s="1">
        <f t="shared" ca="1" si="109"/>
        <v>2</v>
      </c>
      <c r="P130" s="1">
        <f t="shared" ca="1" si="109"/>
        <v>2</v>
      </c>
      <c r="Q130" s="1">
        <f t="shared" ca="1" si="109"/>
        <v>2</v>
      </c>
      <c r="R130" s="1">
        <f t="shared" ca="1" si="109"/>
        <v>2</v>
      </c>
      <c r="S130" s="1">
        <f t="shared" ca="1" si="109"/>
        <v>2</v>
      </c>
      <c r="T130" s="1">
        <f t="shared" ca="1" si="109"/>
        <v>2</v>
      </c>
      <c r="U130" s="1">
        <f t="shared" ca="1" si="109"/>
        <v>2</v>
      </c>
      <c r="V130" s="1">
        <f t="shared" ca="1" si="109"/>
        <v>2</v>
      </c>
      <c r="W130" s="1">
        <f t="shared" ca="1" si="109"/>
        <v>2</v>
      </c>
      <c r="X130" s="1">
        <f t="shared" ca="1" si="109"/>
        <v>2</v>
      </c>
      <c r="AB130" s="28"/>
      <c r="AC130" s="28"/>
      <c r="AD130" s="28"/>
      <c r="AE130" s="28"/>
      <c r="AT130" s="28"/>
    </row>
    <row r="131" spans="2:46" hidden="1">
      <c r="B131" s="1" t="str">
        <f t="shared" si="96"/>
        <v xml:space="preserve">  2.1) Asociatividad</v>
      </c>
      <c r="C131" s="1">
        <f t="shared" ref="C131:X131" ca="1" si="110">COUNTIF(INDIRECT("C"&amp;$A77&amp;":"&amp;$C$54&amp;$A77),C77)</f>
        <v>1</v>
      </c>
      <c r="D131" s="1">
        <f t="shared" ca="1" si="110"/>
        <v>1</v>
      </c>
      <c r="E131" s="1">
        <f t="shared" ca="1" si="110"/>
        <v>2</v>
      </c>
      <c r="F131" s="1">
        <f t="shared" ca="1" si="110"/>
        <v>2</v>
      </c>
      <c r="G131" s="1">
        <f t="shared" ca="1" si="110"/>
        <v>2</v>
      </c>
      <c r="H131" s="1">
        <f t="shared" ca="1" si="110"/>
        <v>4</v>
      </c>
      <c r="I131" s="1">
        <f t="shared" ca="1" si="110"/>
        <v>1</v>
      </c>
      <c r="J131" s="1">
        <f t="shared" ca="1" si="110"/>
        <v>4</v>
      </c>
      <c r="K131" s="1">
        <f t="shared" ca="1" si="110"/>
        <v>2</v>
      </c>
      <c r="L131" s="1">
        <f t="shared" ca="1" si="110"/>
        <v>4</v>
      </c>
      <c r="M131" s="1">
        <f t="shared" ca="1" si="110"/>
        <v>4</v>
      </c>
      <c r="N131" s="1">
        <f t="shared" ca="1" si="110"/>
        <v>1</v>
      </c>
      <c r="O131" s="1">
        <f t="shared" ca="1" si="110"/>
        <v>2</v>
      </c>
      <c r="P131" s="1">
        <f t="shared" ca="1" si="110"/>
        <v>2</v>
      </c>
      <c r="Q131" s="1">
        <f t="shared" ca="1" si="110"/>
        <v>2</v>
      </c>
      <c r="R131" s="1">
        <f t="shared" ca="1" si="110"/>
        <v>2</v>
      </c>
      <c r="S131" s="1">
        <f t="shared" ca="1" si="110"/>
        <v>2</v>
      </c>
      <c r="T131" s="1">
        <f t="shared" ca="1" si="110"/>
        <v>2</v>
      </c>
      <c r="U131" s="1">
        <f t="shared" ca="1" si="110"/>
        <v>2</v>
      </c>
      <c r="V131" s="1">
        <f t="shared" ca="1" si="110"/>
        <v>2</v>
      </c>
      <c r="W131" s="1">
        <f t="shared" ca="1" si="110"/>
        <v>2</v>
      </c>
      <c r="X131" s="1">
        <f t="shared" ca="1" si="110"/>
        <v>2</v>
      </c>
      <c r="AB131" s="28"/>
      <c r="AC131" s="28"/>
      <c r="AD131" s="28"/>
      <c r="AE131" s="28"/>
      <c r="AT131" s="28"/>
    </row>
    <row r="132" spans="2:46" hidden="1">
      <c r="B132" s="1" t="str">
        <f t="shared" si="96"/>
        <v xml:space="preserve">   2.1.1) 16.¿Cuán dinámicas son las asociaciones?</v>
      </c>
      <c r="C132" s="1">
        <f t="shared" ref="C132:X132" ca="1" si="111">COUNTIF(INDIRECT("C"&amp;$A78&amp;":"&amp;$C$54&amp;$A78),C78)</f>
        <v>3</v>
      </c>
      <c r="D132" s="1">
        <f t="shared" ca="1" si="111"/>
        <v>4</v>
      </c>
      <c r="E132" s="1">
        <f t="shared" ca="1" si="111"/>
        <v>4</v>
      </c>
      <c r="F132" s="1">
        <f t="shared" ca="1" si="111"/>
        <v>5</v>
      </c>
      <c r="G132" s="1">
        <f t="shared" ca="1" si="111"/>
        <v>3</v>
      </c>
      <c r="H132" s="1">
        <f t="shared" ca="1" si="111"/>
        <v>4</v>
      </c>
      <c r="I132" s="1">
        <f t="shared" ca="1" si="111"/>
        <v>3</v>
      </c>
      <c r="J132" s="1">
        <f t="shared" ca="1" si="111"/>
        <v>4</v>
      </c>
      <c r="K132" s="1">
        <f t="shared" ca="1" si="111"/>
        <v>5</v>
      </c>
      <c r="L132" s="1">
        <f t="shared" ca="1" si="111"/>
        <v>5</v>
      </c>
      <c r="M132" s="1">
        <f t="shared" ca="1" si="111"/>
        <v>5</v>
      </c>
      <c r="N132" s="1">
        <f t="shared" ca="1" si="111"/>
        <v>5</v>
      </c>
      <c r="O132" s="1">
        <f t="shared" ca="1" si="111"/>
        <v>5</v>
      </c>
      <c r="P132" s="1">
        <f t="shared" ca="1" si="111"/>
        <v>5</v>
      </c>
      <c r="Q132" s="1">
        <f t="shared" ca="1" si="111"/>
        <v>5</v>
      </c>
      <c r="R132" s="1">
        <f t="shared" ca="1" si="111"/>
        <v>5</v>
      </c>
      <c r="S132" s="1">
        <f t="shared" ca="1" si="111"/>
        <v>5</v>
      </c>
      <c r="T132" s="1">
        <f t="shared" ca="1" si="111"/>
        <v>5</v>
      </c>
      <c r="U132" s="1">
        <f t="shared" ca="1" si="111"/>
        <v>5</v>
      </c>
      <c r="V132" s="1">
        <f t="shared" ca="1" si="111"/>
        <v>5</v>
      </c>
      <c r="W132" s="1">
        <f t="shared" ca="1" si="111"/>
        <v>5</v>
      </c>
      <c r="X132" s="1">
        <f t="shared" ca="1" si="111"/>
        <v>5</v>
      </c>
      <c r="AB132" s="28"/>
      <c r="AC132" s="28"/>
      <c r="AD132" s="28"/>
      <c r="AE132" s="28"/>
      <c r="AT132" s="28"/>
    </row>
    <row r="133" spans="2:46" hidden="1">
      <c r="B133" s="1" t="str">
        <f t="shared" si="96"/>
        <v xml:space="preserve">   2.1.2) 17.¿Qué nivel de inclusión  presentan estas asociaciones? </v>
      </c>
      <c r="C133" s="1">
        <f t="shared" ref="C133:X133" ca="1" si="112">COUNTIF(INDIRECT("C"&amp;$A79&amp;":"&amp;$C$54&amp;$A79),C79)</f>
        <v>5</v>
      </c>
      <c r="D133" s="1">
        <f t="shared" ca="1" si="112"/>
        <v>2</v>
      </c>
      <c r="E133" s="1">
        <f t="shared" ca="1" si="112"/>
        <v>5</v>
      </c>
      <c r="F133" s="1">
        <f t="shared" ca="1" si="112"/>
        <v>5</v>
      </c>
      <c r="G133" s="1">
        <f t="shared" ca="1" si="112"/>
        <v>5</v>
      </c>
      <c r="H133" s="1">
        <f t="shared" ca="1" si="112"/>
        <v>5</v>
      </c>
      <c r="I133" s="1">
        <f t="shared" ca="1" si="112"/>
        <v>5</v>
      </c>
      <c r="J133" s="1">
        <f t="shared" ca="1" si="112"/>
        <v>5</v>
      </c>
      <c r="K133" s="1">
        <f t="shared" ca="1" si="112"/>
        <v>5</v>
      </c>
      <c r="L133" s="1">
        <f t="shared" ca="1" si="112"/>
        <v>2</v>
      </c>
      <c r="M133" s="1">
        <f t="shared" ca="1" si="112"/>
        <v>5</v>
      </c>
      <c r="N133" s="1">
        <f t="shared" ca="1" si="112"/>
        <v>5</v>
      </c>
      <c r="O133" s="1">
        <f t="shared" ca="1" si="112"/>
        <v>5</v>
      </c>
      <c r="P133" s="1">
        <f t="shared" ca="1" si="112"/>
        <v>5</v>
      </c>
      <c r="Q133" s="1">
        <f t="shared" ca="1" si="112"/>
        <v>5</v>
      </c>
      <c r="R133" s="1">
        <f t="shared" ca="1" si="112"/>
        <v>5</v>
      </c>
      <c r="S133" s="1">
        <f t="shared" ca="1" si="112"/>
        <v>5</v>
      </c>
      <c r="T133" s="1">
        <f t="shared" ca="1" si="112"/>
        <v>5</v>
      </c>
      <c r="U133" s="1">
        <f t="shared" ca="1" si="112"/>
        <v>5</v>
      </c>
      <c r="V133" s="1">
        <f t="shared" ca="1" si="112"/>
        <v>5</v>
      </c>
      <c r="W133" s="1">
        <f t="shared" ca="1" si="112"/>
        <v>5</v>
      </c>
      <c r="X133" s="1">
        <f t="shared" ca="1" si="112"/>
        <v>5</v>
      </c>
      <c r="AB133" s="28"/>
      <c r="AC133" s="28"/>
      <c r="AD133" s="28"/>
      <c r="AE133" s="28"/>
      <c r="AT133" s="28"/>
    </row>
    <row r="134" spans="2:46" hidden="1">
      <c r="B134" s="1" t="str">
        <f t="shared" si="96"/>
        <v xml:space="preserve">   2.1.3) 18.¿Las asociaciones: participan en espacios de interlocución o diálogo con pares?</v>
      </c>
      <c r="C134" s="1">
        <f t="shared" ref="C134:X134" ca="1" si="113">COUNTIF(INDIRECT("C"&amp;$A80&amp;":"&amp;$C$54&amp;$A80),C80)</f>
        <v>3</v>
      </c>
      <c r="D134" s="1">
        <f t="shared" ca="1" si="113"/>
        <v>7</v>
      </c>
      <c r="E134" s="1">
        <f t="shared" ca="1" si="113"/>
        <v>7</v>
      </c>
      <c r="F134" s="1">
        <f t="shared" ca="1" si="113"/>
        <v>2</v>
      </c>
      <c r="G134" s="1">
        <f t="shared" ca="1" si="113"/>
        <v>3</v>
      </c>
      <c r="H134" s="1">
        <f t="shared" ca="1" si="113"/>
        <v>7</v>
      </c>
      <c r="I134" s="1">
        <f t="shared" ca="1" si="113"/>
        <v>7</v>
      </c>
      <c r="J134" s="1">
        <f t="shared" ca="1" si="113"/>
        <v>7</v>
      </c>
      <c r="K134" s="1">
        <f t="shared" ca="1" si="113"/>
        <v>2</v>
      </c>
      <c r="L134" s="1">
        <f t="shared" ca="1" si="113"/>
        <v>7</v>
      </c>
      <c r="M134" s="1">
        <f t="shared" ca="1" si="113"/>
        <v>7</v>
      </c>
      <c r="N134" s="1">
        <f t="shared" ca="1" si="113"/>
        <v>3</v>
      </c>
      <c r="O134" s="1">
        <f t="shared" ca="1" si="113"/>
        <v>2</v>
      </c>
      <c r="P134" s="1">
        <f t="shared" ca="1" si="113"/>
        <v>2</v>
      </c>
      <c r="Q134" s="1">
        <f t="shared" ca="1" si="113"/>
        <v>2</v>
      </c>
      <c r="R134" s="1">
        <f t="shared" ca="1" si="113"/>
        <v>2</v>
      </c>
      <c r="S134" s="1">
        <f t="shared" ca="1" si="113"/>
        <v>2</v>
      </c>
      <c r="T134" s="1">
        <f t="shared" ca="1" si="113"/>
        <v>2</v>
      </c>
      <c r="U134" s="1">
        <f t="shared" ca="1" si="113"/>
        <v>2</v>
      </c>
      <c r="V134" s="1">
        <f t="shared" ca="1" si="113"/>
        <v>2</v>
      </c>
      <c r="W134" s="1">
        <f t="shared" ca="1" si="113"/>
        <v>2</v>
      </c>
      <c r="X134" s="1">
        <f t="shared" ca="1" si="113"/>
        <v>2</v>
      </c>
      <c r="AB134" s="28"/>
      <c r="AC134" s="28"/>
      <c r="AD134" s="28"/>
      <c r="AE134" s="28"/>
      <c r="AT134" s="28"/>
    </row>
    <row r="135" spans="2:46" hidden="1">
      <c r="B135" s="1" t="str">
        <f t="shared" si="96"/>
        <v xml:space="preserve">   2.1.4) 19.¿Existen espacios de diálogo y coordinación entre diferentes actores de la cadena de valor del reciclaje?</v>
      </c>
      <c r="C135" s="1">
        <f t="shared" ref="C135:X135" ca="1" si="114">COUNTIF(INDIRECT("C"&amp;$A81&amp;":"&amp;$C$54&amp;$A81),C81)</f>
        <v>6</v>
      </c>
      <c r="D135" s="1">
        <f t="shared" ca="1" si="114"/>
        <v>5</v>
      </c>
      <c r="E135" s="1">
        <f t="shared" ca="1" si="114"/>
        <v>5</v>
      </c>
      <c r="F135" s="1">
        <f t="shared" ca="1" si="114"/>
        <v>6</v>
      </c>
      <c r="G135" s="1">
        <f t="shared" ca="1" si="114"/>
        <v>5</v>
      </c>
      <c r="H135" s="1">
        <f t="shared" ca="1" si="114"/>
        <v>5</v>
      </c>
      <c r="I135" s="1">
        <f t="shared" ca="1" si="114"/>
        <v>6</v>
      </c>
      <c r="J135" s="1">
        <f t="shared" ca="1" si="114"/>
        <v>6</v>
      </c>
      <c r="K135" s="1">
        <f t="shared" ca="1" si="114"/>
        <v>6</v>
      </c>
      <c r="L135" s="1">
        <f t="shared" ca="1" si="114"/>
        <v>6</v>
      </c>
      <c r="M135" s="1">
        <f t="shared" ca="1" si="114"/>
        <v>1</v>
      </c>
      <c r="N135" s="1">
        <f t="shared" ca="1" si="114"/>
        <v>5</v>
      </c>
      <c r="O135" s="1">
        <f t="shared" ca="1" si="114"/>
        <v>6</v>
      </c>
      <c r="P135" s="1">
        <f t="shared" ca="1" si="114"/>
        <v>6</v>
      </c>
      <c r="Q135" s="1">
        <f t="shared" ca="1" si="114"/>
        <v>6</v>
      </c>
      <c r="R135" s="1">
        <f t="shared" ca="1" si="114"/>
        <v>6</v>
      </c>
      <c r="S135" s="1">
        <f t="shared" ca="1" si="114"/>
        <v>6</v>
      </c>
      <c r="T135" s="1">
        <f t="shared" ca="1" si="114"/>
        <v>6</v>
      </c>
      <c r="U135" s="1">
        <f t="shared" ca="1" si="114"/>
        <v>6</v>
      </c>
      <c r="V135" s="1">
        <f t="shared" ca="1" si="114"/>
        <v>6</v>
      </c>
      <c r="W135" s="1">
        <f t="shared" ca="1" si="114"/>
        <v>6</v>
      </c>
      <c r="X135" s="1">
        <f t="shared" ca="1" si="114"/>
        <v>6</v>
      </c>
      <c r="AB135" s="28"/>
      <c r="AC135" s="28"/>
      <c r="AD135" s="28"/>
      <c r="AE135" s="28"/>
      <c r="AT135" s="28"/>
    </row>
    <row r="136" spans="2:46" hidden="1">
      <c r="B136" s="1" t="str">
        <f t="shared" si="96"/>
        <v xml:space="preserve">   2.1.5) 20.¿Cuál es el nivel de representación de las mujeres en las asociaciones?</v>
      </c>
      <c r="C136" s="1">
        <f t="shared" ref="C136:X136" ca="1" si="115">COUNTIF(INDIRECT("C"&amp;$A82&amp;":"&amp;$C$54&amp;$A82),C82)</f>
        <v>4</v>
      </c>
      <c r="D136" s="1">
        <f t="shared" ca="1" si="115"/>
        <v>4</v>
      </c>
      <c r="E136" s="1">
        <f t="shared" ca="1" si="115"/>
        <v>4</v>
      </c>
      <c r="F136" s="1">
        <f t="shared" ca="1" si="115"/>
        <v>4</v>
      </c>
      <c r="G136" s="1">
        <f t="shared" ca="1" si="115"/>
        <v>4</v>
      </c>
      <c r="H136" s="1">
        <f t="shared" ca="1" si="115"/>
        <v>4</v>
      </c>
      <c r="I136" s="1">
        <f t="shared" ca="1" si="115"/>
        <v>4</v>
      </c>
      <c r="J136" s="1">
        <f t="shared" ca="1" si="115"/>
        <v>4</v>
      </c>
      <c r="K136" s="1">
        <f t="shared" ca="1" si="115"/>
        <v>4</v>
      </c>
      <c r="L136" s="1">
        <f t="shared" ca="1" si="115"/>
        <v>4</v>
      </c>
      <c r="M136" s="1">
        <f t="shared" ca="1" si="115"/>
        <v>4</v>
      </c>
      <c r="N136" s="1">
        <f t="shared" ca="1" si="115"/>
        <v>4</v>
      </c>
      <c r="O136" s="1">
        <f t="shared" ca="1" si="115"/>
        <v>4</v>
      </c>
      <c r="P136" s="1">
        <f t="shared" ca="1" si="115"/>
        <v>4</v>
      </c>
      <c r="Q136" s="1">
        <f t="shared" ca="1" si="115"/>
        <v>4</v>
      </c>
      <c r="R136" s="1">
        <f t="shared" ca="1" si="115"/>
        <v>4</v>
      </c>
      <c r="S136" s="1">
        <f t="shared" ca="1" si="115"/>
        <v>4</v>
      </c>
      <c r="T136" s="1">
        <f t="shared" ca="1" si="115"/>
        <v>4</v>
      </c>
      <c r="U136" s="1">
        <f t="shared" ca="1" si="115"/>
        <v>4</v>
      </c>
      <c r="V136" s="1">
        <f t="shared" ca="1" si="115"/>
        <v>4</v>
      </c>
      <c r="W136" s="1">
        <f t="shared" ca="1" si="115"/>
        <v>4</v>
      </c>
      <c r="X136" s="1">
        <f t="shared" ca="1" si="115"/>
        <v>4</v>
      </c>
      <c r="AB136" s="28"/>
      <c r="AC136" s="28"/>
      <c r="AD136" s="28"/>
      <c r="AE136" s="28"/>
      <c r="AT136" s="28"/>
    </row>
    <row r="137" spans="2:46" hidden="1">
      <c r="B137" s="1" t="str">
        <f t="shared" si="96"/>
        <v xml:space="preserve">  2.2) Organizaciones comerciales</v>
      </c>
      <c r="C137" s="1">
        <f t="shared" ref="C137:X137" ca="1" si="116">COUNTIF(INDIRECT("C"&amp;$A83&amp;":"&amp;$C$54&amp;$A83),C83)</f>
        <v>2</v>
      </c>
      <c r="D137" s="1">
        <f t="shared" ca="1" si="116"/>
        <v>1</v>
      </c>
      <c r="E137" s="1">
        <f t="shared" ca="1" si="116"/>
        <v>1</v>
      </c>
      <c r="F137" s="1">
        <f t="shared" ca="1" si="116"/>
        <v>2</v>
      </c>
      <c r="G137" s="1">
        <f t="shared" ca="1" si="116"/>
        <v>4</v>
      </c>
      <c r="H137" s="1">
        <f t="shared" ca="1" si="116"/>
        <v>4</v>
      </c>
      <c r="I137" s="1">
        <f t="shared" ca="1" si="116"/>
        <v>2</v>
      </c>
      <c r="J137" s="1">
        <f t="shared" ca="1" si="116"/>
        <v>4</v>
      </c>
      <c r="K137" s="1">
        <f t="shared" ca="1" si="116"/>
        <v>2</v>
      </c>
      <c r="L137" s="1">
        <f t="shared" ca="1" si="116"/>
        <v>1</v>
      </c>
      <c r="M137" s="1">
        <f t="shared" ca="1" si="116"/>
        <v>4</v>
      </c>
      <c r="N137" s="1">
        <f t="shared" ca="1" si="116"/>
        <v>1</v>
      </c>
      <c r="O137" s="1">
        <f t="shared" ca="1" si="116"/>
        <v>2</v>
      </c>
      <c r="P137" s="1">
        <f t="shared" ca="1" si="116"/>
        <v>2</v>
      </c>
      <c r="Q137" s="1">
        <f t="shared" ca="1" si="116"/>
        <v>2</v>
      </c>
      <c r="R137" s="1">
        <f t="shared" ca="1" si="116"/>
        <v>2</v>
      </c>
      <c r="S137" s="1">
        <f t="shared" ca="1" si="116"/>
        <v>2</v>
      </c>
      <c r="T137" s="1">
        <f t="shared" ca="1" si="116"/>
        <v>2</v>
      </c>
      <c r="U137" s="1">
        <f t="shared" ca="1" si="116"/>
        <v>2</v>
      </c>
      <c r="V137" s="1">
        <f t="shared" ca="1" si="116"/>
        <v>2</v>
      </c>
      <c r="W137" s="1">
        <f t="shared" ca="1" si="116"/>
        <v>2</v>
      </c>
      <c r="X137" s="1">
        <f t="shared" ca="1" si="116"/>
        <v>2</v>
      </c>
      <c r="AB137" s="28"/>
      <c r="AC137" s="28"/>
      <c r="AD137" s="28"/>
      <c r="AE137" s="28"/>
      <c r="AT137" s="28"/>
    </row>
    <row r="138" spans="2:46" hidden="1">
      <c r="B138" s="1" t="str">
        <f t="shared" si="96"/>
        <v xml:space="preserve">   2.2.1) 21.¿Existen organizaciones de recicladores con actividad comercial en el municipio (cooperativas y/o microempresas)? </v>
      </c>
      <c r="C138" s="1">
        <f t="shared" ref="C138:X138" ca="1" si="117">COUNTIF(INDIRECT("C"&amp;$A84&amp;":"&amp;$C$54&amp;$A84),C84)</f>
        <v>6</v>
      </c>
      <c r="D138" s="1">
        <f t="shared" ca="1" si="117"/>
        <v>3</v>
      </c>
      <c r="E138" s="1">
        <f t="shared" ca="1" si="117"/>
        <v>3</v>
      </c>
      <c r="F138" s="1">
        <f t="shared" ca="1" si="117"/>
        <v>3</v>
      </c>
      <c r="G138" s="1">
        <f t="shared" ca="1" si="117"/>
        <v>6</v>
      </c>
      <c r="H138" s="1">
        <f t="shared" ca="1" si="117"/>
        <v>6</v>
      </c>
      <c r="I138" s="1">
        <f t="shared" ca="1" si="117"/>
        <v>6</v>
      </c>
      <c r="J138" s="1">
        <f t="shared" ca="1" si="117"/>
        <v>6</v>
      </c>
      <c r="K138" s="1">
        <f t="shared" ca="1" si="117"/>
        <v>3</v>
      </c>
      <c r="L138" s="1">
        <f t="shared" ca="1" si="117"/>
        <v>3</v>
      </c>
      <c r="M138" s="1">
        <f t="shared" ca="1" si="117"/>
        <v>6</v>
      </c>
      <c r="N138" s="1">
        <f t="shared" ca="1" si="117"/>
        <v>3</v>
      </c>
      <c r="O138" s="1">
        <f t="shared" ca="1" si="117"/>
        <v>3</v>
      </c>
      <c r="P138" s="1">
        <f t="shared" ca="1" si="117"/>
        <v>3</v>
      </c>
      <c r="Q138" s="1">
        <f t="shared" ca="1" si="117"/>
        <v>3</v>
      </c>
      <c r="R138" s="1">
        <f t="shared" ca="1" si="117"/>
        <v>3</v>
      </c>
      <c r="S138" s="1">
        <f t="shared" ca="1" si="117"/>
        <v>3</v>
      </c>
      <c r="T138" s="1">
        <f t="shared" ca="1" si="117"/>
        <v>3</v>
      </c>
      <c r="U138" s="1">
        <f t="shared" ca="1" si="117"/>
        <v>3</v>
      </c>
      <c r="V138" s="1">
        <f t="shared" ca="1" si="117"/>
        <v>3</v>
      </c>
      <c r="W138" s="1">
        <f t="shared" ca="1" si="117"/>
        <v>3</v>
      </c>
      <c r="X138" s="1">
        <f t="shared" ca="1" si="117"/>
        <v>3</v>
      </c>
      <c r="AB138" s="28"/>
      <c r="AC138" s="28"/>
      <c r="AD138" s="28"/>
      <c r="AE138" s="28"/>
      <c r="AT138" s="28"/>
    </row>
    <row r="139" spans="2:46" hidden="1">
      <c r="B139" s="1" t="str">
        <f t="shared" si="96"/>
        <v xml:space="preserve">   2.2.2) 22.¿Cuál es el nivel de participación de las organizaciones de recicladores en la cadena de valor del reciclaje?</v>
      </c>
      <c r="C139" s="1">
        <f t="shared" ref="C139:X139" ca="1" si="118">COUNTIF(INDIRECT("C"&amp;$A85&amp;":"&amp;$C$54&amp;$A85),C85)</f>
        <v>4</v>
      </c>
      <c r="D139" s="1">
        <f t="shared" ca="1" si="118"/>
        <v>6</v>
      </c>
      <c r="E139" s="1">
        <f t="shared" ca="1" si="118"/>
        <v>2</v>
      </c>
      <c r="F139" s="1">
        <f t="shared" ca="1" si="118"/>
        <v>4</v>
      </c>
      <c r="G139" s="1">
        <f t="shared" ca="1" si="118"/>
        <v>6</v>
      </c>
      <c r="H139" s="1">
        <f t="shared" ca="1" si="118"/>
        <v>6</v>
      </c>
      <c r="I139" s="1">
        <f t="shared" ca="1" si="118"/>
        <v>4</v>
      </c>
      <c r="J139" s="1">
        <f t="shared" ca="1" si="118"/>
        <v>6</v>
      </c>
      <c r="K139" s="1">
        <f t="shared" ca="1" si="118"/>
        <v>4</v>
      </c>
      <c r="L139" s="1">
        <f t="shared" ca="1" si="118"/>
        <v>2</v>
      </c>
      <c r="M139" s="1">
        <f t="shared" ca="1" si="118"/>
        <v>6</v>
      </c>
      <c r="N139" s="1">
        <f t="shared" ca="1" si="118"/>
        <v>6</v>
      </c>
      <c r="O139" s="1">
        <f t="shared" ca="1" si="118"/>
        <v>4</v>
      </c>
      <c r="P139" s="1">
        <f t="shared" ca="1" si="118"/>
        <v>4</v>
      </c>
      <c r="Q139" s="1">
        <f t="shared" ca="1" si="118"/>
        <v>4</v>
      </c>
      <c r="R139" s="1">
        <f t="shared" ca="1" si="118"/>
        <v>4</v>
      </c>
      <c r="S139" s="1">
        <f t="shared" ca="1" si="118"/>
        <v>4</v>
      </c>
      <c r="T139" s="1">
        <f t="shared" ca="1" si="118"/>
        <v>4</v>
      </c>
      <c r="U139" s="1">
        <f t="shared" ca="1" si="118"/>
        <v>4</v>
      </c>
      <c r="V139" s="1">
        <f t="shared" ca="1" si="118"/>
        <v>4</v>
      </c>
      <c r="W139" s="1">
        <f t="shared" ca="1" si="118"/>
        <v>4</v>
      </c>
      <c r="X139" s="1">
        <f t="shared" ca="1" si="118"/>
        <v>4</v>
      </c>
      <c r="AB139" s="28"/>
      <c r="AC139" s="28"/>
      <c r="AD139" s="28"/>
      <c r="AE139" s="28"/>
      <c r="AT139" s="28"/>
    </row>
    <row r="140" spans="2:46" hidden="1">
      <c r="B140" s="1" t="str">
        <f t="shared" si="96"/>
        <v xml:space="preserve">   2.2.3) 23. Las organizaciones comerciales de recicladores: ¿Tienen acceso a mecanismos de financiamiento?</v>
      </c>
      <c r="C140" s="1">
        <f t="shared" ref="C140:X140" ca="1" si="119">COUNTIF(INDIRECT("C"&amp;$A86&amp;":"&amp;$C$54&amp;$A86),C86)</f>
        <v>9</v>
      </c>
      <c r="D140" s="1">
        <f t="shared" ca="1" si="119"/>
        <v>9</v>
      </c>
      <c r="E140" s="1">
        <f t="shared" ca="1" si="119"/>
        <v>2</v>
      </c>
      <c r="F140" s="1">
        <f t="shared" ca="1" si="119"/>
        <v>9</v>
      </c>
      <c r="G140" s="1">
        <f t="shared" ca="1" si="119"/>
        <v>9</v>
      </c>
      <c r="H140" s="1">
        <f t="shared" ca="1" si="119"/>
        <v>9</v>
      </c>
      <c r="I140" s="1">
        <f t="shared" ca="1" si="119"/>
        <v>9</v>
      </c>
      <c r="J140" s="1">
        <f t="shared" ca="1" si="119"/>
        <v>9</v>
      </c>
      <c r="K140" s="1">
        <f t="shared" ca="1" si="119"/>
        <v>9</v>
      </c>
      <c r="L140" s="1">
        <f t="shared" ca="1" si="119"/>
        <v>1</v>
      </c>
      <c r="M140" s="1">
        <f t="shared" ca="1" si="119"/>
        <v>9</v>
      </c>
      <c r="N140" s="1">
        <f t="shared" ca="1" si="119"/>
        <v>2</v>
      </c>
      <c r="O140" s="1">
        <f t="shared" ca="1" si="119"/>
        <v>9</v>
      </c>
      <c r="P140" s="1">
        <f t="shared" ca="1" si="119"/>
        <v>9</v>
      </c>
      <c r="Q140" s="1">
        <f t="shared" ca="1" si="119"/>
        <v>9</v>
      </c>
      <c r="R140" s="1">
        <f t="shared" ca="1" si="119"/>
        <v>9</v>
      </c>
      <c r="S140" s="1">
        <f t="shared" ca="1" si="119"/>
        <v>9</v>
      </c>
      <c r="T140" s="1">
        <f t="shared" ca="1" si="119"/>
        <v>9</v>
      </c>
      <c r="U140" s="1">
        <f t="shared" ca="1" si="119"/>
        <v>9</v>
      </c>
      <c r="V140" s="1">
        <f t="shared" ca="1" si="119"/>
        <v>9</v>
      </c>
      <c r="W140" s="1">
        <f t="shared" ca="1" si="119"/>
        <v>9</v>
      </c>
      <c r="X140" s="1">
        <f t="shared" ca="1" si="119"/>
        <v>9</v>
      </c>
      <c r="AB140" s="28"/>
      <c r="AC140" s="28"/>
      <c r="AD140" s="28"/>
      <c r="AE140" s="28"/>
      <c r="AT140" s="28"/>
    </row>
    <row r="141" spans="2:46" hidden="1">
      <c r="B141" s="1" t="str">
        <f t="shared" si="96"/>
        <v xml:space="preserve"> 3) MERCADO</v>
      </c>
      <c r="C141" s="1">
        <f t="shared" ref="C141:X141" ca="1" si="120">COUNTIF(INDIRECT("C"&amp;$A87&amp;":"&amp;$C$54&amp;$A87),C87)</f>
        <v>1</v>
      </c>
      <c r="D141" s="1">
        <f t="shared" ca="1" si="120"/>
        <v>1</v>
      </c>
      <c r="E141" s="1">
        <f t="shared" ca="1" si="120"/>
        <v>1</v>
      </c>
      <c r="F141" s="1">
        <f t="shared" ca="1" si="120"/>
        <v>1</v>
      </c>
      <c r="G141" s="1">
        <f t="shared" ca="1" si="120"/>
        <v>1</v>
      </c>
      <c r="H141" s="1">
        <f t="shared" ca="1" si="120"/>
        <v>1</v>
      </c>
      <c r="I141" s="1">
        <f t="shared" ca="1" si="120"/>
        <v>1</v>
      </c>
      <c r="J141" s="1">
        <f t="shared" ca="1" si="120"/>
        <v>1</v>
      </c>
      <c r="K141" s="1">
        <f t="shared" ca="1" si="120"/>
        <v>1</v>
      </c>
      <c r="L141" s="1">
        <f t="shared" ca="1" si="120"/>
        <v>1</v>
      </c>
      <c r="M141" s="1">
        <f t="shared" ca="1" si="120"/>
        <v>1</v>
      </c>
      <c r="N141" s="1">
        <f t="shared" ca="1" si="120"/>
        <v>1</v>
      </c>
      <c r="O141" s="1">
        <f t="shared" ca="1" si="120"/>
        <v>0</v>
      </c>
      <c r="P141" s="1">
        <f t="shared" ca="1" si="120"/>
        <v>0</v>
      </c>
      <c r="Q141" s="1">
        <f t="shared" ca="1" si="120"/>
        <v>0</v>
      </c>
      <c r="R141" s="1">
        <f t="shared" ca="1" si="120"/>
        <v>0</v>
      </c>
      <c r="S141" s="1">
        <f t="shared" ca="1" si="120"/>
        <v>0</v>
      </c>
      <c r="T141" s="1">
        <f t="shared" ca="1" si="120"/>
        <v>0</v>
      </c>
      <c r="U141" s="1">
        <f t="shared" ca="1" si="120"/>
        <v>0</v>
      </c>
      <c r="V141" s="1">
        <f t="shared" ca="1" si="120"/>
        <v>0</v>
      </c>
      <c r="W141" s="1">
        <f t="shared" ca="1" si="120"/>
        <v>0</v>
      </c>
      <c r="X141" s="1">
        <f t="shared" ca="1" si="120"/>
        <v>0</v>
      </c>
      <c r="AB141" s="28"/>
      <c r="AC141" s="28"/>
      <c r="AD141" s="28"/>
      <c r="AE141" s="28"/>
      <c r="AT141" s="28"/>
    </row>
    <row r="142" spans="2:46" hidden="1">
      <c r="B142" s="1" t="str">
        <f t="shared" si="96"/>
        <v xml:space="preserve">  3.1) Condiciones de acceso y almacenamiento de residuos</v>
      </c>
      <c r="C142" s="1">
        <f t="shared" ref="C142:X142" ca="1" si="121">COUNTIF(INDIRECT("C"&amp;$A88&amp;":"&amp;$C$54&amp;$A88),C88)</f>
        <v>2</v>
      </c>
      <c r="D142" s="1">
        <f t="shared" ca="1" si="121"/>
        <v>1</v>
      </c>
      <c r="E142" s="1">
        <f t="shared" ca="1" si="121"/>
        <v>1</v>
      </c>
      <c r="F142" s="1">
        <f t="shared" ca="1" si="121"/>
        <v>2</v>
      </c>
      <c r="G142" s="1">
        <f t="shared" ca="1" si="121"/>
        <v>1</v>
      </c>
      <c r="H142" s="1">
        <f t="shared" ca="1" si="121"/>
        <v>1</v>
      </c>
      <c r="I142" s="1">
        <f t="shared" ca="1" si="121"/>
        <v>2</v>
      </c>
      <c r="J142" s="1">
        <f t="shared" ca="1" si="121"/>
        <v>2</v>
      </c>
      <c r="K142" s="1">
        <f t="shared" ca="1" si="121"/>
        <v>2</v>
      </c>
      <c r="L142" s="1">
        <f t="shared" ca="1" si="121"/>
        <v>1</v>
      </c>
      <c r="M142" s="1">
        <f t="shared" ca="1" si="121"/>
        <v>2</v>
      </c>
      <c r="N142" s="1">
        <f t="shared" ca="1" si="121"/>
        <v>1</v>
      </c>
      <c r="O142" s="1">
        <f t="shared" ca="1" si="121"/>
        <v>0</v>
      </c>
      <c r="P142" s="1">
        <f t="shared" ca="1" si="121"/>
        <v>0</v>
      </c>
      <c r="Q142" s="1">
        <f t="shared" ca="1" si="121"/>
        <v>0</v>
      </c>
      <c r="R142" s="1">
        <f t="shared" ca="1" si="121"/>
        <v>0</v>
      </c>
      <c r="S142" s="1">
        <f t="shared" ca="1" si="121"/>
        <v>0</v>
      </c>
      <c r="T142" s="1">
        <f t="shared" ca="1" si="121"/>
        <v>0</v>
      </c>
      <c r="U142" s="1">
        <f t="shared" ca="1" si="121"/>
        <v>0</v>
      </c>
      <c r="V142" s="1">
        <f t="shared" ca="1" si="121"/>
        <v>0</v>
      </c>
      <c r="W142" s="1">
        <f t="shared" ca="1" si="121"/>
        <v>0</v>
      </c>
      <c r="X142" s="1">
        <f t="shared" ca="1" si="121"/>
        <v>0</v>
      </c>
      <c r="AB142" s="28"/>
      <c r="AC142" s="28"/>
      <c r="AD142" s="28"/>
      <c r="AE142" s="28"/>
      <c r="AT142" s="28"/>
    </row>
    <row r="143" spans="2:46" hidden="1">
      <c r="B143" s="1" t="str">
        <f t="shared" si="96"/>
        <v xml:space="preserve">   3.1.1) 24.¿Cómo es el acceso del material reciclable?</v>
      </c>
      <c r="C143" s="1">
        <f t="shared" ref="C143:X143" ca="1" si="122">COUNTIF(INDIRECT("C"&amp;$A89&amp;":"&amp;$C$54&amp;$A89),C89)</f>
        <v>8</v>
      </c>
      <c r="D143" s="1">
        <f t="shared" ca="1" si="122"/>
        <v>2</v>
      </c>
      <c r="E143" s="1">
        <f t="shared" ca="1" si="122"/>
        <v>2</v>
      </c>
      <c r="F143" s="1">
        <f t="shared" ca="1" si="122"/>
        <v>8</v>
      </c>
      <c r="G143" s="1">
        <f t="shared" ca="1" si="122"/>
        <v>8</v>
      </c>
      <c r="H143" s="1">
        <f t="shared" ca="1" si="122"/>
        <v>2</v>
      </c>
      <c r="I143" s="1">
        <f t="shared" ca="1" si="122"/>
        <v>8</v>
      </c>
      <c r="J143" s="1">
        <f t="shared" ca="1" si="122"/>
        <v>8</v>
      </c>
      <c r="K143" s="1">
        <f t="shared" ca="1" si="122"/>
        <v>8</v>
      </c>
      <c r="L143" s="1">
        <f t="shared" ca="1" si="122"/>
        <v>2</v>
      </c>
      <c r="M143" s="1">
        <f t="shared" ca="1" si="122"/>
        <v>8</v>
      </c>
      <c r="N143" s="1">
        <f t="shared" ca="1" si="122"/>
        <v>8</v>
      </c>
      <c r="O143" s="1">
        <f t="shared" ca="1" si="122"/>
        <v>0</v>
      </c>
      <c r="P143" s="1">
        <f t="shared" ca="1" si="122"/>
        <v>0</v>
      </c>
      <c r="Q143" s="1">
        <f t="shared" ca="1" si="122"/>
        <v>0</v>
      </c>
      <c r="R143" s="1">
        <f t="shared" ca="1" si="122"/>
        <v>0</v>
      </c>
      <c r="S143" s="1">
        <f t="shared" ca="1" si="122"/>
        <v>0</v>
      </c>
      <c r="T143" s="1">
        <f t="shared" ca="1" si="122"/>
        <v>0</v>
      </c>
      <c r="U143" s="1">
        <f t="shared" ca="1" si="122"/>
        <v>0</v>
      </c>
      <c r="V143" s="1">
        <f t="shared" ca="1" si="122"/>
        <v>0</v>
      </c>
      <c r="W143" s="1">
        <f t="shared" ca="1" si="122"/>
        <v>0</v>
      </c>
      <c r="X143" s="1">
        <f t="shared" ca="1" si="122"/>
        <v>0</v>
      </c>
      <c r="AB143" s="28"/>
      <c r="AC143" s="28"/>
      <c r="AD143" s="28"/>
      <c r="AE143" s="28"/>
      <c r="AT143" s="28"/>
    </row>
    <row r="144" spans="2:46" hidden="1">
      <c r="B144" s="1" t="str">
        <f t="shared" si="96"/>
        <v xml:space="preserve">   3.1.2) 25.¿Existen esquemas formales de recolección diferenciada de residuos reciclables en el municipio que involucran a recicladores de base?</v>
      </c>
      <c r="C144" s="1">
        <f t="shared" ref="C144:X144" ca="1" si="123">COUNTIF(INDIRECT("C"&amp;$A90&amp;":"&amp;$C$54&amp;$A90),C90)</f>
        <v>5</v>
      </c>
      <c r="D144" s="1">
        <f t="shared" ca="1" si="123"/>
        <v>5</v>
      </c>
      <c r="E144" s="1">
        <f t="shared" ca="1" si="123"/>
        <v>4</v>
      </c>
      <c r="F144" s="1">
        <f t="shared" ca="1" si="123"/>
        <v>5</v>
      </c>
      <c r="G144" s="1">
        <f t="shared" ca="1" si="123"/>
        <v>5</v>
      </c>
      <c r="H144" s="1">
        <f t="shared" ca="1" si="123"/>
        <v>4</v>
      </c>
      <c r="I144" s="1">
        <f t="shared" ca="1" si="123"/>
        <v>3</v>
      </c>
      <c r="J144" s="1">
        <f t="shared" ca="1" si="123"/>
        <v>5</v>
      </c>
      <c r="K144" s="1">
        <f t="shared" ca="1" si="123"/>
        <v>3</v>
      </c>
      <c r="L144" s="1">
        <f t="shared" ca="1" si="123"/>
        <v>4</v>
      </c>
      <c r="M144" s="1">
        <f t="shared" ca="1" si="123"/>
        <v>3</v>
      </c>
      <c r="N144" s="1">
        <f t="shared" ca="1" si="123"/>
        <v>4</v>
      </c>
      <c r="O144" s="1">
        <f t="shared" ca="1" si="123"/>
        <v>5</v>
      </c>
      <c r="P144" s="1">
        <f t="shared" ca="1" si="123"/>
        <v>5</v>
      </c>
      <c r="Q144" s="1">
        <f t="shared" ca="1" si="123"/>
        <v>5</v>
      </c>
      <c r="R144" s="1">
        <f t="shared" ca="1" si="123"/>
        <v>5</v>
      </c>
      <c r="S144" s="1">
        <f t="shared" ca="1" si="123"/>
        <v>5</v>
      </c>
      <c r="T144" s="1">
        <f t="shared" ca="1" si="123"/>
        <v>5</v>
      </c>
      <c r="U144" s="1">
        <f t="shared" ca="1" si="123"/>
        <v>5</v>
      </c>
      <c r="V144" s="1">
        <f t="shared" ca="1" si="123"/>
        <v>5</v>
      </c>
      <c r="W144" s="1">
        <f t="shared" ca="1" si="123"/>
        <v>5</v>
      </c>
      <c r="X144" s="1">
        <f t="shared" ca="1" si="123"/>
        <v>5</v>
      </c>
      <c r="AB144" s="28"/>
      <c r="AC144" s="28"/>
      <c r="AD144" s="28"/>
      <c r="AE144" s="28"/>
      <c r="AT144" s="28"/>
    </row>
    <row r="145" spans="2:46" hidden="1">
      <c r="B145" s="1" t="str">
        <f t="shared" si="96"/>
        <v xml:space="preserve">   3.1.3) 26.¿Los recicladores tienen acceso a instalaciones para el almacenamiento y la clasificación de materiales?</v>
      </c>
      <c r="C145" s="1">
        <f t="shared" ref="C145:X145" ca="1" si="124">COUNTIF(INDIRECT("C"&amp;$A91&amp;":"&amp;$C$54&amp;$A91),C91)</f>
        <v>5</v>
      </c>
      <c r="D145" s="1">
        <f t="shared" ca="1" si="124"/>
        <v>7</v>
      </c>
      <c r="E145" s="1">
        <f t="shared" ca="1" si="124"/>
        <v>7</v>
      </c>
      <c r="F145" s="1">
        <f t="shared" ca="1" si="124"/>
        <v>5</v>
      </c>
      <c r="G145" s="1">
        <f t="shared" ca="1" si="124"/>
        <v>7</v>
      </c>
      <c r="H145" s="1">
        <f t="shared" ca="1" si="124"/>
        <v>5</v>
      </c>
      <c r="I145" s="1">
        <f t="shared" ca="1" si="124"/>
        <v>7</v>
      </c>
      <c r="J145" s="1">
        <f t="shared" ca="1" si="124"/>
        <v>5</v>
      </c>
      <c r="K145" s="1">
        <f t="shared" ca="1" si="124"/>
        <v>5</v>
      </c>
      <c r="L145" s="1">
        <f t="shared" ca="1" si="124"/>
        <v>7</v>
      </c>
      <c r="M145" s="1">
        <f t="shared" ca="1" si="124"/>
        <v>7</v>
      </c>
      <c r="N145" s="1">
        <f t="shared" ca="1" si="124"/>
        <v>7</v>
      </c>
      <c r="O145" s="1">
        <f t="shared" ca="1" si="124"/>
        <v>5</v>
      </c>
      <c r="P145" s="1">
        <f t="shared" ca="1" si="124"/>
        <v>5</v>
      </c>
      <c r="Q145" s="1">
        <f t="shared" ca="1" si="124"/>
        <v>5</v>
      </c>
      <c r="R145" s="1">
        <f t="shared" ca="1" si="124"/>
        <v>5</v>
      </c>
      <c r="S145" s="1">
        <f t="shared" ca="1" si="124"/>
        <v>5</v>
      </c>
      <c r="T145" s="1">
        <f t="shared" ca="1" si="124"/>
        <v>5</v>
      </c>
      <c r="U145" s="1">
        <f t="shared" ca="1" si="124"/>
        <v>5</v>
      </c>
      <c r="V145" s="1">
        <f t="shared" ca="1" si="124"/>
        <v>5</v>
      </c>
      <c r="W145" s="1">
        <f t="shared" ca="1" si="124"/>
        <v>5</v>
      </c>
      <c r="X145" s="1">
        <f t="shared" ca="1" si="124"/>
        <v>5</v>
      </c>
      <c r="AB145" s="28"/>
      <c r="AC145" s="28"/>
      <c r="AD145" s="28"/>
      <c r="AE145" s="28"/>
      <c r="AT145" s="28"/>
    </row>
    <row r="146" spans="2:46" hidden="1">
      <c r="B146" s="1" t="str">
        <f t="shared" si="96"/>
        <v xml:space="preserve">   3.1.4) 27.¿Cuál es el nivel de desarrollo técnico alcanzado en la clasificación (o pre-procesamiento) de materiales reciclables por parte de agrupaciones de recicladores?</v>
      </c>
      <c r="C146" s="1">
        <f t="shared" ref="C146:X146" ca="1" si="125">COUNTIF(INDIRECT("C"&amp;$A92&amp;":"&amp;$C$54&amp;$A92),C92)</f>
        <v>8</v>
      </c>
      <c r="D146" s="1">
        <f t="shared" ca="1" si="125"/>
        <v>3</v>
      </c>
      <c r="E146" s="1">
        <f t="shared" ca="1" si="125"/>
        <v>1</v>
      </c>
      <c r="F146" s="1">
        <f t="shared" ca="1" si="125"/>
        <v>3</v>
      </c>
      <c r="G146" s="1">
        <f t="shared" ca="1" si="125"/>
        <v>8</v>
      </c>
      <c r="H146" s="1">
        <f t="shared" ca="1" si="125"/>
        <v>8</v>
      </c>
      <c r="I146" s="1">
        <f t="shared" ca="1" si="125"/>
        <v>8</v>
      </c>
      <c r="J146" s="1">
        <f t="shared" ca="1" si="125"/>
        <v>8</v>
      </c>
      <c r="K146" s="1">
        <f t="shared" ca="1" si="125"/>
        <v>8</v>
      </c>
      <c r="L146" s="1">
        <f t="shared" ca="1" si="125"/>
        <v>3</v>
      </c>
      <c r="M146" s="1">
        <f t="shared" ca="1" si="125"/>
        <v>8</v>
      </c>
      <c r="N146" s="1">
        <f t="shared" ca="1" si="125"/>
        <v>8</v>
      </c>
      <c r="O146" s="1">
        <f t="shared" ca="1" si="125"/>
        <v>8</v>
      </c>
      <c r="P146" s="1">
        <f t="shared" ca="1" si="125"/>
        <v>8</v>
      </c>
      <c r="Q146" s="1">
        <f t="shared" ca="1" si="125"/>
        <v>8</v>
      </c>
      <c r="R146" s="1">
        <f t="shared" ca="1" si="125"/>
        <v>8</v>
      </c>
      <c r="S146" s="1">
        <f t="shared" ca="1" si="125"/>
        <v>8</v>
      </c>
      <c r="T146" s="1">
        <f t="shared" ca="1" si="125"/>
        <v>8</v>
      </c>
      <c r="U146" s="1">
        <f t="shared" ca="1" si="125"/>
        <v>8</v>
      </c>
      <c r="V146" s="1">
        <f t="shared" ca="1" si="125"/>
        <v>8</v>
      </c>
      <c r="W146" s="1">
        <f t="shared" ca="1" si="125"/>
        <v>8</v>
      </c>
      <c r="X146" s="1">
        <f t="shared" ca="1" si="125"/>
        <v>8</v>
      </c>
      <c r="AB146" s="28"/>
      <c r="AC146" s="28"/>
      <c r="AD146" s="28"/>
      <c r="AE146" s="28"/>
      <c r="AT146" s="28"/>
    </row>
    <row r="147" spans="2:46" hidden="1">
      <c r="B147" s="1" t="str">
        <f t="shared" si="96"/>
        <v xml:space="preserve">  3.2) Condiciones para la comercialización de material reciclable</v>
      </c>
      <c r="C147" s="1">
        <f t="shared" ref="C147:X147" ca="1" si="126">COUNTIF(INDIRECT("C"&amp;$A93&amp;":"&amp;$C$54&amp;$A93),C93)</f>
        <v>1</v>
      </c>
      <c r="D147" s="1">
        <f t="shared" ca="1" si="126"/>
        <v>1</v>
      </c>
      <c r="E147" s="1">
        <f t="shared" ca="1" si="126"/>
        <v>1</v>
      </c>
      <c r="F147" s="1">
        <f t="shared" ca="1" si="126"/>
        <v>1</v>
      </c>
      <c r="G147" s="1">
        <f t="shared" ca="1" si="126"/>
        <v>1</v>
      </c>
      <c r="H147" s="1">
        <f t="shared" ca="1" si="126"/>
        <v>1</v>
      </c>
      <c r="I147" s="1">
        <f t="shared" ca="1" si="126"/>
        <v>1</v>
      </c>
      <c r="J147" s="1">
        <f t="shared" ca="1" si="126"/>
        <v>1</v>
      </c>
      <c r="K147" s="1">
        <f t="shared" ca="1" si="126"/>
        <v>1</v>
      </c>
      <c r="L147" s="1">
        <f t="shared" ca="1" si="126"/>
        <v>1</v>
      </c>
      <c r="M147" s="1">
        <f t="shared" ca="1" si="126"/>
        <v>1</v>
      </c>
      <c r="N147" s="1">
        <f t="shared" ca="1" si="126"/>
        <v>1</v>
      </c>
      <c r="O147" s="1">
        <f t="shared" ca="1" si="126"/>
        <v>0</v>
      </c>
      <c r="P147" s="1">
        <f t="shared" ca="1" si="126"/>
        <v>0</v>
      </c>
      <c r="Q147" s="1">
        <f t="shared" ca="1" si="126"/>
        <v>0</v>
      </c>
      <c r="R147" s="1">
        <f t="shared" ca="1" si="126"/>
        <v>0</v>
      </c>
      <c r="S147" s="1">
        <f t="shared" ca="1" si="126"/>
        <v>0</v>
      </c>
      <c r="T147" s="1">
        <f t="shared" ca="1" si="126"/>
        <v>0</v>
      </c>
      <c r="U147" s="1">
        <f t="shared" ca="1" si="126"/>
        <v>0</v>
      </c>
      <c r="V147" s="1">
        <f t="shared" ca="1" si="126"/>
        <v>0</v>
      </c>
      <c r="W147" s="1">
        <f t="shared" ca="1" si="126"/>
        <v>0</v>
      </c>
      <c r="X147" s="1">
        <f t="shared" ca="1" si="126"/>
        <v>0</v>
      </c>
      <c r="AB147" s="28"/>
      <c r="AC147" s="28"/>
      <c r="AD147" s="28"/>
      <c r="AE147" s="28"/>
      <c r="AT147" s="28"/>
    </row>
    <row r="148" spans="2:46" hidden="1">
      <c r="B148" s="1" t="str">
        <f t="shared" si="96"/>
        <v xml:space="preserve">   3.2.1) 28.¿Cuál es la diferencia de valor del material en los diferentes eslabones de la cadena del reciclaje?</v>
      </c>
      <c r="C148" s="1">
        <f t="shared" ref="C148:X148" ca="1" si="127">COUNTIF(INDIRECT("C"&amp;$A94&amp;":"&amp;$C$54&amp;$A94),C94)</f>
        <v>2</v>
      </c>
      <c r="D148" s="1">
        <f t="shared" ca="1" si="127"/>
        <v>1</v>
      </c>
      <c r="E148" s="1">
        <f t="shared" ca="1" si="127"/>
        <v>1</v>
      </c>
      <c r="F148" s="1">
        <f t="shared" ca="1" si="127"/>
        <v>2</v>
      </c>
      <c r="G148" s="1">
        <f t="shared" ca="1" si="127"/>
        <v>1</v>
      </c>
      <c r="H148" s="1">
        <f t="shared" ca="1" si="127"/>
        <v>1</v>
      </c>
      <c r="I148" s="1">
        <f t="shared" ca="1" si="127"/>
        <v>1</v>
      </c>
      <c r="J148" s="1">
        <f t="shared" ca="1" si="127"/>
        <v>1</v>
      </c>
      <c r="K148" s="1">
        <f t="shared" ca="1" si="127"/>
        <v>1</v>
      </c>
      <c r="L148" s="1">
        <f t="shared" ca="1" si="127"/>
        <v>1</v>
      </c>
      <c r="M148" s="1">
        <f t="shared" ca="1" si="127"/>
        <v>1</v>
      </c>
      <c r="N148" s="1">
        <f t="shared" ca="1" si="127"/>
        <v>1</v>
      </c>
      <c r="O148" s="1">
        <f t="shared" ca="1" si="127"/>
        <v>0</v>
      </c>
      <c r="P148" s="1">
        <f t="shared" ca="1" si="127"/>
        <v>1</v>
      </c>
      <c r="Q148" s="1">
        <f t="shared" ca="1" si="127"/>
        <v>1</v>
      </c>
      <c r="R148" s="1">
        <f t="shared" ca="1" si="127"/>
        <v>1</v>
      </c>
      <c r="S148" s="1">
        <f t="shared" ca="1" si="127"/>
        <v>1</v>
      </c>
      <c r="T148" s="1">
        <f t="shared" ca="1" si="127"/>
        <v>1</v>
      </c>
      <c r="U148" s="1">
        <f t="shared" ca="1" si="127"/>
        <v>1</v>
      </c>
      <c r="V148" s="1">
        <f t="shared" ca="1" si="127"/>
        <v>1</v>
      </c>
      <c r="W148" s="1">
        <f t="shared" ca="1" si="127"/>
        <v>1</v>
      </c>
      <c r="X148" s="1">
        <f t="shared" ca="1" si="127"/>
        <v>1</v>
      </c>
      <c r="AB148" s="28"/>
      <c r="AC148" s="28"/>
      <c r="AD148" s="28"/>
      <c r="AE148" s="28"/>
      <c r="AT148" s="28"/>
    </row>
    <row r="149" spans="2:46" hidden="1">
      <c r="B149" s="1" t="str">
        <f t="shared" si="96"/>
        <v xml:space="preserve">   3.2.2) 29.¿Cuál es el nivel de desarrollo de la industria transformadora a nivel nacional?</v>
      </c>
      <c r="C149" s="1">
        <f t="shared" ref="C149:X149" ca="1" si="128">COUNTIF(INDIRECT("C"&amp;$A95&amp;":"&amp;$C$54&amp;$A95),C95)</f>
        <v>9</v>
      </c>
      <c r="D149" s="1">
        <f t="shared" ca="1" si="128"/>
        <v>9</v>
      </c>
      <c r="E149" s="1">
        <f t="shared" ca="1" si="128"/>
        <v>9</v>
      </c>
      <c r="F149" s="1">
        <f t="shared" ca="1" si="128"/>
        <v>1</v>
      </c>
      <c r="G149" s="1">
        <f t="shared" ca="1" si="128"/>
        <v>9</v>
      </c>
      <c r="H149" s="1">
        <f t="shared" ca="1" si="128"/>
        <v>9</v>
      </c>
      <c r="I149" s="1">
        <f t="shared" ca="1" si="128"/>
        <v>9</v>
      </c>
      <c r="J149" s="1">
        <f t="shared" ca="1" si="128"/>
        <v>9</v>
      </c>
      <c r="K149" s="1">
        <f t="shared" ca="1" si="128"/>
        <v>2</v>
      </c>
      <c r="L149" s="1">
        <f t="shared" ca="1" si="128"/>
        <v>9</v>
      </c>
      <c r="M149" s="1">
        <f t="shared" ca="1" si="128"/>
        <v>2</v>
      </c>
      <c r="N149" s="1">
        <f t="shared" ca="1" si="128"/>
        <v>9</v>
      </c>
      <c r="O149" s="1">
        <f t="shared" ca="1" si="128"/>
        <v>0</v>
      </c>
      <c r="P149" s="1">
        <f t="shared" ca="1" si="128"/>
        <v>0</v>
      </c>
      <c r="Q149" s="1">
        <f t="shared" ca="1" si="128"/>
        <v>0</v>
      </c>
      <c r="R149" s="1">
        <f t="shared" ca="1" si="128"/>
        <v>0</v>
      </c>
      <c r="S149" s="1">
        <f t="shared" ca="1" si="128"/>
        <v>0</v>
      </c>
      <c r="T149" s="1">
        <f t="shared" ca="1" si="128"/>
        <v>0</v>
      </c>
      <c r="U149" s="1">
        <f t="shared" ca="1" si="128"/>
        <v>0</v>
      </c>
      <c r="V149" s="1">
        <f t="shared" ca="1" si="128"/>
        <v>0</v>
      </c>
      <c r="W149" s="1">
        <f t="shared" ca="1" si="128"/>
        <v>0</v>
      </c>
      <c r="X149" s="1">
        <f t="shared" ca="1" si="128"/>
        <v>0</v>
      </c>
      <c r="AB149" s="28"/>
      <c r="AC149" s="28"/>
      <c r="AD149" s="28"/>
      <c r="AE149" s="28"/>
      <c r="AT149" s="28"/>
    </row>
    <row r="150" spans="2:46" hidden="1">
      <c r="B150" s="1" t="str">
        <f t="shared" si="96"/>
        <v xml:space="preserve">  3.3) Ingreso de los recicladores de base</v>
      </c>
      <c r="C150" s="1">
        <f t="shared" ref="C150:X150" ca="1" si="129">COUNTIF(INDIRECT("C"&amp;$A96&amp;":"&amp;$C$54&amp;$A96),C96)</f>
        <v>1</v>
      </c>
      <c r="D150" s="1">
        <f t="shared" ca="1" si="129"/>
        <v>1</v>
      </c>
      <c r="E150" s="1">
        <f t="shared" ca="1" si="129"/>
        <v>1</v>
      </c>
      <c r="F150" s="1">
        <f t="shared" ca="1" si="129"/>
        <v>1</v>
      </c>
      <c r="G150" s="1">
        <f t="shared" ca="1" si="129"/>
        <v>1</v>
      </c>
      <c r="H150" s="1">
        <f t="shared" ca="1" si="129"/>
        <v>1</v>
      </c>
      <c r="I150" s="1">
        <f t="shared" ca="1" si="129"/>
        <v>1</v>
      </c>
      <c r="J150" s="1">
        <f t="shared" ca="1" si="129"/>
        <v>1</v>
      </c>
      <c r="K150" s="1">
        <f t="shared" ca="1" si="129"/>
        <v>1</v>
      </c>
      <c r="L150" s="1">
        <f t="shared" ca="1" si="129"/>
        <v>1</v>
      </c>
      <c r="M150" s="1">
        <f t="shared" ca="1" si="129"/>
        <v>1</v>
      </c>
      <c r="N150" s="1">
        <f t="shared" ca="1" si="129"/>
        <v>1</v>
      </c>
      <c r="O150" s="1">
        <f t="shared" ca="1" si="129"/>
        <v>0</v>
      </c>
      <c r="P150" s="1">
        <f t="shared" ca="1" si="129"/>
        <v>1</v>
      </c>
      <c r="Q150" s="1">
        <f t="shared" ca="1" si="129"/>
        <v>1</v>
      </c>
      <c r="R150" s="1">
        <f t="shared" ca="1" si="129"/>
        <v>1</v>
      </c>
      <c r="S150" s="1">
        <f t="shared" ca="1" si="129"/>
        <v>1</v>
      </c>
      <c r="T150" s="1">
        <f t="shared" ca="1" si="129"/>
        <v>1</v>
      </c>
      <c r="U150" s="1">
        <f t="shared" ca="1" si="129"/>
        <v>1</v>
      </c>
      <c r="V150" s="1">
        <f t="shared" ca="1" si="129"/>
        <v>1</v>
      </c>
      <c r="W150" s="1">
        <f t="shared" ca="1" si="129"/>
        <v>1</v>
      </c>
      <c r="X150" s="1">
        <f t="shared" ca="1" si="129"/>
        <v>1</v>
      </c>
      <c r="AB150" s="28"/>
      <c r="AC150" s="28"/>
      <c r="AD150" s="28"/>
      <c r="AE150" s="28"/>
      <c r="AT150" s="28"/>
    </row>
    <row r="151" spans="2:46" hidden="1">
      <c r="B151" s="1" t="str">
        <f t="shared" si="96"/>
        <v xml:space="preserve">   3.3.1) 30.¿Se permite la contratación con agrupaciones de recicladores de base en el sistema de gestión de residuos del municipio?</v>
      </c>
      <c r="C151" s="1">
        <f t="shared" ref="C151:X151" ca="1" si="130">COUNTIF(INDIRECT("C"&amp;$A97&amp;":"&amp;$C$54&amp;$A97),C97)</f>
        <v>6</v>
      </c>
      <c r="D151" s="1">
        <f t="shared" ca="1" si="130"/>
        <v>3</v>
      </c>
      <c r="E151" s="1">
        <f t="shared" ca="1" si="130"/>
        <v>3</v>
      </c>
      <c r="F151" s="1">
        <f t="shared" ca="1" si="130"/>
        <v>6</v>
      </c>
      <c r="G151" s="1">
        <f t="shared" ca="1" si="130"/>
        <v>3</v>
      </c>
      <c r="H151" s="1">
        <f t="shared" ca="1" si="130"/>
        <v>3</v>
      </c>
      <c r="I151" s="1">
        <f t="shared" ca="1" si="130"/>
        <v>3</v>
      </c>
      <c r="J151" s="1">
        <f t="shared" ca="1" si="130"/>
        <v>6</v>
      </c>
      <c r="K151" s="1">
        <f t="shared" ca="1" si="130"/>
        <v>6</v>
      </c>
      <c r="L151" s="1">
        <f t="shared" ca="1" si="130"/>
        <v>3</v>
      </c>
      <c r="M151" s="1">
        <f t="shared" ca="1" si="130"/>
        <v>6</v>
      </c>
      <c r="N151" s="1">
        <f t="shared" ca="1" si="130"/>
        <v>6</v>
      </c>
      <c r="O151" s="1">
        <f t="shared" ca="1" si="130"/>
        <v>6</v>
      </c>
      <c r="P151" s="1">
        <f t="shared" ca="1" si="130"/>
        <v>6</v>
      </c>
      <c r="Q151" s="1">
        <f t="shared" ca="1" si="130"/>
        <v>6</v>
      </c>
      <c r="R151" s="1">
        <f t="shared" ca="1" si="130"/>
        <v>6</v>
      </c>
      <c r="S151" s="1">
        <f t="shared" ca="1" si="130"/>
        <v>6</v>
      </c>
      <c r="T151" s="1">
        <f t="shared" ca="1" si="130"/>
        <v>6</v>
      </c>
      <c r="U151" s="1">
        <f t="shared" ca="1" si="130"/>
        <v>6</v>
      </c>
      <c r="V151" s="1">
        <f t="shared" ca="1" si="130"/>
        <v>6</v>
      </c>
      <c r="W151" s="1">
        <f t="shared" ca="1" si="130"/>
        <v>6</v>
      </c>
      <c r="X151" s="1">
        <f t="shared" ca="1" si="130"/>
        <v>6</v>
      </c>
      <c r="AB151" s="28"/>
      <c r="AC151" s="28"/>
      <c r="AD151" s="28"/>
      <c r="AE151" s="28"/>
      <c r="AT151" s="28"/>
    </row>
    <row r="152" spans="2:46" hidden="1">
      <c r="B152" s="1" t="str">
        <f t="shared" si="96"/>
        <v xml:space="preserve">   3.3.2) 31.¿Existen mecanismos de pago periódico fijo para los recicladores de base por servicios prestados?</v>
      </c>
      <c r="C152" s="1">
        <f t="shared" ref="C152:X152" ca="1" si="131">COUNTIF(INDIRECT("C"&amp;$A98&amp;":"&amp;$C$54&amp;$A98),C98)</f>
        <v>9</v>
      </c>
      <c r="D152" s="1">
        <f t="shared" ca="1" si="131"/>
        <v>3</v>
      </c>
      <c r="E152" s="1">
        <f t="shared" ca="1" si="131"/>
        <v>3</v>
      </c>
      <c r="F152" s="1">
        <f t="shared" ca="1" si="131"/>
        <v>9</v>
      </c>
      <c r="G152" s="1">
        <f t="shared" ca="1" si="131"/>
        <v>9</v>
      </c>
      <c r="H152" s="1">
        <f t="shared" ca="1" si="131"/>
        <v>9</v>
      </c>
      <c r="I152" s="1">
        <f t="shared" ca="1" si="131"/>
        <v>9</v>
      </c>
      <c r="J152" s="1">
        <f t="shared" ca="1" si="131"/>
        <v>9</v>
      </c>
      <c r="K152" s="1">
        <f t="shared" ca="1" si="131"/>
        <v>9</v>
      </c>
      <c r="L152" s="1">
        <f t="shared" ca="1" si="131"/>
        <v>3</v>
      </c>
      <c r="M152" s="1">
        <f t="shared" ca="1" si="131"/>
        <v>9</v>
      </c>
      <c r="N152" s="1">
        <f t="shared" ca="1" si="131"/>
        <v>9</v>
      </c>
      <c r="O152" s="1">
        <f t="shared" ca="1" si="131"/>
        <v>9</v>
      </c>
      <c r="P152" s="1">
        <f t="shared" ca="1" si="131"/>
        <v>9</v>
      </c>
      <c r="Q152" s="1">
        <f t="shared" ca="1" si="131"/>
        <v>9</v>
      </c>
      <c r="R152" s="1">
        <f t="shared" ca="1" si="131"/>
        <v>9</v>
      </c>
      <c r="S152" s="1">
        <f t="shared" ca="1" si="131"/>
        <v>9</v>
      </c>
      <c r="T152" s="1">
        <f t="shared" ca="1" si="131"/>
        <v>9</v>
      </c>
      <c r="U152" s="1">
        <f t="shared" ca="1" si="131"/>
        <v>9</v>
      </c>
      <c r="V152" s="1">
        <f t="shared" ca="1" si="131"/>
        <v>9</v>
      </c>
      <c r="W152" s="1">
        <f t="shared" ca="1" si="131"/>
        <v>9</v>
      </c>
      <c r="X152" s="1">
        <f t="shared" ca="1" si="131"/>
        <v>9</v>
      </c>
      <c r="AB152" s="28"/>
      <c r="AC152" s="28"/>
      <c r="AD152" s="28"/>
      <c r="AE152" s="28"/>
      <c r="AT152" s="28"/>
    </row>
    <row r="153" spans="2:46" hidden="1">
      <c r="B153" s="1" t="str">
        <f t="shared" si="96"/>
        <v xml:space="preserve">   3.3.3) 32.¿Existen programas de diversificación de los servicios prestados por recicladores?</v>
      </c>
      <c r="C153" s="1">
        <f t="shared" ref="C153:X153" ca="1" si="132">COUNTIF(INDIRECT("C"&amp;$A99&amp;":"&amp;$C$54&amp;$A99),C99)</f>
        <v>10</v>
      </c>
      <c r="D153" s="1">
        <f t="shared" ca="1" si="132"/>
        <v>10</v>
      </c>
      <c r="E153" s="1">
        <f t="shared" ca="1" si="132"/>
        <v>2</v>
      </c>
      <c r="F153" s="1">
        <f t="shared" ca="1" si="132"/>
        <v>10</v>
      </c>
      <c r="G153" s="1">
        <f t="shared" ca="1" si="132"/>
        <v>10</v>
      </c>
      <c r="H153" s="1">
        <f t="shared" ca="1" si="132"/>
        <v>10</v>
      </c>
      <c r="I153" s="1">
        <f t="shared" ca="1" si="132"/>
        <v>10</v>
      </c>
      <c r="J153" s="1">
        <f t="shared" ca="1" si="132"/>
        <v>10</v>
      </c>
      <c r="K153" s="1">
        <f t="shared" ca="1" si="132"/>
        <v>10</v>
      </c>
      <c r="L153" s="1">
        <f t="shared" ca="1" si="132"/>
        <v>2</v>
      </c>
      <c r="M153" s="1">
        <f t="shared" ca="1" si="132"/>
        <v>10</v>
      </c>
      <c r="N153" s="1">
        <f t="shared" ca="1" si="132"/>
        <v>10</v>
      </c>
      <c r="O153" s="1">
        <f t="shared" ca="1" si="132"/>
        <v>10</v>
      </c>
      <c r="P153" s="1">
        <f t="shared" ca="1" si="132"/>
        <v>10</v>
      </c>
      <c r="Q153" s="1">
        <f t="shared" ca="1" si="132"/>
        <v>10</v>
      </c>
      <c r="R153" s="1">
        <f t="shared" ca="1" si="132"/>
        <v>10</v>
      </c>
      <c r="S153" s="1">
        <f t="shared" ca="1" si="132"/>
        <v>10</v>
      </c>
      <c r="T153" s="1">
        <f t="shared" ca="1" si="132"/>
        <v>10</v>
      </c>
      <c r="U153" s="1">
        <f t="shared" ca="1" si="132"/>
        <v>10</v>
      </c>
      <c r="V153" s="1">
        <f t="shared" ca="1" si="132"/>
        <v>10</v>
      </c>
      <c r="W153" s="1">
        <f t="shared" ca="1" si="132"/>
        <v>10</v>
      </c>
      <c r="X153" s="1">
        <f t="shared" ca="1" si="132"/>
        <v>10</v>
      </c>
      <c r="AB153" s="28"/>
      <c r="AC153" s="28"/>
      <c r="AD153" s="28"/>
      <c r="AE153" s="28"/>
      <c r="AT153" s="28"/>
    </row>
    <row r="154" spans="2:46" hidden="1">
      <c r="B154" s="1" t="str">
        <f t="shared" si="96"/>
        <v xml:space="preserve">   3.3.4) 33. Ingreso promedio de los recicladores con respecto al salario mínimo nacional</v>
      </c>
      <c r="C154" s="1">
        <f t="shared" ref="C154:X154" ca="1" si="133">COUNTIF(INDIRECT("C"&amp;$A100&amp;":"&amp;$C$54&amp;$A100),C100)</f>
        <v>1</v>
      </c>
      <c r="D154" s="1">
        <f t="shared" ca="1" si="133"/>
        <v>1</v>
      </c>
      <c r="E154" s="1">
        <f t="shared" ca="1" si="133"/>
        <v>1</v>
      </c>
      <c r="F154" s="1">
        <f t="shared" ca="1" si="133"/>
        <v>1</v>
      </c>
      <c r="G154" s="1">
        <f t="shared" ca="1" si="133"/>
        <v>1</v>
      </c>
      <c r="H154" s="1">
        <f t="shared" ca="1" si="133"/>
        <v>1</v>
      </c>
      <c r="I154" s="1">
        <f t="shared" ca="1" si="133"/>
        <v>1</v>
      </c>
      <c r="J154" s="1">
        <f t="shared" ca="1" si="133"/>
        <v>1</v>
      </c>
      <c r="K154" s="1">
        <f t="shared" ca="1" si="133"/>
        <v>1</v>
      </c>
      <c r="L154" s="1">
        <f t="shared" ca="1" si="133"/>
        <v>1</v>
      </c>
      <c r="M154" s="1">
        <f t="shared" ca="1" si="133"/>
        <v>1</v>
      </c>
      <c r="N154" s="1">
        <f t="shared" ca="1" si="133"/>
        <v>1</v>
      </c>
      <c r="O154" s="1">
        <f t="shared" ca="1" si="133"/>
        <v>0</v>
      </c>
      <c r="P154" s="1">
        <f t="shared" ca="1" si="133"/>
        <v>1</v>
      </c>
      <c r="Q154" s="1">
        <f t="shared" ca="1" si="133"/>
        <v>1</v>
      </c>
      <c r="R154" s="1">
        <f t="shared" ca="1" si="133"/>
        <v>1</v>
      </c>
      <c r="S154" s="1">
        <f t="shared" ca="1" si="133"/>
        <v>1</v>
      </c>
      <c r="T154" s="1">
        <f t="shared" ca="1" si="133"/>
        <v>1</v>
      </c>
      <c r="U154" s="1">
        <f t="shared" ca="1" si="133"/>
        <v>1</v>
      </c>
      <c r="V154" s="1">
        <f t="shared" ca="1" si="133"/>
        <v>1</v>
      </c>
      <c r="W154" s="1">
        <f t="shared" ca="1" si="133"/>
        <v>1</v>
      </c>
      <c r="X154" s="1">
        <f t="shared" ca="1" si="133"/>
        <v>1</v>
      </c>
      <c r="AB154" s="28"/>
      <c r="AC154" s="28"/>
      <c r="AD154" s="28"/>
      <c r="AE154" s="28"/>
      <c r="AT154" s="28"/>
    </row>
    <row r="155" spans="2:46" hidden="1">
      <c r="B155" s="1" t="str">
        <f t="shared" si="96"/>
        <v xml:space="preserve">  3.4) Condiciones de trabajo de los recicladores de base</v>
      </c>
      <c r="C155" s="1">
        <f t="shared" ref="C155:X155" ca="1" si="134">COUNTIF(INDIRECT("C"&amp;$A101&amp;":"&amp;$C$54&amp;$A101),C101)</f>
        <v>2</v>
      </c>
      <c r="D155" s="1">
        <f t="shared" ca="1" si="134"/>
        <v>5</v>
      </c>
      <c r="E155" s="1">
        <f t="shared" ca="1" si="134"/>
        <v>1</v>
      </c>
      <c r="F155" s="1">
        <f t="shared" ca="1" si="134"/>
        <v>2</v>
      </c>
      <c r="G155" s="1">
        <f t="shared" ca="1" si="134"/>
        <v>2</v>
      </c>
      <c r="H155" s="1">
        <f t="shared" ca="1" si="134"/>
        <v>5</v>
      </c>
      <c r="I155" s="1">
        <f t="shared" ca="1" si="134"/>
        <v>2</v>
      </c>
      <c r="J155" s="1">
        <f t="shared" ca="1" si="134"/>
        <v>1</v>
      </c>
      <c r="K155" s="1">
        <f t="shared" ca="1" si="134"/>
        <v>5</v>
      </c>
      <c r="L155" s="1">
        <f t="shared" ca="1" si="134"/>
        <v>5</v>
      </c>
      <c r="M155" s="1">
        <f t="shared" ca="1" si="134"/>
        <v>5</v>
      </c>
      <c r="N155" s="1">
        <f t="shared" ca="1" si="134"/>
        <v>1</v>
      </c>
      <c r="O155" s="1">
        <f t="shared" ca="1" si="134"/>
        <v>2</v>
      </c>
      <c r="P155" s="1">
        <f t="shared" ca="1" si="134"/>
        <v>2</v>
      </c>
      <c r="Q155" s="1">
        <f t="shared" ca="1" si="134"/>
        <v>2</v>
      </c>
      <c r="R155" s="1">
        <f t="shared" ca="1" si="134"/>
        <v>2</v>
      </c>
      <c r="S155" s="1">
        <f t="shared" ca="1" si="134"/>
        <v>2</v>
      </c>
      <c r="T155" s="1">
        <f t="shared" ca="1" si="134"/>
        <v>2</v>
      </c>
      <c r="U155" s="1">
        <f t="shared" ca="1" si="134"/>
        <v>2</v>
      </c>
      <c r="V155" s="1">
        <f t="shared" ca="1" si="134"/>
        <v>2</v>
      </c>
      <c r="W155" s="1">
        <f t="shared" ca="1" si="134"/>
        <v>2</v>
      </c>
      <c r="X155" s="1">
        <f t="shared" ca="1" si="134"/>
        <v>2</v>
      </c>
      <c r="AB155" s="28"/>
      <c r="AC155" s="28"/>
      <c r="AD155" s="28"/>
      <c r="AE155" s="28"/>
      <c r="AT155" s="28"/>
    </row>
    <row r="156" spans="2:46" hidden="1">
      <c r="B156" s="1" t="str">
        <f t="shared" si="96"/>
        <v xml:space="preserve">   3.4.1) 34.¿Existe trabajo infantil en la cadena de manejo de residuos?</v>
      </c>
      <c r="C156" s="1">
        <f t="shared" ref="C156:X156" ca="1" si="135">COUNTIF(INDIRECT("C"&amp;$A102&amp;":"&amp;$C$54&amp;$A102),C102)</f>
        <v>5</v>
      </c>
      <c r="D156" s="1">
        <f t="shared" ca="1" si="135"/>
        <v>5</v>
      </c>
      <c r="E156" s="1">
        <f t="shared" ca="1" si="135"/>
        <v>5</v>
      </c>
      <c r="F156" s="1">
        <f t="shared" ca="1" si="135"/>
        <v>5</v>
      </c>
      <c r="G156" s="1">
        <f t="shared" ca="1" si="135"/>
        <v>5</v>
      </c>
      <c r="H156" s="1">
        <f t="shared" ca="1" si="135"/>
        <v>5</v>
      </c>
      <c r="I156" s="1">
        <f t="shared" ca="1" si="135"/>
        <v>5</v>
      </c>
      <c r="J156" s="1">
        <f t="shared" ca="1" si="135"/>
        <v>5</v>
      </c>
      <c r="K156" s="1">
        <f t="shared" ca="1" si="135"/>
        <v>2</v>
      </c>
      <c r="L156" s="1">
        <f t="shared" ca="1" si="135"/>
        <v>5</v>
      </c>
      <c r="M156" s="1">
        <f t="shared" ca="1" si="135"/>
        <v>5</v>
      </c>
      <c r="N156" s="1">
        <f t="shared" ca="1" si="135"/>
        <v>2</v>
      </c>
      <c r="O156" s="1">
        <f t="shared" ca="1" si="135"/>
        <v>5</v>
      </c>
      <c r="P156" s="1">
        <f t="shared" ca="1" si="135"/>
        <v>5</v>
      </c>
      <c r="Q156" s="1">
        <f t="shared" ca="1" si="135"/>
        <v>5</v>
      </c>
      <c r="R156" s="1">
        <f t="shared" ca="1" si="135"/>
        <v>5</v>
      </c>
      <c r="S156" s="1">
        <f t="shared" ca="1" si="135"/>
        <v>5</v>
      </c>
      <c r="T156" s="1">
        <f t="shared" ca="1" si="135"/>
        <v>5</v>
      </c>
      <c r="U156" s="1">
        <f t="shared" ca="1" si="135"/>
        <v>5</v>
      </c>
      <c r="V156" s="1">
        <f t="shared" ca="1" si="135"/>
        <v>5</v>
      </c>
      <c r="W156" s="1">
        <f t="shared" ca="1" si="135"/>
        <v>5</v>
      </c>
      <c r="X156" s="1">
        <f t="shared" ca="1" si="135"/>
        <v>5</v>
      </c>
      <c r="AB156" s="28"/>
      <c r="AC156" s="28"/>
      <c r="AD156" s="28"/>
      <c r="AE156" s="28"/>
      <c r="AT156" s="28"/>
    </row>
    <row r="157" spans="2:46">
      <c r="B157" s="1" t="str">
        <f t="shared" si="96"/>
        <v xml:space="preserve">   3.4.2) 35.¿Cuál es el nivel de enfoque de género en las condiciones de trabajo?</v>
      </c>
      <c r="C157" s="1">
        <f t="shared" ref="C157:X157" ca="1" si="136">COUNTIF(INDIRECT("C"&amp;$A103&amp;":"&amp;$C$54&amp;$A103),C103)</f>
        <v>10</v>
      </c>
      <c r="D157" s="1">
        <f t="shared" ca="1" si="136"/>
        <v>10</v>
      </c>
      <c r="E157" s="1">
        <f t="shared" ca="1" si="136"/>
        <v>2</v>
      </c>
      <c r="F157" s="1">
        <f t="shared" ca="1" si="136"/>
        <v>10</v>
      </c>
      <c r="G157" s="1">
        <f t="shared" ca="1" si="136"/>
        <v>10</v>
      </c>
      <c r="H157" s="1">
        <f t="shared" ca="1" si="136"/>
        <v>10</v>
      </c>
      <c r="I157" s="1">
        <f t="shared" ca="1" si="136"/>
        <v>10</v>
      </c>
      <c r="J157" s="1">
        <f t="shared" ca="1" si="136"/>
        <v>10</v>
      </c>
      <c r="K157" s="1">
        <f t="shared" ca="1" si="136"/>
        <v>10</v>
      </c>
      <c r="L157" s="1">
        <f t="shared" ca="1" si="136"/>
        <v>10</v>
      </c>
      <c r="M157" s="1">
        <f t="shared" ca="1" si="136"/>
        <v>2</v>
      </c>
      <c r="N157" s="1">
        <f t="shared" ca="1" si="136"/>
        <v>10</v>
      </c>
      <c r="O157" s="1">
        <f t="shared" ca="1" si="136"/>
        <v>10</v>
      </c>
      <c r="P157" s="1">
        <f t="shared" ca="1" si="136"/>
        <v>10</v>
      </c>
      <c r="Q157" s="1">
        <f t="shared" ca="1" si="136"/>
        <v>10</v>
      </c>
      <c r="R157" s="1">
        <f t="shared" ca="1" si="136"/>
        <v>10</v>
      </c>
      <c r="S157" s="1">
        <f t="shared" ca="1" si="136"/>
        <v>10</v>
      </c>
      <c r="T157" s="1">
        <f t="shared" ca="1" si="136"/>
        <v>10</v>
      </c>
      <c r="U157" s="1">
        <f t="shared" ca="1" si="136"/>
        <v>10</v>
      </c>
      <c r="V157" s="1">
        <f t="shared" ca="1" si="136"/>
        <v>10</v>
      </c>
      <c r="W157" s="1">
        <f t="shared" ca="1" si="136"/>
        <v>10</v>
      </c>
      <c r="X157" s="1">
        <f t="shared" ca="1" si="136"/>
        <v>10</v>
      </c>
      <c r="AB157" s="28"/>
      <c r="AC157" s="28"/>
      <c r="AD157" s="28"/>
      <c r="AE157" s="28"/>
      <c r="AT157" s="28"/>
    </row>
    <row r="158" spans="2:46">
      <c r="B158" s="1" t="str">
        <f t="shared" si="96"/>
        <v xml:space="preserve">   3.4.3) 36.¿Hay planes inclusivos de cierre de vertederos a cielo abierto?</v>
      </c>
      <c r="C158" s="1">
        <f t="shared" ref="C158:X158" ca="1" si="137">COUNTIF(INDIRECT("C"&amp;$A104&amp;":"&amp;$C$54&amp;$A104),C104)</f>
        <v>2</v>
      </c>
      <c r="D158" s="1">
        <f t="shared" ca="1" si="137"/>
        <v>10</v>
      </c>
      <c r="E158" s="1">
        <f t="shared" ca="1" si="137"/>
        <v>10</v>
      </c>
      <c r="F158" s="1">
        <f t="shared" ca="1" si="137"/>
        <v>10</v>
      </c>
      <c r="G158" s="1">
        <f t="shared" ca="1" si="137"/>
        <v>10</v>
      </c>
      <c r="H158" s="1">
        <f t="shared" ca="1" si="137"/>
        <v>10</v>
      </c>
      <c r="I158" s="1">
        <f t="shared" ca="1" si="137"/>
        <v>2</v>
      </c>
      <c r="J158" s="1">
        <f t="shared" ca="1" si="137"/>
        <v>10</v>
      </c>
      <c r="K158" s="1">
        <f t="shared" ca="1" si="137"/>
        <v>10</v>
      </c>
      <c r="L158" s="1">
        <f t="shared" ca="1" si="137"/>
        <v>10</v>
      </c>
      <c r="M158" s="1">
        <f t="shared" ca="1" si="137"/>
        <v>10</v>
      </c>
      <c r="N158" s="1">
        <f t="shared" ca="1" si="137"/>
        <v>10</v>
      </c>
      <c r="O158" s="1">
        <f t="shared" ca="1" si="137"/>
        <v>2</v>
      </c>
      <c r="P158" s="1">
        <f t="shared" ca="1" si="137"/>
        <v>2</v>
      </c>
      <c r="Q158" s="1">
        <f t="shared" ca="1" si="137"/>
        <v>2</v>
      </c>
      <c r="R158" s="1">
        <f t="shared" ca="1" si="137"/>
        <v>2</v>
      </c>
      <c r="S158" s="1">
        <f t="shared" ca="1" si="137"/>
        <v>2</v>
      </c>
      <c r="T158" s="1">
        <f t="shared" ca="1" si="137"/>
        <v>2</v>
      </c>
      <c r="U158" s="1">
        <f t="shared" ca="1" si="137"/>
        <v>2</v>
      </c>
      <c r="V158" s="1">
        <f t="shared" ca="1" si="137"/>
        <v>2</v>
      </c>
      <c r="W158" s="1">
        <f t="shared" ca="1" si="137"/>
        <v>2</v>
      </c>
      <c r="X158" s="1">
        <f t="shared" ca="1" si="137"/>
        <v>2</v>
      </c>
      <c r="AB158" s="28"/>
      <c r="AC158" s="28"/>
      <c r="AD158" s="28"/>
      <c r="AE158" s="28"/>
      <c r="AT158" s="28"/>
    </row>
    <row r="159" spans="2:46">
      <c r="B159" s="1" t="str">
        <f t="shared" si="96"/>
        <v xml:space="preserve">   3.4.4) 37.¿Los recicladores tienen acceso a herramientas de trabajo adecuadas?</v>
      </c>
      <c r="C159" s="1">
        <f t="shared" ref="C159:X159" ca="1" si="138">COUNTIF(INDIRECT("C"&amp;$A105&amp;":"&amp;$C$54&amp;$A105),C105)</f>
        <v>5</v>
      </c>
      <c r="D159" s="1">
        <f t="shared" ca="1" si="138"/>
        <v>6</v>
      </c>
      <c r="E159" s="1">
        <f t="shared" ca="1" si="138"/>
        <v>1</v>
      </c>
      <c r="F159" s="1">
        <f t="shared" ca="1" si="138"/>
        <v>6</v>
      </c>
      <c r="G159" s="1">
        <f t="shared" ca="1" si="138"/>
        <v>5</v>
      </c>
      <c r="H159" s="1">
        <f t="shared" ca="1" si="138"/>
        <v>6</v>
      </c>
      <c r="I159" s="1">
        <f t="shared" ca="1" si="138"/>
        <v>5</v>
      </c>
      <c r="J159" s="1">
        <f t="shared" ca="1" si="138"/>
        <v>5</v>
      </c>
      <c r="K159" s="1">
        <f t="shared" ca="1" si="138"/>
        <v>5</v>
      </c>
      <c r="L159" s="1">
        <f t="shared" ca="1" si="138"/>
        <v>6</v>
      </c>
      <c r="M159" s="1">
        <f t="shared" ca="1" si="138"/>
        <v>6</v>
      </c>
      <c r="N159" s="1">
        <f t="shared" ca="1" si="138"/>
        <v>6</v>
      </c>
      <c r="O159" s="1">
        <f t="shared" ca="1" si="138"/>
        <v>5</v>
      </c>
      <c r="P159" s="1">
        <f t="shared" ca="1" si="138"/>
        <v>5</v>
      </c>
      <c r="Q159" s="1">
        <f t="shared" ca="1" si="138"/>
        <v>5</v>
      </c>
      <c r="R159" s="1">
        <f t="shared" ca="1" si="138"/>
        <v>5</v>
      </c>
      <c r="S159" s="1">
        <f t="shared" ca="1" si="138"/>
        <v>5</v>
      </c>
      <c r="T159" s="1">
        <f t="shared" ca="1" si="138"/>
        <v>5</v>
      </c>
      <c r="U159" s="1">
        <f t="shared" ca="1" si="138"/>
        <v>5</v>
      </c>
      <c r="V159" s="1">
        <f t="shared" ca="1" si="138"/>
        <v>5</v>
      </c>
      <c r="W159" s="1">
        <f t="shared" ca="1" si="138"/>
        <v>5</v>
      </c>
      <c r="X159" s="1">
        <f t="shared" ca="1" si="138"/>
        <v>5</v>
      </c>
      <c r="AB159" s="28"/>
      <c r="AC159" s="28"/>
      <c r="AD159" s="28"/>
      <c r="AE159" s="28"/>
      <c r="AT159" s="28"/>
    </row>
    <row r="160" spans="2:46">
      <c r="AB160" s="28"/>
      <c r="AC160" s="28"/>
      <c r="AD160" s="28"/>
      <c r="AE160" s="28"/>
      <c r="AT160" s="28"/>
    </row>
    <row r="161" spans="2:46">
      <c r="AB161" s="28"/>
      <c r="AC161" s="28"/>
      <c r="AD161" s="28"/>
      <c r="AE161" s="28"/>
      <c r="AT161" s="28"/>
    </row>
    <row r="162" spans="2:46">
      <c r="AB162" s="28"/>
      <c r="AC162" s="28"/>
      <c r="AD162" s="28"/>
      <c r="AE162" s="28"/>
      <c r="AT162" s="28"/>
    </row>
    <row r="163" spans="2:46">
      <c r="B163" s="1" t="str">
        <f t="shared" ref="B163:B168" si="139">B109</f>
        <v>CATEGORÍA</v>
      </c>
      <c r="C163" s="1" t="str">
        <f t="shared" ref="C163:X163" ca="1" si="140">IF(C109&gt;1,"=","")&amp;C55</f>
        <v>10</v>
      </c>
      <c r="D163" s="1" t="str">
        <f t="shared" ca="1" si="140"/>
        <v>3</v>
      </c>
      <c r="E163" s="1" t="str">
        <f t="shared" ca="1" si="140"/>
        <v>1</v>
      </c>
      <c r="F163" s="1" t="str">
        <f t="shared" ca="1" si="140"/>
        <v>=11</v>
      </c>
      <c r="G163" s="1" t="str">
        <f t="shared" ca="1" si="140"/>
        <v>6</v>
      </c>
      <c r="H163" s="1" t="str">
        <f t="shared" ca="1" si="140"/>
        <v>4</v>
      </c>
      <c r="I163" s="1" t="str">
        <f t="shared" ca="1" si="140"/>
        <v>9</v>
      </c>
      <c r="J163" s="1" t="str">
        <f t="shared" ca="1" si="140"/>
        <v>8</v>
      </c>
      <c r="K163" s="1" t="str">
        <f t="shared" ca="1" si="140"/>
        <v>=11</v>
      </c>
      <c r="L163" s="1" t="str">
        <f t="shared" ca="1" si="140"/>
        <v>2</v>
      </c>
      <c r="M163" s="1" t="str">
        <f t="shared" ca="1" si="140"/>
        <v>5</v>
      </c>
      <c r="N163" s="1" t="str">
        <f t="shared" ca="1" si="140"/>
        <v>7</v>
      </c>
      <c r="O163" s="1" t="e">
        <f t="shared" ca="1" si="140"/>
        <v>#N/A</v>
      </c>
      <c r="P163" s="1" t="e">
        <f t="shared" ca="1" si="140"/>
        <v>#N/A</v>
      </c>
      <c r="Q163" s="1" t="e">
        <f t="shared" ca="1" si="140"/>
        <v>#N/A</v>
      </c>
      <c r="R163" s="1" t="e">
        <f t="shared" ca="1" si="140"/>
        <v>#N/A</v>
      </c>
      <c r="S163" s="1" t="e">
        <f t="shared" ca="1" si="140"/>
        <v>#N/A</v>
      </c>
      <c r="T163" s="1" t="e">
        <f t="shared" ca="1" si="140"/>
        <v>#N/A</v>
      </c>
      <c r="U163" s="1" t="e">
        <f t="shared" ca="1" si="140"/>
        <v>#N/A</v>
      </c>
      <c r="V163" s="1" t="e">
        <f t="shared" ca="1" si="140"/>
        <v>#N/A</v>
      </c>
      <c r="W163" s="1" t="e">
        <f t="shared" ca="1" si="140"/>
        <v>#N/A</v>
      </c>
      <c r="X163" s="1" t="e">
        <f t="shared" ca="1" si="140"/>
        <v>#N/A</v>
      </c>
      <c r="AB163" s="28"/>
      <c r="AC163" s="28"/>
      <c r="AD163" s="28"/>
      <c r="AE163" s="28"/>
      <c r="AT163" s="28"/>
    </row>
    <row r="164" spans="2:46">
      <c r="B164" s="1" t="str">
        <f t="shared" si="139"/>
        <v xml:space="preserve"> 1) NORMATIVA</v>
      </c>
      <c r="C164" s="1" t="str">
        <f t="shared" ref="C164:X164" ca="1" si="141">IF(C110&gt;1,"=","")&amp;C56</f>
        <v>10</v>
      </c>
      <c r="D164" s="1" t="str">
        <f t="shared" ca="1" si="141"/>
        <v>=3</v>
      </c>
      <c r="E164" s="1" t="str">
        <f t="shared" ca="1" si="141"/>
        <v>2</v>
      </c>
      <c r="F164" s="1" t="str">
        <f t="shared" ca="1" si="141"/>
        <v>12</v>
      </c>
      <c r="G164" s="1" t="str">
        <f t="shared" ca="1" si="141"/>
        <v>9</v>
      </c>
      <c r="H164" s="1" t="str">
        <f t="shared" ca="1" si="141"/>
        <v>=3</v>
      </c>
      <c r="I164" s="1" t="str">
        <f t="shared" ca="1" si="141"/>
        <v>6</v>
      </c>
      <c r="J164" s="1" t="str">
        <f t="shared" ca="1" si="141"/>
        <v>7</v>
      </c>
      <c r="K164" s="1" t="str">
        <f t="shared" ca="1" si="141"/>
        <v>11</v>
      </c>
      <c r="L164" s="1" t="str">
        <f t="shared" ca="1" si="141"/>
        <v>1</v>
      </c>
      <c r="M164" s="1" t="str">
        <f t="shared" ca="1" si="141"/>
        <v>5</v>
      </c>
      <c r="N164" s="1" t="str">
        <f t="shared" ca="1" si="141"/>
        <v>8</v>
      </c>
      <c r="O164" s="1" t="e">
        <f t="shared" ca="1" si="141"/>
        <v>#N/A</v>
      </c>
      <c r="P164" s="1" t="e">
        <f t="shared" ca="1" si="141"/>
        <v>#N/A</v>
      </c>
      <c r="Q164" s="1" t="e">
        <f t="shared" ca="1" si="141"/>
        <v>#N/A</v>
      </c>
      <c r="R164" s="1" t="e">
        <f t="shared" ca="1" si="141"/>
        <v>#N/A</v>
      </c>
      <c r="S164" s="1" t="e">
        <f t="shared" ca="1" si="141"/>
        <v>#N/A</v>
      </c>
      <c r="T164" s="1" t="e">
        <f t="shared" ca="1" si="141"/>
        <v>#N/A</v>
      </c>
      <c r="U164" s="1" t="e">
        <f t="shared" ca="1" si="141"/>
        <v>#N/A</v>
      </c>
      <c r="V164" s="1" t="e">
        <f t="shared" ca="1" si="141"/>
        <v>#N/A</v>
      </c>
      <c r="W164" s="1" t="e">
        <f t="shared" ca="1" si="141"/>
        <v>#N/A</v>
      </c>
      <c r="X164" s="1" t="e">
        <f t="shared" ca="1" si="141"/>
        <v>#N/A</v>
      </c>
      <c r="AB164" s="28"/>
      <c r="AC164" s="28"/>
      <c r="AD164" s="28"/>
      <c r="AE164" s="28"/>
      <c r="AT164" s="28"/>
    </row>
    <row r="165" spans="2:46">
      <c r="B165" s="1" t="str">
        <f t="shared" si="139"/>
        <v xml:space="preserve">  1.1) Normativa sobre gestión de residuos</v>
      </c>
      <c r="C165" s="1" t="str">
        <f t="shared" ref="C165:X165" ca="1" si="142">IF(C111&gt;1,"=","")&amp;C57</f>
        <v>=7</v>
      </c>
      <c r="D165" s="1" t="str">
        <f t="shared" ca="1" si="142"/>
        <v>=2</v>
      </c>
      <c r="E165" s="1" t="str">
        <f t="shared" ca="1" si="142"/>
        <v>=2</v>
      </c>
      <c r="F165" s="1" t="str">
        <f t="shared" ca="1" si="142"/>
        <v>=11</v>
      </c>
      <c r="G165" s="1" t="str">
        <f t="shared" ca="1" si="142"/>
        <v>=11</v>
      </c>
      <c r="H165" s="1" t="str">
        <f t="shared" ca="1" si="142"/>
        <v>=2</v>
      </c>
      <c r="I165" s="1" t="str">
        <f t="shared" ca="1" si="142"/>
        <v>10</v>
      </c>
      <c r="J165" s="1" t="str">
        <f t="shared" ca="1" si="142"/>
        <v>5</v>
      </c>
      <c r="K165" s="1" t="str">
        <f t="shared" ca="1" si="142"/>
        <v>=7</v>
      </c>
      <c r="L165" s="1" t="str">
        <f t="shared" ca="1" si="142"/>
        <v>1</v>
      </c>
      <c r="M165" s="1" t="str">
        <f t="shared" ca="1" si="142"/>
        <v>=7</v>
      </c>
      <c r="N165" s="1" t="str">
        <f t="shared" ca="1" si="142"/>
        <v>6</v>
      </c>
      <c r="O165" s="1" t="str">
        <f t="shared" ca="1" si="142"/>
        <v>10</v>
      </c>
      <c r="P165" s="1" t="str">
        <f t="shared" ca="1" si="142"/>
        <v>=11</v>
      </c>
      <c r="Q165" s="1" t="str">
        <f t="shared" ca="1" si="142"/>
        <v>=11</v>
      </c>
      <c r="R165" s="1" t="str">
        <f t="shared" ca="1" si="142"/>
        <v>=11</v>
      </c>
      <c r="S165" s="1" t="str">
        <f t="shared" ca="1" si="142"/>
        <v>=11</v>
      </c>
      <c r="T165" s="1" t="str">
        <f t="shared" ca="1" si="142"/>
        <v>=11</v>
      </c>
      <c r="U165" s="1" t="str">
        <f t="shared" ca="1" si="142"/>
        <v>=11</v>
      </c>
      <c r="V165" s="1" t="str">
        <f t="shared" ca="1" si="142"/>
        <v>=11</v>
      </c>
      <c r="W165" s="1" t="str">
        <f t="shared" ca="1" si="142"/>
        <v>=11</v>
      </c>
      <c r="X165" s="1" t="str">
        <f t="shared" ca="1" si="142"/>
        <v>=11</v>
      </c>
      <c r="AB165" s="28"/>
      <c r="AC165" s="28"/>
      <c r="AD165" s="28"/>
      <c r="AE165" s="28"/>
      <c r="AT165" s="28"/>
    </row>
    <row r="166" spans="2:46">
      <c r="B166" s="1" t="str">
        <f t="shared" si="139"/>
        <v xml:space="preserve">   1.1.1) 1.¿ Existe un marco legal nacional para la gestión de residuos orientado al reciclaje con la inclusión de actores informales?</v>
      </c>
      <c r="C166" s="1" t="str">
        <f t="shared" ref="C166:X166" ca="1" si="143">IF(C112&gt;1,"=","")&amp;C58</f>
        <v>=8</v>
      </c>
      <c r="D166" s="1" t="str">
        <f t="shared" ca="1" si="143"/>
        <v>=3</v>
      </c>
      <c r="E166" s="1" t="str">
        <f t="shared" ca="1" si="143"/>
        <v>=8</v>
      </c>
      <c r="F166" s="1" t="str">
        <f t="shared" ca="1" si="143"/>
        <v>=8</v>
      </c>
      <c r="G166" s="1" t="str">
        <f t="shared" ca="1" si="143"/>
        <v>=8</v>
      </c>
      <c r="H166" s="1" t="str">
        <f t="shared" ca="1" si="143"/>
        <v>=1</v>
      </c>
      <c r="I166" s="1" t="str">
        <f t="shared" ca="1" si="143"/>
        <v>=3</v>
      </c>
      <c r="J166" s="1" t="str">
        <f t="shared" ca="1" si="143"/>
        <v>=8</v>
      </c>
      <c r="K166" s="1" t="str">
        <f t="shared" ca="1" si="143"/>
        <v>=3</v>
      </c>
      <c r="L166" s="1" t="str">
        <f t="shared" ca="1" si="143"/>
        <v>=1</v>
      </c>
      <c r="M166" s="1" t="str">
        <f t="shared" ca="1" si="143"/>
        <v>=3</v>
      </c>
      <c r="N166" s="1" t="str">
        <f t="shared" ca="1" si="143"/>
        <v>=3</v>
      </c>
      <c r="O166" s="1" t="str">
        <f t="shared" ca="1" si="143"/>
        <v>=3</v>
      </c>
      <c r="P166" s="1" t="str">
        <f t="shared" ca="1" si="143"/>
        <v>=8</v>
      </c>
      <c r="Q166" s="1" t="str">
        <f t="shared" ca="1" si="143"/>
        <v>=8</v>
      </c>
      <c r="R166" s="1" t="str">
        <f t="shared" ca="1" si="143"/>
        <v>=8</v>
      </c>
      <c r="S166" s="1" t="str">
        <f t="shared" ca="1" si="143"/>
        <v>=8</v>
      </c>
      <c r="T166" s="1" t="str">
        <f t="shared" ca="1" si="143"/>
        <v>=8</v>
      </c>
      <c r="U166" s="1" t="str">
        <f t="shared" ca="1" si="143"/>
        <v>=8</v>
      </c>
      <c r="V166" s="1" t="str">
        <f t="shared" ca="1" si="143"/>
        <v>=8</v>
      </c>
      <c r="W166" s="1" t="str">
        <f t="shared" ca="1" si="143"/>
        <v>=8</v>
      </c>
      <c r="X166" s="1" t="str">
        <f t="shared" ca="1" si="143"/>
        <v>=8</v>
      </c>
      <c r="AB166" s="28"/>
      <c r="AC166" s="28"/>
      <c r="AD166" s="28"/>
      <c r="AE166" s="28"/>
      <c r="AT166" s="28"/>
    </row>
    <row r="167" spans="2:46">
      <c r="B167" s="1" t="str">
        <f t="shared" si="139"/>
        <v xml:space="preserve">   1.1.2) 2.¿Existe un marco legal municipal para la gestión de residuos orientado al reciclaje y la inclusión de actores informales?</v>
      </c>
      <c r="C167" s="1" t="str">
        <f t="shared" ref="C167:X167" ca="1" si="144">IF(C113&gt;1,"=","")&amp;C59</f>
        <v>=6</v>
      </c>
      <c r="D167" s="1" t="str">
        <f t="shared" ca="1" si="144"/>
        <v>=1</v>
      </c>
      <c r="E167" s="1" t="str">
        <f t="shared" ca="1" si="144"/>
        <v>=1</v>
      </c>
      <c r="F167" s="1" t="str">
        <f t="shared" ca="1" si="144"/>
        <v>=9</v>
      </c>
      <c r="G167" s="1" t="str">
        <f t="shared" ca="1" si="144"/>
        <v>=9</v>
      </c>
      <c r="H167" s="1" t="str">
        <f t="shared" ca="1" si="144"/>
        <v>=1</v>
      </c>
      <c r="I167" s="1" t="str">
        <f t="shared" ca="1" si="144"/>
        <v>=9</v>
      </c>
      <c r="J167" s="1" t="str">
        <f t="shared" ca="1" si="144"/>
        <v>=1</v>
      </c>
      <c r="K167" s="1" t="str">
        <f t="shared" ca="1" si="144"/>
        <v>=6</v>
      </c>
      <c r="L167" s="1" t="str">
        <f t="shared" ca="1" si="144"/>
        <v>=1</v>
      </c>
      <c r="M167" s="1" t="str">
        <f t="shared" ca="1" si="144"/>
        <v>=9</v>
      </c>
      <c r="N167" s="1" t="str">
        <f t="shared" ca="1" si="144"/>
        <v>=6</v>
      </c>
      <c r="O167" s="1" t="str">
        <f t="shared" ca="1" si="144"/>
        <v>=9</v>
      </c>
      <c r="P167" s="1" t="str">
        <f t="shared" ca="1" si="144"/>
        <v>=9</v>
      </c>
      <c r="Q167" s="1" t="str">
        <f t="shared" ca="1" si="144"/>
        <v>=9</v>
      </c>
      <c r="R167" s="1" t="str">
        <f t="shared" ca="1" si="144"/>
        <v>=9</v>
      </c>
      <c r="S167" s="1" t="str">
        <f t="shared" ca="1" si="144"/>
        <v>=9</v>
      </c>
      <c r="T167" s="1" t="str">
        <f t="shared" ca="1" si="144"/>
        <v>=9</v>
      </c>
      <c r="U167" s="1" t="str">
        <f t="shared" ca="1" si="144"/>
        <v>=9</v>
      </c>
      <c r="V167" s="1" t="str">
        <f t="shared" ca="1" si="144"/>
        <v>=9</v>
      </c>
      <c r="W167" s="1" t="str">
        <f t="shared" ca="1" si="144"/>
        <v>=9</v>
      </c>
      <c r="X167" s="1" t="str">
        <f t="shared" ca="1" si="144"/>
        <v>=9</v>
      </c>
      <c r="AB167" s="28"/>
      <c r="AC167" s="28"/>
      <c r="AD167" s="28"/>
      <c r="AE167" s="28"/>
      <c r="AT167" s="28"/>
    </row>
    <row r="168" spans="2:46">
      <c r="B168" s="1" t="str">
        <f t="shared" si="139"/>
        <v xml:space="preserve">   1.1.3) 3.¿Son las políticas municipales suficientemente estables para garantizar la continuidad en materia de políticas de reciclaje inclusivo?</v>
      </c>
      <c r="C168" s="1" t="str">
        <f t="shared" ref="C168:X168" ca="1" si="145">IF(C114&gt;1,"=","")&amp;C60</f>
        <v>=3</v>
      </c>
      <c r="D168" s="1" t="str">
        <f t="shared" ca="1" si="145"/>
        <v>=3</v>
      </c>
      <c r="E168" s="1" t="str">
        <f t="shared" ca="1" si="145"/>
        <v>=1</v>
      </c>
      <c r="F168" s="1" t="str">
        <f t="shared" ca="1" si="145"/>
        <v>=7</v>
      </c>
      <c r="G168" s="1" t="str">
        <f t="shared" ca="1" si="145"/>
        <v>=7</v>
      </c>
      <c r="H168" s="1" t="str">
        <f t="shared" ca="1" si="145"/>
        <v>=7</v>
      </c>
      <c r="I168" s="1" t="str">
        <f t="shared" ca="1" si="145"/>
        <v>=7</v>
      </c>
      <c r="J168" s="1" t="str">
        <f t="shared" ca="1" si="145"/>
        <v>=3</v>
      </c>
      <c r="K168" s="1" t="str">
        <f t="shared" ca="1" si="145"/>
        <v>=7</v>
      </c>
      <c r="L168" s="1" t="str">
        <f t="shared" ca="1" si="145"/>
        <v>=1</v>
      </c>
      <c r="M168" s="1" t="str">
        <f t="shared" ca="1" si="145"/>
        <v>=3</v>
      </c>
      <c r="N168" s="1" t="str">
        <f t="shared" ca="1" si="145"/>
        <v>=7</v>
      </c>
      <c r="O168" s="1" t="str">
        <f t="shared" ca="1" si="145"/>
        <v>=7</v>
      </c>
      <c r="P168" s="1" t="str">
        <f t="shared" ca="1" si="145"/>
        <v>=7</v>
      </c>
      <c r="Q168" s="1" t="str">
        <f t="shared" ca="1" si="145"/>
        <v>=7</v>
      </c>
      <c r="R168" s="1" t="str">
        <f t="shared" ca="1" si="145"/>
        <v>=7</v>
      </c>
      <c r="S168" s="1" t="str">
        <f t="shared" ca="1" si="145"/>
        <v>=7</v>
      </c>
      <c r="T168" s="1" t="str">
        <f t="shared" ca="1" si="145"/>
        <v>=7</v>
      </c>
      <c r="U168" s="1" t="str">
        <f t="shared" ca="1" si="145"/>
        <v>=7</v>
      </c>
      <c r="V168" s="1" t="str">
        <f t="shared" ca="1" si="145"/>
        <v>=7</v>
      </c>
      <c r="W168" s="1" t="str">
        <f t="shared" ca="1" si="145"/>
        <v>=7</v>
      </c>
      <c r="X168" s="1" t="str">
        <f t="shared" ca="1" si="145"/>
        <v>=7</v>
      </c>
      <c r="AB168" s="28"/>
      <c r="AC168" s="28"/>
      <c r="AD168" s="28"/>
      <c r="AE168" s="28"/>
      <c r="AT168" s="28"/>
    </row>
    <row r="169" spans="2:46">
      <c r="B169" s="1" t="str">
        <f t="shared" ref="B169:B213" si="146">B115</f>
        <v xml:space="preserve">   1.1.4) 4.¿Existe un presupuesto (o mecanismo de financiación) municipal asignado para el reciclaje inclusivo?</v>
      </c>
      <c r="C169" s="1" t="str">
        <f t="shared" ref="C169:X169" ca="1" si="147">IF(C115&gt;1,"=","")&amp;C61</f>
        <v>=7</v>
      </c>
      <c r="D169" s="1" t="str">
        <f t="shared" ca="1" si="147"/>
        <v>=1</v>
      </c>
      <c r="E169" s="1" t="str">
        <f t="shared" ca="1" si="147"/>
        <v>=1</v>
      </c>
      <c r="F169" s="1" t="str">
        <f t="shared" ca="1" si="147"/>
        <v>=7</v>
      </c>
      <c r="G169" s="1" t="str">
        <f t="shared" ca="1" si="147"/>
        <v>=7</v>
      </c>
      <c r="H169" s="1" t="str">
        <f t="shared" ca="1" si="147"/>
        <v>=1</v>
      </c>
      <c r="I169" s="1" t="str">
        <f t="shared" ca="1" si="147"/>
        <v>=7</v>
      </c>
      <c r="J169" s="1" t="str">
        <f t="shared" ca="1" si="147"/>
        <v>=1</v>
      </c>
      <c r="K169" s="1" t="str">
        <f t="shared" ca="1" si="147"/>
        <v>=7</v>
      </c>
      <c r="L169" s="1" t="str">
        <f t="shared" ca="1" si="147"/>
        <v>=1</v>
      </c>
      <c r="M169" s="1" t="str">
        <f t="shared" ca="1" si="147"/>
        <v>=7</v>
      </c>
      <c r="N169" s="1" t="str">
        <f t="shared" ca="1" si="147"/>
        <v>=1</v>
      </c>
      <c r="O169" s="1" t="str">
        <f t="shared" ca="1" si="147"/>
        <v>=7</v>
      </c>
      <c r="P169" s="1" t="str">
        <f t="shared" ca="1" si="147"/>
        <v>=7</v>
      </c>
      <c r="Q169" s="1" t="str">
        <f t="shared" ca="1" si="147"/>
        <v>=7</v>
      </c>
      <c r="R169" s="1" t="str">
        <f t="shared" ca="1" si="147"/>
        <v>=7</v>
      </c>
      <c r="S169" s="1" t="str">
        <f t="shared" ca="1" si="147"/>
        <v>=7</v>
      </c>
      <c r="T169" s="1" t="str">
        <f t="shared" ca="1" si="147"/>
        <v>=7</v>
      </c>
      <c r="U169" s="1" t="str">
        <f t="shared" ca="1" si="147"/>
        <v>=7</v>
      </c>
      <c r="V169" s="1" t="str">
        <f t="shared" ca="1" si="147"/>
        <v>=7</v>
      </c>
      <c r="W169" s="1" t="str">
        <f t="shared" ca="1" si="147"/>
        <v>=7</v>
      </c>
      <c r="X169" s="1" t="str">
        <f t="shared" ca="1" si="147"/>
        <v>=7</v>
      </c>
      <c r="AB169" s="28"/>
      <c r="AC169" s="28"/>
      <c r="AD169" s="28"/>
      <c r="AE169" s="28"/>
      <c r="AT169" s="28"/>
    </row>
    <row r="170" spans="2:46">
      <c r="B170" s="1" t="str">
        <f t="shared" si="146"/>
        <v xml:space="preserve">  1.2) Integración del reciclador de base</v>
      </c>
      <c r="C170" s="1" t="str">
        <f t="shared" ref="C170:X170" ca="1" si="148">IF(C116&gt;1,"=","")&amp;C62</f>
        <v>=7</v>
      </c>
      <c r="D170" s="1" t="str">
        <f t="shared" ca="1" si="148"/>
        <v>=2</v>
      </c>
      <c r="E170" s="1" t="str">
        <f t="shared" ca="1" si="148"/>
        <v>4</v>
      </c>
      <c r="F170" s="1" t="str">
        <f t="shared" ca="1" si="148"/>
        <v>10</v>
      </c>
      <c r="G170" s="1" t="str">
        <f t="shared" ca="1" si="148"/>
        <v>11</v>
      </c>
      <c r="H170" s="1" t="str">
        <f t="shared" ca="1" si="148"/>
        <v>=2</v>
      </c>
      <c r="I170" s="1" t="str">
        <f t="shared" ca="1" si="148"/>
        <v>5</v>
      </c>
      <c r="J170" s="1" t="str">
        <f t="shared" ca="1" si="148"/>
        <v>=7</v>
      </c>
      <c r="K170" s="1" t="str">
        <f t="shared" ca="1" si="148"/>
        <v>12</v>
      </c>
      <c r="L170" s="1" t="str">
        <f t="shared" ca="1" si="148"/>
        <v>1</v>
      </c>
      <c r="M170" s="1" t="str">
        <f t="shared" ca="1" si="148"/>
        <v>6</v>
      </c>
      <c r="N170" s="1" t="str">
        <f t="shared" ca="1" si="148"/>
        <v>=7</v>
      </c>
      <c r="O170" s="1" t="e">
        <f t="shared" ca="1" si="148"/>
        <v>#N/A</v>
      </c>
      <c r="P170" s="1" t="e">
        <f t="shared" ca="1" si="148"/>
        <v>#N/A</v>
      </c>
      <c r="Q170" s="1" t="e">
        <f t="shared" ca="1" si="148"/>
        <v>#N/A</v>
      </c>
      <c r="R170" s="1" t="e">
        <f t="shared" ca="1" si="148"/>
        <v>#N/A</v>
      </c>
      <c r="S170" s="1" t="e">
        <f t="shared" ca="1" si="148"/>
        <v>#N/A</v>
      </c>
      <c r="T170" s="1" t="e">
        <f t="shared" ca="1" si="148"/>
        <v>#N/A</v>
      </c>
      <c r="U170" s="1" t="e">
        <f t="shared" ca="1" si="148"/>
        <v>#N/A</v>
      </c>
      <c r="V170" s="1" t="e">
        <f t="shared" ca="1" si="148"/>
        <v>#N/A</v>
      </c>
      <c r="W170" s="1" t="e">
        <f t="shared" ca="1" si="148"/>
        <v>#N/A</v>
      </c>
      <c r="X170" s="1" t="e">
        <f t="shared" ca="1" si="148"/>
        <v>#N/A</v>
      </c>
      <c r="AB170" s="28"/>
      <c r="AC170" s="28"/>
      <c r="AD170" s="28"/>
      <c r="AE170" s="28"/>
      <c r="AT170" s="28"/>
    </row>
    <row r="171" spans="2:46">
      <c r="B171" s="1" t="str">
        <f t="shared" si="146"/>
        <v xml:space="preserve">   1.2.1) 5.¿Existe reconocimiento legal de la ocupación de reciclador de base?</v>
      </c>
      <c r="C171" s="1" t="str">
        <f t="shared" ref="C171:X171" ca="1" si="149">IF(C117&gt;1,"=","")&amp;C63</f>
        <v>=5</v>
      </c>
      <c r="D171" s="1" t="str">
        <f t="shared" ca="1" si="149"/>
        <v>=1</v>
      </c>
      <c r="E171" s="1" t="str">
        <f t="shared" ca="1" si="149"/>
        <v>=1</v>
      </c>
      <c r="F171" s="1" t="str">
        <f t="shared" ca="1" si="149"/>
        <v>=5</v>
      </c>
      <c r="G171" s="1" t="str">
        <f t="shared" ca="1" si="149"/>
        <v>=5</v>
      </c>
      <c r="H171" s="1" t="str">
        <f t="shared" ca="1" si="149"/>
        <v>=1</v>
      </c>
      <c r="I171" s="1" t="str">
        <f t="shared" ca="1" si="149"/>
        <v>=5</v>
      </c>
      <c r="J171" s="1" t="str">
        <f t="shared" ca="1" si="149"/>
        <v>=5</v>
      </c>
      <c r="K171" s="1" t="str">
        <f t="shared" ca="1" si="149"/>
        <v>=5</v>
      </c>
      <c r="L171" s="1" t="str">
        <f t="shared" ca="1" si="149"/>
        <v>=1</v>
      </c>
      <c r="M171" s="1" t="str">
        <f t="shared" ca="1" si="149"/>
        <v>=5</v>
      </c>
      <c r="N171" s="1" t="str">
        <f t="shared" ca="1" si="149"/>
        <v>=5</v>
      </c>
      <c r="O171" s="1" t="str">
        <f t="shared" ca="1" si="149"/>
        <v>=5</v>
      </c>
      <c r="P171" s="1" t="str">
        <f t="shared" ca="1" si="149"/>
        <v>=5</v>
      </c>
      <c r="Q171" s="1" t="str">
        <f t="shared" ca="1" si="149"/>
        <v>=5</v>
      </c>
      <c r="R171" s="1" t="str">
        <f t="shared" ca="1" si="149"/>
        <v>=5</v>
      </c>
      <c r="S171" s="1" t="str">
        <f t="shared" ca="1" si="149"/>
        <v>=5</v>
      </c>
      <c r="T171" s="1" t="str">
        <f t="shared" ca="1" si="149"/>
        <v>=5</v>
      </c>
      <c r="U171" s="1" t="str">
        <f t="shared" ca="1" si="149"/>
        <v>=5</v>
      </c>
      <c r="V171" s="1" t="str">
        <f t="shared" ca="1" si="149"/>
        <v>=5</v>
      </c>
      <c r="W171" s="1" t="str">
        <f t="shared" ca="1" si="149"/>
        <v>=5</v>
      </c>
      <c r="X171" s="1" t="str">
        <f t="shared" ca="1" si="149"/>
        <v>=5</v>
      </c>
      <c r="AB171" s="28"/>
      <c r="AC171" s="28"/>
      <c r="AD171" s="28"/>
      <c r="AE171" s="28"/>
      <c r="AT171" s="28"/>
    </row>
    <row r="172" spans="2:46">
      <c r="B172" s="1" t="str">
        <f t="shared" si="146"/>
        <v xml:space="preserve">   1.2.2) 6.¿Se reconoce a los recicladores de base como prestadores de servicio en la gestión de residuos?</v>
      </c>
      <c r="C172" s="1" t="str">
        <f t="shared" ref="C172:X172" ca="1" si="150">IF(C118&gt;1,"=","")&amp;C64</f>
        <v>=4</v>
      </c>
      <c r="D172" s="1" t="str">
        <f t="shared" ca="1" si="150"/>
        <v>=1</v>
      </c>
      <c r="E172" s="1" t="str">
        <f t="shared" ca="1" si="150"/>
        <v>=1</v>
      </c>
      <c r="F172" s="1" t="str">
        <f t="shared" ca="1" si="150"/>
        <v>=9</v>
      </c>
      <c r="G172" s="1" t="str">
        <f t="shared" ca="1" si="150"/>
        <v>=9</v>
      </c>
      <c r="H172" s="1" t="str">
        <f t="shared" ca="1" si="150"/>
        <v>=4</v>
      </c>
      <c r="I172" s="1" t="str">
        <f t="shared" ca="1" si="150"/>
        <v>=4</v>
      </c>
      <c r="J172" s="1" t="str">
        <f t="shared" ca="1" si="150"/>
        <v>=4</v>
      </c>
      <c r="K172" s="1" t="str">
        <f t="shared" ca="1" si="150"/>
        <v>=9</v>
      </c>
      <c r="L172" s="1" t="str">
        <f t="shared" ca="1" si="150"/>
        <v>=1</v>
      </c>
      <c r="M172" s="1" t="str">
        <f t="shared" ca="1" si="150"/>
        <v>=4</v>
      </c>
      <c r="N172" s="1" t="str">
        <f t="shared" ca="1" si="150"/>
        <v>=9</v>
      </c>
      <c r="O172" s="1" t="str">
        <f t="shared" ca="1" si="150"/>
        <v>=9</v>
      </c>
      <c r="P172" s="1" t="str">
        <f t="shared" ca="1" si="150"/>
        <v>=9</v>
      </c>
      <c r="Q172" s="1" t="str">
        <f t="shared" ca="1" si="150"/>
        <v>=9</v>
      </c>
      <c r="R172" s="1" t="str">
        <f t="shared" ca="1" si="150"/>
        <v>=9</v>
      </c>
      <c r="S172" s="1" t="str">
        <f t="shared" ca="1" si="150"/>
        <v>=9</v>
      </c>
      <c r="T172" s="1" t="str">
        <f t="shared" ca="1" si="150"/>
        <v>=9</v>
      </c>
      <c r="U172" s="1" t="str">
        <f t="shared" ca="1" si="150"/>
        <v>=9</v>
      </c>
      <c r="V172" s="1" t="str">
        <f t="shared" ca="1" si="150"/>
        <v>=9</v>
      </c>
      <c r="W172" s="1" t="str">
        <f t="shared" ca="1" si="150"/>
        <v>=9</v>
      </c>
      <c r="X172" s="1" t="str">
        <f t="shared" ca="1" si="150"/>
        <v>=9</v>
      </c>
      <c r="AB172" s="28"/>
      <c r="AC172" s="28"/>
      <c r="AD172" s="28"/>
      <c r="AE172" s="28"/>
      <c r="AT172" s="28"/>
    </row>
    <row r="173" spans="2:46">
      <c r="B173" s="1" t="str">
        <f t="shared" si="146"/>
        <v xml:space="preserve">   1.2.3) 7.¿Se ha identificado la población de recicladores de base a través de un censo?</v>
      </c>
      <c r="C173" s="1" t="str">
        <f t="shared" ref="C173:X173" ca="1" si="151">IF(C119&gt;1,"=","")&amp;C65</f>
        <v>=6</v>
      </c>
      <c r="D173" s="1" t="str">
        <f t="shared" ca="1" si="151"/>
        <v>=1</v>
      </c>
      <c r="E173" s="1" t="str">
        <f t="shared" ca="1" si="151"/>
        <v>=6</v>
      </c>
      <c r="F173" s="1" t="str">
        <f t="shared" ca="1" si="151"/>
        <v>=6</v>
      </c>
      <c r="G173" s="1" t="str">
        <f t="shared" ca="1" si="151"/>
        <v>=6</v>
      </c>
      <c r="H173" s="1" t="str">
        <f t="shared" ca="1" si="151"/>
        <v>=1</v>
      </c>
      <c r="I173" s="1" t="str">
        <f t="shared" ca="1" si="151"/>
        <v>=1</v>
      </c>
      <c r="J173" s="1" t="str">
        <f t="shared" ca="1" si="151"/>
        <v>=1</v>
      </c>
      <c r="K173" s="1" t="str">
        <f t="shared" ca="1" si="151"/>
        <v>=6</v>
      </c>
      <c r="L173" s="1" t="str">
        <f t="shared" ca="1" si="151"/>
        <v>=1</v>
      </c>
      <c r="M173" s="1" t="str">
        <f t="shared" ca="1" si="151"/>
        <v>=6</v>
      </c>
      <c r="N173" s="1" t="str">
        <f t="shared" ca="1" si="151"/>
        <v>=6</v>
      </c>
      <c r="O173" s="1" t="str">
        <f t="shared" ca="1" si="151"/>
        <v>=6</v>
      </c>
      <c r="P173" s="1" t="str">
        <f t="shared" ca="1" si="151"/>
        <v>=6</v>
      </c>
      <c r="Q173" s="1" t="str">
        <f t="shared" ca="1" si="151"/>
        <v>=6</v>
      </c>
      <c r="R173" s="1" t="str">
        <f t="shared" ca="1" si="151"/>
        <v>=6</v>
      </c>
      <c r="S173" s="1" t="str">
        <f t="shared" ca="1" si="151"/>
        <v>=6</v>
      </c>
      <c r="T173" s="1" t="str">
        <f t="shared" ca="1" si="151"/>
        <v>=6</v>
      </c>
      <c r="U173" s="1" t="str">
        <f t="shared" ca="1" si="151"/>
        <v>=6</v>
      </c>
      <c r="V173" s="1" t="str">
        <f t="shared" ca="1" si="151"/>
        <v>=6</v>
      </c>
      <c r="W173" s="1" t="str">
        <f t="shared" ca="1" si="151"/>
        <v>=6</v>
      </c>
      <c r="X173" s="1" t="str">
        <f t="shared" ca="1" si="151"/>
        <v>=6</v>
      </c>
      <c r="AB173" s="28"/>
      <c r="AC173" s="28"/>
      <c r="AD173" s="28"/>
      <c r="AE173" s="28"/>
      <c r="AT173" s="28"/>
    </row>
    <row r="174" spans="2:46">
      <c r="B174" s="1" t="str">
        <f t="shared" si="146"/>
        <v xml:space="preserve">   1.2.4) 8.¿Cuál es el grado de transparencia e inclusión en los procesos de licitación para el reciclaje?</v>
      </c>
      <c r="C174" s="1" t="str">
        <f t="shared" ref="C174:X174" ca="1" si="152">IF(C120&gt;1,"=","")&amp;C66</f>
        <v>=1</v>
      </c>
      <c r="D174" s="1" t="str">
        <f t="shared" ca="1" si="152"/>
        <v>=1</v>
      </c>
      <c r="E174" s="1" t="str">
        <f t="shared" ca="1" si="152"/>
        <v>=1</v>
      </c>
      <c r="F174" s="1" t="str">
        <f t="shared" ca="1" si="152"/>
        <v>=7</v>
      </c>
      <c r="G174" s="1" t="str">
        <f t="shared" ca="1" si="152"/>
        <v>=7</v>
      </c>
      <c r="H174" s="1" t="str">
        <f t="shared" ca="1" si="152"/>
        <v>=1</v>
      </c>
      <c r="I174" s="1" t="str">
        <f t="shared" ca="1" si="152"/>
        <v>=7</v>
      </c>
      <c r="J174" s="1" t="str">
        <f t="shared" ca="1" si="152"/>
        <v>=7</v>
      </c>
      <c r="K174" s="1" t="str">
        <f t="shared" ca="1" si="152"/>
        <v>=7</v>
      </c>
      <c r="L174" s="1" t="str">
        <f t="shared" ca="1" si="152"/>
        <v>=1</v>
      </c>
      <c r="M174" s="1" t="str">
        <f t="shared" ca="1" si="152"/>
        <v>=1</v>
      </c>
      <c r="N174" s="1" t="str">
        <f t="shared" ca="1" si="152"/>
        <v>=7</v>
      </c>
      <c r="O174" s="1" t="str">
        <f t="shared" ca="1" si="152"/>
        <v>=1</v>
      </c>
      <c r="P174" s="1" t="str">
        <f t="shared" ca="1" si="152"/>
        <v>=7</v>
      </c>
      <c r="Q174" s="1" t="str">
        <f t="shared" ca="1" si="152"/>
        <v>=7</v>
      </c>
      <c r="R174" s="1" t="str">
        <f t="shared" ca="1" si="152"/>
        <v>=7</v>
      </c>
      <c r="S174" s="1" t="str">
        <f t="shared" ca="1" si="152"/>
        <v>=7</v>
      </c>
      <c r="T174" s="1" t="str">
        <f t="shared" ca="1" si="152"/>
        <v>=7</v>
      </c>
      <c r="U174" s="1" t="str">
        <f t="shared" ca="1" si="152"/>
        <v>=7</v>
      </c>
      <c r="V174" s="1" t="str">
        <f t="shared" ca="1" si="152"/>
        <v>=7</v>
      </c>
      <c r="W174" s="1" t="str">
        <f t="shared" ca="1" si="152"/>
        <v>=7</v>
      </c>
      <c r="X174" s="1" t="str">
        <f t="shared" ca="1" si="152"/>
        <v>=7</v>
      </c>
      <c r="AB174" s="28"/>
      <c r="AC174" s="28"/>
      <c r="AD174" s="28"/>
      <c r="AE174" s="28"/>
      <c r="AT174" s="28"/>
    </row>
    <row r="175" spans="2:46">
      <c r="B175" s="1" t="str">
        <f t="shared" si="146"/>
        <v xml:space="preserve">   1.2.5) 9.¿La normativa/ estrategia municipal de residuos sólidos: fue desarrollada de manera participativa?</v>
      </c>
      <c r="C175" s="1" t="str">
        <f t="shared" ref="C175:X175" ca="1" si="153">IF(C121&gt;1,"=","")&amp;C67</f>
        <v>=1</v>
      </c>
      <c r="D175" s="1" t="str">
        <f t="shared" ca="1" si="153"/>
        <v>=4</v>
      </c>
      <c r="E175" s="1" t="str">
        <f t="shared" ca="1" si="153"/>
        <v>=1</v>
      </c>
      <c r="F175" s="1" t="str">
        <f t="shared" ca="1" si="153"/>
        <v>=9</v>
      </c>
      <c r="G175" s="1" t="str">
        <f t="shared" ca="1" si="153"/>
        <v>=9</v>
      </c>
      <c r="H175" s="1" t="str">
        <f t="shared" ca="1" si="153"/>
        <v>=4</v>
      </c>
      <c r="I175" s="1" t="str">
        <f t="shared" ca="1" si="153"/>
        <v>=4</v>
      </c>
      <c r="J175" s="1" t="str">
        <f t="shared" ca="1" si="153"/>
        <v>=4</v>
      </c>
      <c r="K175" s="1" t="str">
        <f t="shared" ca="1" si="153"/>
        <v>=9</v>
      </c>
      <c r="L175" s="1" t="str">
        <f t="shared" ca="1" si="153"/>
        <v>=1</v>
      </c>
      <c r="M175" s="1" t="str">
        <f t="shared" ca="1" si="153"/>
        <v>=9</v>
      </c>
      <c r="N175" s="1" t="str">
        <f t="shared" ca="1" si="153"/>
        <v>=4</v>
      </c>
      <c r="O175" s="1" t="str">
        <f t="shared" ca="1" si="153"/>
        <v>=9</v>
      </c>
      <c r="P175" s="1" t="str">
        <f t="shared" ca="1" si="153"/>
        <v>=9</v>
      </c>
      <c r="Q175" s="1" t="str">
        <f t="shared" ca="1" si="153"/>
        <v>=9</v>
      </c>
      <c r="R175" s="1" t="str">
        <f t="shared" ca="1" si="153"/>
        <v>=9</v>
      </c>
      <c r="S175" s="1" t="str">
        <f t="shared" ca="1" si="153"/>
        <v>=9</v>
      </c>
      <c r="T175" s="1" t="str">
        <f t="shared" ca="1" si="153"/>
        <v>=9</v>
      </c>
      <c r="U175" s="1" t="str">
        <f t="shared" ca="1" si="153"/>
        <v>=9</v>
      </c>
      <c r="V175" s="1" t="str">
        <f t="shared" ca="1" si="153"/>
        <v>=9</v>
      </c>
      <c r="W175" s="1" t="str">
        <f t="shared" ca="1" si="153"/>
        <v>=9</v>
      </c>
      <c r="X175" s="1" t="str">
        <f t="shared" ca="1" si="153"/>
        <v>=9</v>
      </c>
      <c r="AB175" s="28"/>
      <c r="AC175" s="28"/>
      <c r="AD175" s="28"/>
      <c r="AE175" s="28"/>
      <c r="AT175" s="28"/>
    </row>
    <row r="176" spans="2:46">
      <c r="B176" s="1" t="str">
        <f t="shared" si="146"/>
        <v xml:space="preserve">   1.2.6) 10.¿Hay programas de formación/capacitación a nivel municipal?</v>
      </c>
      <c r="C176" s="1" t="str">
        <f t="shared" ref="C176:X176" ca="1" si="154">IF(C122&gt;1,"=","")&amp;C68</f>
        <v>=10</v>
      </c>
      <c r="D176" s="1" t="str">
        <f t="shared" ca="1" si="154"/>
        <v>=1</v>
      </c>
      <c r="E176" s="1" t="str">
        <f t="shared" ca="1" si="154"/>
        <v>=6</v>
      </c>
      <c r="F176" s="1" t="str">
        <f t="shared" ca="1" si="154"/>
        <v>=10</v>
      </c>
      <c r="G176" s="1" t="str">
        <f t="shared" ca="1" si="154"/>
        <v>=6</v>
      </c>
      <c r="H176" s="1" t="str">
        <f t="shared" ca="1" si="154"/>
        <v>=1</v>
      </c>
      <c r="I176" s="1" t="str">
        <f t="shared" ca="1" si="154"/>
        <v>=6</v>
      </c>
      <c r="J176" s="1" t="str">
        <f t="shared" ca="1" si="154"/>
        <v>=10</v>
      </c>
      <c r="K176" s="1" t="str">
        <f t="shared" ca="1" si="154"/>
        <v>=6</v>
      </c>
      <c r="L176" s="1" t="str">
        <f t="shared" ca="1" si="154"/>
        <v>=1</v>
      </c>
      <c r="M176" s="1" t="str">
        <f t="shared" ca="1" si="154"/>
        <v>5</v>
      </c>
      <c r="N176" s="1" t="str">
        <f t="shared" ca="1" si="154"/>
        <v>=1</v>
      </c>
      <c r="O176" s="1" t="str">
        <f t="shared" ca="1" si="154"/>
        <v>=10</v>
      </c>
      <c r="P176" s="1" t="str">
        <f t="shared" ca="1" si="154"/>
        <v>=10</v>
      </c>
      <c r="Q176" s="1" t="str">
        <f t="shared" ca="1" si="154"/>
        <v>=10</v>
      </c>
      <c r="R176" s="1" t="str">
        <f t="shared" ca="1" si="154"/>
        <v>=10</v>
      </c>
      <c r="S176" s="1" t="str">
        <f t="shared" ca="1" si="154"/>
        <v>=10</v>
      </c>
      <c r="T176" s="1" t="str">
        <f t="shared" ca="1" si="154"/>
        <v>=10</v>
      </c>
      <c r="U176" s="1" t="str">
        <f t="shared" ca="1" si="154"/>
        <v>=10</v>
      </c>
      <c r="V176" s="1" t="str">
        <f t="shared" ca="1" si="154"/>
        <v>=10</v>
      </c>
      <c r="W176" s="1" t="str">
        <f t="shared" ca="1" si="154"/>
        <v>=10</v>
      </c>
      <c r="X176" s="1" t="str">
        <f t="shared" ca="1" si="154"/>
        <v>=10</v>
      </c>
      <c r="AB176" s="28"/>
      <c r="AC176" s="28"/>
      <c r="AD176" s="28"/>
      <c r="AE176" s="28"/>
      <c r="AT176" s="28"/>
    </row>
    <row r="177" spans="2:46">
      <c r="B177" s="1" t="str">
        <f t="shared" si="146"/>
        <v xml:space="preserve">   1.2.7) 11.¿Existen incentivos, programas y/o acciones concretas para el fortalecimiento de la ocupación del reciclador de base?</v>
      </c>
      <c r="C177" s="1" t="str">
        <f t="shared" ref="C177:X177" ca="1" si="155">IF(C123&gt;1,"=","")&amp;C69</f>
        <v>=5</v>
      </c>
      <c r="D177" s="1" t="str">
        <f t="shared" ca="1" si="155"/>
        <v>=5</v>
      </c>
      <c r="E177" s="1" t="str">
        <f t="shared" ca="1" si="155"/>
        <v>=1</v>
      </c>
      <c r="F177" s="1" t="str">
        <f t="shared" ca="1" si="155"/>
        <v>=5</v>
      </c>
      <c r="G177" s="1" t="str">
        <f t="shared" ca="1" si="155"/>
        <v>=11</v>
      </c>
      <c r="H177" s="1" t="str">
        <f t="shared" ca="1" si="155"/>
        <v>=1</v>
      </c>
      <c r="I177" s="1" t="str">
        <f t="shared" ca="1" si="155"/>
        <v>=5</v>
      </c>
      <c r="J177" s="1" t="str">
        <f t="shared" ca="1" si="155"/>
        <v>=5</v>
      </c>
      <c r="K177" s="1" t="str">
        <f t="shared" ca="1" si="155"/>
        <v>=11</v>
      </c>
      <c r="L177" s="1" t="str">
        <f t="shared" ca="1" si="155"/>
        <v>=1</v>
      </c>
      <c r="M177" s="1" t="str">
        <f t="shared" ca="1" si="155"/>
        <v>=1</v>
      </c>
      <c r="N177" s="1" t="str">
        <f t="shared" ca="1" si="155"/>
        <v>=5</v>
      </c>
      <c r="O177" s="1" t="str">
        <f t="shared" ca="1" si="155"/>
        <v>=11</v>
      </c>
      <c r="P177" s="1" t="str">
        <f t="shared" ca="1" si="155"/>
        <v>=11</v>
      </c>
      <c r="Q177" s="1" t="str">
        <f t="shared" ca="1" si="155"/>
        <v>=11</v>
      </c>
      <c r="R177" s="1" t="str">
        <f t="shared" ca="1" si="155"/>
        <v>=11</v>
      </c>
      <c r="S177" s="1" t="str">
        <f t="shared" ca="1" si="155"/>
        <v>=11</v>
      </c>
      <c r="T177" s="1" t="str">
        <f t="shared" ca="1" si="155"/>
        <v>=11</v>
      </c>
      <c r="U177" s="1" t="str">
        <f t="shared" ca="1" si="155"/>
        <v>=11</v>
      </c>
      <c r="V177" s="1" t="str">
        <f t="shared" ca="1" si="155"/>
        <v>=11</v>
      </c>
      <c r="W177" s="1" t="str">
        <f t="shared" ca="1" si="155"/>
        <v>=11</v>
      </c>
      <c r="X177" s="1" t="str">
        <f t="shared" ca="1" si="155"/>
        <v>=11</v>
      </c>
      <c r="AB177" s="28"/>
      <c r="AC177" s="28"/>
      <c r="AD177" s="28"/>
      <c r="AE177" s="28"/>
      <c r="AT177" s="28"/>
    </row>
    <row r="178" spans="2:46">
      <c r="B178" s="1" t="str">
        <f t="shared" si="146"/>
        <v xml:space="preserve">   1.2.8) 12.¿Existen incentivos de reciclaje para los usuarios? </v>
      </c>
      <c r="C178" s="1" t="str">
        <f t="shared" ref="C178:X178" ca="1" si="156">IF(C124&gt;1,"=","")&amp;C70</f>
        <v>=6</v>
      </c>
      <c r="D178" s="1" t="str">
        <f t="shared" ca="1" si="156"/>
        <v>=1</v>
      </c>
      <c r="E178" s="1" t="str">
        <f t="shared" ca="1" si="156"/>
        <v>=6</v>
      </c>
      <c r="F178" s="1" t="str">
        <f t="shared" ca="1" si="156"/>
        <v>=1</v>
      </c>
      <c r="G178" s="1" t="str">
        <f t="shared" ca="1" si="156"/>
        <v>=1</v>
      </c>
      <c r="H178" s="1" t="str">
        <f t="shared" ca="1" si="156"/>
        <v>=1</v>
      </c>
      <c r="I178" s="1" t="str">
        <f t="shared" ca="1" si="156"/>
        <v>=6</v>
      </c>
      <c r="J178" s="1" t="str">
        <f t="shared" ca="1" si="156"/>
        <v>=6</v>
      </c>
      <c r="K178" s="1" t="str">
        <f t="shared" ca="1" si="156"/>
        <v>=6</v>
      </c>
      <c r="L178" s="1" t="str">
        <f t="shared" ca="1" si="156"/>
        <v>=6</v>
      </c>
      <c r="M178" s="1" t="str">
        <f t="shared" ca="1" si="156"/>
        <v>=6</v>
      </c>
      <c r="N178" s="1" t="str">
        <f t="shared" ca="1" si="156"/>
        <v>=1</v>
      </c>
      <c r="O178" s="1" t="str">
        <f t="shared" ca="1" si="156"/>
        <v>=6</v>
      </c>
      <c r="P178" s="1" t="str">
        <f t="shared" ca="1" si="156"/>
        <v>=6</v>
      </c>
      <c r="Q178" s="1" t="str">
        <f t="shared" ca="1" si="156"/>
        <v>=6</v>
      </c>
      <c r="R178" s="1" t="str">
        <f t="shared" ca="1" si="156"/>
        <v>=6</v>
      </c>
      <c r="S178" s="1" t="str">
        <f t="shared" ca="1" si="156"/>
        <v>=6</v>
      </c>
      <c r="T178" s="1" t="str">
        <f t="shared" ca="1" si="156"/>
        <v>=6</v>
      </c>
      <c r="U178" s="1" t="str">
        <f t="shared" ca="1" si="156"/>
        <v>=6</v>
      </c>
      <c r="V178" s="1" t="str">
        <f t="shared" ca="1" si="156"/>
        <v>=6</v>
      </c>
      <c r="W178" s="1" t="str">
        <f t="shared" ca="1" si="156"/>
        <v>=6</v>
      </c>
      <c r="X178" s="1" t="str">
        <f t="shared" ca="1" si="156"/>
        <v>=6</v>
      </c>
      <c r="AB178" s="28"/>
      <c r="AC178" s="28"/>
      <c r="AD178" s="28"/>
      <c r="AE178" s="28"/>
      <c r="AT178" s="28"/>
    </row>
    <row r="179" spans="2:46">
      <c r="B179" s="1" t="str">
        <f t="shared" si="146"/>
        <v xml:space="preserve">  1.3) Generación de información</v>
      </c>
      <c r="C179" s="1" t="str">
        <f t="shared" ref="C179:X179" ca="1" si="157">IF(C125&gt;1,"=","")&amp;C71</f>
        <v>=5</v>
      </c>
      <c r="D179" s="1" t="str">
        <f t="shared" ca="1" si="157"/>
        <v>=1</v>
      </c>
      <c r="E179" s="1" t="str">
        <f t="shared" ca="1" si="157"/>
        <v>=5</v>
      </c>
      <c r="F179" s="1" t="str">
        <f t="shared" ca="1" si="157"/>
        <v>12</v>
      </c>
      <c r="G179" s="1" t="str">
        <f t="shared" ca="1" si="157"/>
        <v>=5</v>
      </c>
      <c r="H179" s="1" t="str">
        <f t="shared" ca="1" si="157"/>
        <v>=1</v>
      </c>
      <c r="I179" s="1" t="str">
        <f t="shared" ca="1" si="157"/>
        <v>=5</v>
      </c>
      <c r="J179" s="1" t="str">
        <f t="shared" ca="1" si="157"/>
        <v>=5</v>
      </c>
      <c r="K179" s="1" t="str">
        <f t="shared" ca="1" si="157"/>
        <v>=5</v>
      </c>
      <c r="L179" s="1" t="str">
        <f t="shared" ca="1" si="157"/>
        <v>=1</v>
      </c>
      <c r="M179" s="1" t="str">
        <f t="shared" ca="1" si="157"/>
        <v>=1</v>
      </c>
      <c r="N179" s="1" t="str">
        <f t="shared" ca="1" si="157"/>
        <v>=5</v>
      </c>
      <c r="O179" s="1" t="str">
        <f t="shared" ca="1" si="157"/>
        <v>12</v>
      </c>
      <c r="P179" s="1" t="str">
        <f t="shared" ca="1" si="157"/>
        <v>12</v>
      </c>
      <c r="Q179" s="1" t="str">
        <f t="shared" ca="1" si="157"/>
        <v>12</v>
      </c>
      <c r="R179" s="1" t="str">
        <f t="shared" ca="1" si="157"/>
        <v>12</v>
      </c>
      <c r="S179" s="1" t="str">
        <f t="shared" ca="1" si="157"/>
        <v>12</v>
      </c>
      <c r="T179" s="1" t="str">
        <f t="shared" ca="1" si="157"/>
        <v>12</v>
      </c>
      <c r="U179" s="1" t="str">
        <f t="shared" ca="1" si="157"/>
        <v>12</v>
      </c>
      <c r="V179" s="1" t="str">
        <f t="shared" ca="1" si="157"/>
        <v>12</v>
      </c>
      <c r="W179" s="1" t="str">
        <f t="shared" ca="1" si="157"/>
        <v>12</v>
      </c>
      <c r="X179" s="1" t="str">
        <f t="shared" ca="1" si="157"/>
        <v>12</v>
      </c>
      <c r="AB179" s="28"/>
      <c r="AC179" s="28"/>
      <c r="AD179" s="28"/>
      <c r="AE179" s="28"/>
      <c r="AT179" s="28"/>
    </row>
    <row r="180" spans="2:46">
      <c r="B180" s="1" t="str">
        <f t="shared" si="146"/>
        <v xml:space="preserve">   1.3.1) 13.¿Hay un sistema municipal de recolección de información de reciclaje inclusivo?</v>
      </c>
      <c r="C180" s="1" t="str">
        <f t="shared" ref="C180:X180" ca="1" si="158">IF(C126&gt;1,"=","")&amp;C72</f>
        <v>=4</v>
      </c>
      <c r="D180" s="1" t="str">
        <f t="shared" ca="1" si="158"/>
        <v>=1</v>
      </c>
      <c r="E180" s="1" t="str">
        <f t="shared" ca="1" si="158"/>
        <v>=4</v>
      </c>
      <c r="F180" s="1" t="str">
        <f t="shared" ca="1" si="158"/>
        <v>=4</v>
      </c>
      <c r="G180" s="1" t="str">
        <f t="shared" ca="1" si="158"/>
        <v>=4</v>
      </c>
      <c r="H180" s="1" t="str">
        <f t="shared" ca="1" si="158"/>
        <v>=1</v>
      </c>
      <c r="I180" s="1" t="str">
        <f t="shared" ca="1" si="158"/>
        <v>=4</v>
      </c>
      <c r="J180" s="1" t="str">
        <f t="shared" ca="1" si="158"/>
        <v>=4</v>
      </c>
      <c r="K180" s="1" t="str">
        <f t="shared" ca="1" si="158"/>
        <v>=4</v>
      </c>
      <c r="L180" s="1" t="str">
        <f t="shared" ca="1" si="158"/>
        <v>=1</v>
      </c>
      <c r="M180" s="1" t="str">
        <f t="shared" ca="1" si="158"/>
        <v>=4</v>
      </c>
      <c r="N180" s="1" t="str">
        <f t="shared" ca="1" si="158"/>
        <v>=4</v>
      </c>
      <c r="O180" s="1" t="str">
        <f t="shared" ca="1" si="158"/>
        <v>=4</v>
      </c>
      <c r="P180" s="1" t="str">
        <f t="shared" ca="1" si="158"/>
        <v>=4</v>
      </c>
      <c r="Q180" s="1" t="str">
        <f t="shared" ca="1" si="158"/>
        <v>=4</v>
      </c>
      <c r="R180" s="1" t="str">
        <f t="shared" ca="1" si="158"/>
        <v>=4</v>
      </c>
      <c r="S180" s="1" t="str">
        <f t="shared" ca="1" si="158"/>
        <v>=4</v>
      </c>
      <c r="T180" s="1" t="str">
        <f t="shared" ca="1" si="158"/>
        <v>=4</v>
      </c>
      <c r="U180" s="1" t="str">
        <f t="shared" ca="1" si="158"/>
        <v>=4</v>
      </c>
      <c r="V180" s="1" t="str">
        <f t="shared" ca="1" si="158"/>
        <v>=4</v>
      </c>
      <c r="W180" s="1" t="str">
        <f t="shared" ca="1" si="158"/>
        <v>=4</v>
      </c>
      <c r="X180" s="1" t="str">
        <f t="shared" ca="1" si="158"/>
        <v>=4</v>
      </c>
      <c r="AB180" s="28"/>
      <c r="AC180" s="28"/>
      <c r="AD180" s="28"/>
      <c r="AE180" s="28"/>
      <c r="AT180" s="28"/>
    </row>
    <row r="181" spans="2:46">
      <c r="B181" s="1" t="str">
        <f t="shared" si="146"/>
        <v xml:space="preserve">   1.3.2) 14.¿Hay campañas de comunicación para fomentar el reciclaje inclusivo con difusión en el municipio?</v>
      </c>
      <c r="C181" s="1" t="str">
        <f t="shared" ref="C181:X181" ca="1" si="159">IF(C127&gt;1,"=","")&amp;C73</f>
        <v>=2</v>
      </c>
      <c r="D181" s="1" t="str">
        <f t="shared" ca="1" si="159"/>
        <v>=2</v>
      </c>
      <c r="E181" s="1" t="str">
        <f t="shared" ca="1" si="159"/>
        <v>=2</v>
      </c>
      <c r="F181" s="1" t="str">
        <f t="shared" ca="1" si="159"/>
        <v>12</v>
      </c>
      <c r="G181" s="1" t="str">
        <f t="shared" ca="1" si="159"/>
        <v>=2</v>
      </c>
      <c r="H181" s="1" t="str">
        <f t="shared" ca="1" si="159"/>
        <v>=2</v>
      </c>
      <c r="I181" s="1" t="str">
        <f t="shared" ca="1" si="159"/>
        <v>=2</v>
      </c>
      <c r="J181" s="1" t="str">
        <f t="shared" ca="1" si="159"/>
        <v>=2</v>
      </c>
      <c r="K181" s="1" t="str">
        <f t="shared" ca="1" si="159"/>
        <v>=2</v>
      </c>
      <c r="L181" s="1" t="str">
        <f t="shared" ca="1" si="159"/>
        <v>=2</v>
      </c>
      <c r="M181" s="1" t="str">
        <f t="shared" ca="1" si="159"/>
        <v>1</v>
      </c>
      <c r="N181" s="1" t="str">
        <f t="shared" ca="1" si="159"/>
        <v>=2</v>
      </c>
      <c r="O181" s="1" t="str">
        <f t="shared" ca="1" si="159"/>
        <v>12</v>
      </c>
      <c r="P181" s="1" t="str">
        <f t="shared" ca="1" si="159"/>
        <v>12</v>
      </c>
      <c r="Q181" s="1" t="str">
        <f t="shared" ca="1" si="159"/>
        <v>12</v>
      </c>
      <c r="R181" s="1" t="str">
        <f t="shared" ca="1" si="159"/>
        <v>12</v>
      </c>
      <c r="S181" s="1" t="str">
        <f t="shared" ca="1" si="159"/>
        <v>12</v>
      </c>
      <c r="T181" s="1" t="str">
        <f t="shared" ca="1" si="159"/>
        <v>12</v>
      </c>
      <c r="U181" s="1" t="str">
        <f t="shared" ca="1" si="159"/>
        <v>12</v>
      </c>
      <c r="V181" s="1" t="str">
        <f t="shared" ca="1" si="159"/>
        <v>12</v>
      </c>
      <c r="W181" s="1" t="str">
        <f t="shared" ca="1" si="159"/>
        <v>12</v>
      </c>
      <c r="X181" s="1" t="str">
        <f t="shared" ca="1" si="159"/>
        <v>12</v>
      </c>
      <c r="AB181" s="28"/>
      <c r="AC181" s="28"/>
      <c r="AD181" s="28"/>
      <c r="AE181" s="28"/>
      <c r="AT181" s="28"/>
    </row>
    <row r="182" spans="2:46">
      <c r="B182" s="1" t="str">
        <f t="shared" si="146"/>
        <v xml:space="preserve">  1.4) Salud pública y el medioambiente</v>
      </c>
      <c r="C182" s="1" t="str">
        <f t="shared" ref="C182:X182" ca="1" si="160">IF(C128&gt;1,"=","")&amp;C74</f>
        <v>=5</v>
      </c>
      <c r="D182" s="1" t="str">
        <f t="shared" ca="1" si="160"/>
        <v>=5</v>
      </c>
      <c r="E182" s="1" t="str">
        <f t="shared" ca="1" si="160"/>
        <v>=1</v>
      </c>
      <c r="F182" s="1" t="str">
        <f t="shared" ca="1" si="160"/>
        <v>=5</v>
      </c>
      <c r="G182" s="1" t="str">
        <f t="shared" ca="1" si="160"/>
        <v>=1</v>
      </c>
      <c r="H182" s="1" t="str">
        <f t="shared" ca="1" si="160"/>
        <v>=5</v>
      </c>
      <c r="I182" s="1" t="str">
        <f t="shared" ca="1" si="160"/>
        <v>=1</v>
      </c>
      <c r="J182" s="1" t="str">
        <f t="shared" ca="1" si="160"/>
        <v>=5</v>
      </c>
      <c r="K182" s="1" t="str">
        <f t="shared" ca="1" si="160"/>
        <v>=5</v>
      </c>
      <c r="L182" s="1" t="str">
        <f t="shared" ca="1" si="160"/>
        <v>=5</v>
      </c>
      <c r="M182" s="1" t="str">
        <f t="shared" ca="1" si="160"/>
        <v>=1</v>
      </c>
      <c r="N182" s="1" t="str">
        <f t="shared" ca="1" si="160"/>
        <v>=5</v>
      </c>
      <c r="O182" s="1" t="e">
        <f t="shared" ca="1" si="160"/>
        <v>#N/A</v>
      </c>
      <c r="P182" s="1" t="e">
        <f t="shared" ca="1" si="160"/>
        <v>#N/A</v>
      </c>
      <c r="Q182" s="1" t="e">
        <f t="shared" ca="1" si="160"/>
        <v>#N/A</v>
      </c>
      <c r="R182" s="1" t="e">
        <f t="shared" ca="1" si="160"/>
        <v>#N/A</v>
      </c>
      <c r="S182" s="1" t="e">
        <f t="shared" ca="1" si="160"/>
        <v>#N/A</v>
      </c>
      <c r="T182" s="1" t="e">
        <f t="shared" ca="1" si="160"/>
        <v>#N/A</v>
      </c>
      <c r="U182" s="1" t="e">
        <f t="shared" ca="1" si="160"/>
        <v>#N/A</v>
      </c>
      <c r="V182" s="1" t="e">
        <f t="shared" ca="1" si="160"/>
        <v>#N/A</v>
      </c>
      <c r="W182" s="1" t="e">
        <f t="shared" ca="1" si="160"/>
        <v>#N/A</v>
      </c>
      <c r="X182" s="1" t="e">
        <f t="shared" ca="1" si="160"/>
        <v>#N/A</v>
      </c>
      <c r="AB182" s="28"/>
      <c r="AC182" s="28"/>
      <c r="AD182" s="28"/>
      <c r="AE182" s="28"/>
      <c r="AT182" s="28"/>
    </row>
    <row r="183" spans="2:46">
      <c r="B183" s="1" t="str">
        <f t="shared" si="146"/>
        <v xml:space="preserve">   1.4.1) 15.¿Existe adecuada regulación y control sobre clasificación y manejo de desechos especiales y/o  peligrosos y sobre clasificación en la calle?</v>
      </c>
      <c r="C183" s="1" t="str">
        <f t="shared" ref="C183:X183" ca="1" si="161">IF(C129&gt;1,"=","")&amp;C75</f>
        <v>=5</v>
      </c>
      <c r="D183" s="1" t="str">
        <f t="shared" ca="1" si="161"/>
        <v>=5</v>
      </c>
      <c r="E183" s="1" t="str">
        <f t="shared" ca="1" si="161"/>
        <v>=1</v>
      </c>
      <c r="F183" s="1" t="str">
        <f t="shared" ca="1" si="161"/>
        <v>=5</v>
      </c>
      <c r="G183" s="1" t="str">
        <f t="shared" ca="1" si="161"/>
        <v>=1</v>
      </c>
      <c r="H183" s="1" t="str">
        <f t="shared" ca="1" si="161"/>
        <v>=5</v>
      </c>
      <c r="I183" s="1" t="str">
        <f t="shared" ca="1" si="161"/>
        <v>=1</v>
      </c>
      <c r="J183" s="1" t="str">
        <f t="shared" ca="1" si="161"/>
        <v>=5</v>
      </c>
      <c r="K183" s="1" t="str">
        <f t="shared" ca="1" si="161"/>
        <v>=5</v>
      </c>
      <c r="L183" s="1" t="str">
        <f t="shared" ca="1" si="161"/>
        <v>=5</v>
      </c>
      <c r="M183" s="1" t="str">
        <f t="shared" ca="1" si="161"/>
        <v>=1</v>
      </c>
      <c r="N183" s="1" t="str">
        <f t="shared" ca="1" si="161"/>
        <v>=5</v>
      </c>
      <c r="O183" s="1" t="e">
        <f t="shared" ca="1" si="161"/>
        <v>#N/A</v>
      </c>
      <c r="P183" s="1" t="e">
        <f t="shared" ca="1" si="161"/>
        <v>#N/A</v>
      </c>
      <c r="Q183" s="1" t="e">
        <f t="shared" ca="1" si="161"/>
        <v>#N/A</v>
      </c>
      <c r="R183" s="1" t="e">
        <f t="shared" ca="1" si="161"/>
        <v>#N/A</v>
      </c>
      <c r="S183" s="1" t="e">
        <f t="shared" ca="1" si="161"/>
        <v>#N/A</v>
      </c>
      <c r="T183" s="1" t="e">
        <f t="shared" ca="1" si="161"/>
        <v>#N/A</v>
      </c>
      <c r="U183" s="1" t="e">
        <f t="shared" ca="1" si="161"/>
        <v>#N/A</v>
      </c>
      <c r="V183" s="1" t="e">
        <f t="shared" ca="1" si="161"/>
        <v>#N/A</v>
      </c>
      <c r="W183" s="1" t="e">
        <f t="shared" ca="1" si="161"/>
        <v>#N/A</v>
      </c>
      <c r="X183" s="1" t="e">
        <f t="shared" ca="1" si="161"/>
        <v>#N/A</v>
      </c>
      <c r="AB183" s="28"/>
      <c r="AC183" s="28"/>
      <c r="AD183" s="28"/>
      <c r="AE183" s="28"/>
      <c r="AT183" s="28"/>
    </row>
    <row r="184" spans="2:46">
      <c r="B184" s="1" t="str">
        <f t="shared" si="146"/>
        <v xml:space="preserve"> 2) ORGANIZATIVA</v>
      </c>
      <c r="C184" s="1" t="str">
        <f t="shared" ref="C184:X184" ca="1" si="162">IF(C130&gt;1,"=","")&amp;C76</f>
        <v>10</v>
      </c>
      <c r="D184" s="1" t="str">
        <f t="shared" ca="1" si="162"/>
        <v>2</v>
      </c>
      <c r="E184" s="1" t="str">
        <f t="shared" ca="1" si="162"/>
        <v>1</v>
      </c>
      <c r="F184" s="1" t="str">
        <f t="shared" ca="1" si="162"/>
        <v>=11</v>
      </c>
      <c r="G184" s="1" t="str">
        <f t="shared" ca="1" si="162"/>
        <v>4</v>
      </c>
      <c r="H184" s="1" t="str">
        <f t="shared" ca="1" si="162"/>
        <v>=5</v>
      </c>
      <c r="I184" s="1" t="str">
        <f t="shared" ca="1" si="162"/>
        <v>9</v>
      </c>
      <c r="J184" s="1" t="str">
        <f t="shared" ca="1" si="162"/>
        <v>=5</v>
      </c>
      <c r="K184" s="1" t="str">
        <f t="shared" ca="1" si="162"/>
        <v>=11</v>
      </c>
      <c r="L184" s="1" t="str">
        <f t="shared" ca="1" si="162"/>
        <v>3</v>
      </c>
      <c r="M184" s="1" t="str">
        <f t="shared" ca="1" si="162"/>
        <v>=5</v>
      </c>
      <c r="N184" s="1" t="str">
        <f t="shared" ca="1" si="162"/>
        <v>8</v>
      </c>
      <c r="O184" s="1" t="str">
        <f t="shared" ca="1" si="162"/>
        <v>=11</v>
      </c>
      <c r="P184" s="1" t="str">
        <f t="shared" ca="1" si="162"/>
        <v>=11</v>
      </c>
      <c r="Q184" s="1" t="str">
        <f t="shared" ca="1" si="162"/>
        <v>=11</v>
      </c>
      <c r="R184" s="1" t="str">
        <f t="shared" ca="1" si="162"/>
        <v>=11</v>
      </c>
      <c r="S184" s="1" t="str">
        <f t="shared" ca="1" si="162"/>
        <v>=11</v>
      </c>
      <c r="T184" s="1" t="str">
        <f t="shared" ca="1" si="162"/>
        <v>=11</v>
      </c>
      <c r="U184" s="1" t="str">
        <f t="shared" ca="1" si="162"/>
        <v>=11</v>
      </c>
      <c r="V184" s="1" t="str">
        <f t="shared" ca="1" si="162"/>
        <v>=11</v>
      </c>
      <c r="W184" s="1" t="str">
        <f t="shared" ca="1" si="162"/>
        <v>=11</v>
      </c>
      <c r="X184" s="1" t="str">
        <f t="shared" ca="1" si="162"/>
        <v>=11</v>
      </c>
      <c r="AB184" s="28"/>
      <c r="AC184" s="28"/>
      <c r="AD184" s="28"/>
      <c r="AE184" s="28"/>
      <c r="AT184" s="28"/>
    </row>
    <row r="185" spans="2:46">
      <c r="B185" s="1" t="str">
        <f t="shared" si="146"/>
        <v xml:space="preserve">  2.1) Asociatividad</v>
      </c>
      <c r="C185" s="1" t="str">
        <f t="shared" ref="C185:X185" ca="1" si="163">IF(C131&gt;1,"=","")&amp;C77</f>
        <v>9</v>
      </c>
      <c r="D185" s="1" t="str">
        <f t="shared" ca="1" si="163"/>
        <v>1</v>
      </c>
      <c r="E185" s="1" t="str">
        <f t="shared" ca="1" si="163"/>
        <v>=2</v>
      </c>
      <c r="F185" s="1" t="str">
        <f t="shared" ca="1" si="163"/>
        <v>=11</v>
      </c>
      <c r="G185" s="1" t="str">
        <f t="shared" ca="1" si="163"/>
        <v>=2</v>
      </c>
      <c r="H185" s="1" t="str">
        <f t="shared" ca="1" si="163"/>
        <v>=4</v>
      </c>
      <c r="I185" s="1" t="str">
        <f t="shared" ca="1" si="163"/>
        <v>8</v>
      </c>
      <c r="J185" s="1" t="str">
        <f t="shared" ca="1" si="163"/>
        <v>=4</v>
      </c>
      <c r="K185" s="1" t="str">
        <f t="shared" ca="1" si="163"/>
        <v>=11</v>
      </c>
      <c r="L185" s="1" t="str">
        <f t="shared" ca="1" si="163"/>
        <v>=4</v>
      </c>
      <c r="M185" s="1" t="str">
        <f t="shared" ca="1" si="163"/>
        <v>=4</v>
      </c>
      <c r="N185" s="1" t="str">
        <f t="shared" ca="1" si="163"/>
        <v>10</v>
      </c>
      <c r="O185" s="1" t="str">
        <f t="shared" ca="1" si="163"/>
        <v>=11</v>
      </c>
      <c r="P185" s="1" t="str">
        <f t="shared" ca="1" si="163"/>
        <v>=11</v>
      </c>
      <c r="Q185" s="1" t="str">
        <f t="shared" ca="1" si="163"/>
        <v>=11</v>
      </c>
      <c r="R185" s="1" t="str">
        <f t="shared" ca="1" si="163"/>
        <v>=11</v>
      </c>
      <c r="S185" s="1" t="str">
        <f t="shared" ca="1" si="163"/>
        <v>=11</v>
      </c>
      <c r="T185" s="1" t="str">
        <f t="shared" ca="1" si="163"/>
        <v>=11</v>
      </c>
      <c r="U185" s="1" t="str">
        <f t="shared" ca="1" si="163"/>
        <v>=11</v>
      </c>
      <c r="V185" s="1" t="str">
        <f t="shared" ca="1" si="163"/>
        <v>=11</v>
      </c>
      <c r="W185" s="1" t="str">
        <f t="shared" ca="1" si="163"/>
        <v>=11</v>
      </c>
      <c r="X185" s="1" t="str">
        <f t="shared" ca="1" si="163"/>
        <v>=11</v>
      </c>
      <c r="AB185" s="28"/>
      <c r="AC185" s="28"/>
      <c r="AD185" s="28"/>
      <c r="AE185" s="28"/>
      <c r="AT185" s="28"/>
    </row>
    <row r="186" spans="2:46">
      <c r="B186" s="1" t="str">
        <f t="shared" si="146"/>
        <v xml:space="preserve">   2.1.1) 16.¿Cuán dinámicas son las asociaciones?</v>
      </c>
      <c r="C186" s="1" t="str">
        <f t="shared" ref="C186:X186" ca="1" si="164">IF(C132&gt;1,"=","")&amp;C78</f>
        <v>=1</v>
      </c>
      <c r="D186" s="1" t="str">
        <f t="shared" ca="1" si="164"/>
        <v>=4</v>
      </c>
      <c r="E186" s="1" t="str">
        <f t="shared" ca="1" si="164"/>
        <v>=4</v>
      </c>
      <c r="F186" s="1" t="str">
        <f t="shared" ca="1" si="164"/>
        <v>=8</v>
      </c>
      <c r="G186" s="1" t="str">
        <f t="shared" ca="1" si="164"/>
        <v>=1</v>
      </c>
      <c r="H186" s="1" t="str">
        <f t="shared" ca="1" si="164"/>
        <v>=4</v>
      </c>
      <c r="I186" s="1" t="str">
        <f t="shared" ca="1" si="164"/>
        <v>=1</v>
      </c>
      <c r="J186" s="1" t="str">
        <f t="shared" ca="1" si="164"/>
        <v>=4</v>
      </c>
      <c r="K186" s="1" t="str">
        <f t="shared" ca="1" si="164"/>
        <v>=8</v>
      </c>
      <c r="L186" s="1" t="str">
        <f t="shared" ca="1" si="164"/>
        <v>=8</v>
      </c>
      <c r="M186" s="1" t="str">
        <f t="shared" ca="1" si="164"/>
        <v>=8</v>
      </c>
      <c r="N186" s="1" t="str">
        <f t="shared" ca="1" si="164"/>
        <v>=8</v>
      </c>
      <c r="O186" s="1" t="str">
        <f t="shared" ca="1" si="164"/>
        <v>=8</v>
      </c>
      <c r="P186" s="1" t="str">
        <f t="shared" ca="1" si="164"/>
        <v>=8</v>
      </c>
      <c r="Q186" s="1" t="str">
        <f t="shared" ca="1" si="164"/>
        <v>=8</v>
      </c>
      <c r="R186" s="1" t="str">
        <f t="shared" ca="1" si="164"/>
        <v>=8</v>
      </c>
      <c r="S186" s="1" t="str">
        <f t="shared" ca="1" si="164"/>
        <v>=8</v>
      </c>
      <c r="T186" s="1" t="str">
        <f t="shared" ca="1" si="164"/>
        <v>=8</v>
      </c>
      <c r="U186" s="1" t="str">
        <f t="shared" ca="1" si="164"/>
        <v>=8</v>
      </c>
      <c r="V186" s="1" t="str">
        <f t="shared" ca="1" si="164"/>
        <v>=8</v>
      </c>
      <c r="W186" s="1" t="str">
        <f t="shared" ca="1" si="164"/>
        <v>=8</v>
      </c>
      <c r="X186" s="1" t="str">
        <f t="shared" ca="1" si="164"/>
        <v>=8</v>
      </c>
      <c r="AB186" s="28"/>
      <c r="AC186" s="28"/>
      <c r="AD186" s="28"/>
      <c r="AE186" s="28"/>
      <c r="AT186" s="28"/>
    </row>
    <row r="187" spans="2:46">
      <c r="B187" s="1" t="str">
        <f t="shared" si="146"/>
        <v xml:space="preserve">   2.1.2) 17.¿Qué nivel de inclusión  presentan estas asociaciones? </v>
      </c>
      <c r="C187" s="1" t="str">
        <f t="shared" ref="C187:X187" ca="1" si="165">IF(C133&gt;1,"=","")&amp;C79</f>
        <v>=8</v>
      </c>
      <c r="D187" s="1" t="str">
        <f t="shared" ca="1" si="165"/>
        <v>=1</v>
      </c>
      <c r="E187" s="1" t="str">
        <f t="shared" ca="1" si="165"/>
        <v>=3</v>
      </c>
      <c r="F187" s="1" t="str">
        <f t="shared" ca="1" si="165"/>
        <v>=8</v>
      </c>
      <c r="G187" s="1" t="str">
        <f t="shared" ca="1" si="165"/>
        <v>=3</v>
      </c>
      <c r="H187" s="1" t="str">
        <f t="shared" ca="1" si="165"/>
        <v>=3</v>
      </c>
      <c r="I187" s="1" t="str">
        <f t="shared" ca="1" si="165"/>
        <v>=8</v>
      </c>
      <c r="J187" s="1" t="str">
        <f t="shared" ca="1" si="165"/>
        <v>=3</v>
      </c>
      <c r="K187" s="1" t="str">
        <f t="shared" ca="1" si="165"/>
        <v>=8</v>
      </c>
      <c r="L187" s="1" t="str">
        <f t="shared" ca="1" si="165"/>
        <v>=1</v>
      </c>
      <c r="M187" s="1" t="str">
        <f t="shared" ca="1" si="165"/>
        <v>=3</v>
      </c>
      <c r="N187" s="1" t="str">
        <f t="shared" ca="1" si="165"/>
        <v>=8</v>
      </c>
      <c r="O187" s="1" t="str">
        <f t="shared" ca="1" si="165"/>
        <v>=8</v>
      </c>
      <c r="P187" s="1" t="str">
        <f t="shared" ca="1" si="165"/>
        <v>=8</v>
      </c>
      <c r="Q187" s="1" t="str">
        <f t="shared" ca="1" si="165"/>
        <v>=8</v>
      </c>
      <c r="R187" s="1" t="str">
        <f t="shared" ca="1" si="165"/>
        <v>=8</v>
      </c>
      <c r="S187" s="1" t="str">
        <f t="shared" ca="1" si="165"/>
        <v>=8</v>
      </c>
      <c r="T187" s="1" t="str">
        <f t="shared" ca="1" si="165"/>
        <v>=8</v>
      </c>
      <c r="U187" s="1" t="str">
        <f t="shared" ca="1" si="165"/>
        <v>=8</v>
      </c>
      <c r="V187" s="1" t="str">
        <f t="shared" ca="1" si="165"/>
        <v>=8</v>
      </c>
      <c r="W187" s="1" t="str">
        <f t="shared" ca="1" si="165"/>
        <v>=8</v>
      </c>
      <c r="X187" s="1" t="str">
        <f t="shared" ca="1" si="165"/>
        <v>=8</v>
      </c>
      <c r="AB187" s="28"/>
      <c r="AC187" s="28"/>
      <c r="AD187" s="28"/>
      <c r="AE187" s="28"/>
      <c r="AT187" s="28"/>
    </row>
    <row r="188" spans="2:46">
      <c r="B188" s="1" t="str">
        <f t="shared" si="146"/>
        <v xml:space="preserve">   2.1.3) 18.¿Las asociaciones: participan en espacios de interlocución o diálogo con pares?</v>
      </c>
      <c r="C188" s="1" t="str">
        <f t="shared" ref="C188:X188" ca="1" si="166">IF(C134&gt;1,"=","")&amp;C80</f>
        <v>=8</v>
      </c>
      <c r="D188" s="1" t="str">
        <f t="shared" ca="1" si="166"/>
        <v>=1</v>
      </c>
      <c r="E188" s="1" t="str">
        <f t="shared" ca="1" si="166"/>
        <v>=1</v>
      </c>
      <c r="F188" s="1" t="str">
        <f t="shared" ca="1" si="166"/>
        <v>=11</v>
      </c>
      <c r="G188" s="1" t="str">
        <f t="shared" ca="1" si="166"/>
        <v>=8</v>
      </c>
      <c r="H188" s="1" t="str">
        <f t="shared" ca="1" si="166"/>
        <v>=1</v>
      </c>
      <c r="I188" s="1" t="str">
        <f t="shared" ca="1" si="166"/>
        <v>=1</v>
      </c>
      <c r="J188" s="1" t="str">
        <f t="shared" ca="1" si="166"/>
        <v>=1</v>
      </c>
      <c r="K188" s="1" t="str">
        <f t="shared" ca="1" si="166"/>
        <v>=11</v>
      </c>
      <c r="L188" s="1" t="str">
        <f t="shared" ca="1" si="166"/>
        <v>=1</v>
      </c>
      <c r="M188" s="1" t="str">
        <f t="shared" ca="1" si="166"/>
        <v>=1</v>
      </c>
      <c r="N188" s="1" t="str">
        <f t="shared" ca="1" si="166"/>
        <v>=8</v>
      </c>
      <c r="O188" s="1" t="str">
        <f t="shared" ca="1" si="166"/>
        <v>=11</v>
      </c>
      <c r="P188" s="1" t="str">
        <f t="shared" ca="1" si="166"/>
        <v>=11</v>
      </c>
      <c r="Q188" s="1" t="str">
        <f t="shared" ca="1" si="166"/>
        <v>=11</v>
      </c>
      <c r="R188" s="1" t="str">
        <f t="shared" ca="1" si="166"/>
        <v>=11</v>
      </c>
      <c r="S188" s="1" t="str">
        <f t="shared" ca="1" si="166"/>
        <v>=11</v>
      </c>
      <c r="T188" s="1" t="str">
        <f t="shared" ca="1" si="166"/>
        <v>=11</v>
      </c>
      <c r="U188" s="1" t="str">
        <f t="shared" ca="1" si="166"/>
        <v>=11</v>
      </c>
      <c r="V188" s="1" t="str">
        <f t="shared" ca="1" si="166"/>
        <v>=11</v>
      </c>
      <c r="W188" s="1" t="str">
        <f t="shared" ca="1" si="166"/>
        <v>=11</v>
      </c>
      <c r="X188" s="1" t="str">
        <f t="shared" ca="1" si="166"/>
        <v>=11</v>
      </c>
      <c r="AB188" s="28"/>
      <c r="AC188" s="28"/>
      <c r="AD188" s="28"/>
      <c r="AE188" s="28"/>
      <c r="AT188" s="28"/>
    </row>
    <row r="189" spans="2:46">
      <c r="B189" s="1" t="str">
        <f t="shared" si="146"/>
        <v xml:space="preserve">   2.1.4) 19.¿Existen espacios de diálogo y coordinación entre diferentes actores de la cadena de valor del reciclaje?</v>
      </c>
      <c r="C189" s="1" t="str">
        <f t="shared" ref="C189:X189" ca="1" si="167">IF(C135&gt;1,"=","")&amp;C81</f>
        <v>=7</v>
      </c>
      <c r="D189" s="1" t="str">
        <f t="shared" ca="1" si="167"/>
        <v>=1</v>
      </c>
      <c r="E189" s="1" t="str">
        <f t="shared" ca="1" si="167"/>
        <v>=1</v>
      </c>
      <c r="F189" s="1" t="str">
        <f t="shared" ca="1" si="167"/>
        <v>=7</v>
      </c>
      <c r="G189" s="1" t="str">
        <f t="shared" ca="1" si="167"/>
        <v>=1</v>
      </c>
      <c r="H189" s="1" t="str">
        <f t="shared" ca="1" si="167"/>
        <v>=1</v>
      </c>
      <c r="I189" s="1" t="str">
        <f t="shared" ca="1" si="167"/>
        <v>=7</v>
      </c>
      <c r="J189" s="1" t="str">
        <f t="shared" ca="1" si="167"/>
        <v>=7</v>
      </c>
      <c r="K189" s="1" t="str">
        <f t="shared" ca="1" si="167"/>
        <v>=7</v>
      </c>
      <c r="L189" s="1" t="str">
        <f t="shared" ca="1" si="167"/>
        <v>=7</v>
      </c>
      <c r="M189" s="1" t="str">
        <f t="shared" ca="1" si="167"/>
        <v>6</v>
      </c>
      <c r="N189" s="1" t="str">
        <f t="shared" ca="1" si="167"/>
        <v>=1</v>
      </c>
      <c r="O189" s="1" t="str">
        <f t="shared" ca="1" si="167"/>
        <v>=7</v>
      </c>
      <c r="P189" s="1" t="str">
        <f t="shared" ca="1" si="167"/>
        <v>=7</v>
      </c>
      <c r="Q189" s="1" t="str">
        <f t="shared" ca="1" si="167"/>
        <v>=7</v>
      </c>
      <c r="R189" s="1" t="str">
        <f t="shared" ca="1" si="167"/>
        <v>=7</v>
      </c>
      <c r="S189" s="1" t="str">
        <f t="shared" ca="1" si="167"/>
        <v>=7</v>
      </c>
      <c r="T189" s="1" t="str">
        <f t="shared" ca="1" si="167"/>
        <v>=7</v>
      </c>
      <c r="U189" s="1" t="str">
        <f t="shared" ca="1" si="167"/>
        <v>=7</v>
      </c>
      <c r="V189" s="1" t="str">
        <f t="shared" ca="1" si="167"/>
        <v>=7</v>
      </c>
      <c r="W189" s="1" t="str">
        <f t="shared" ca="1" si="167"/>
        <v>=7</v>
      </c>
      <c r="X189" s="1" t="str">
        <f t="shared" ca="1" si="167"/>
        <v>=7</v>
      </c>
      <c r="AB189" s="28"/>
      <c r="AC189" s="28"/>
      <c r="AD189" s="28"/>
      <c r="AE189" s="28"/>
      <c r="AT189" s="28"/>
    </row>
    <row r="190" spans="2:46">
      <c r="B190" s="1" t="str">
        <f t="shared" si="146"/>
        <v xml:space="preserve">   2.1.5) 20.¿Cuál es el nivel de representación de las mujeres en las asociaciones?</v>
      </c>
      <c r="C190" s="1" t="str">
        <f t="shared" ref="C190:X190" ca="1" si="168">IF(C136&gt;1,"=","")&amp;C82</f>
        <v>=5</v>
      </c>
      <c r="D190" s="1" t="str">
        <f t="shared" ca="1" si="168"/>
        <v>=1</v>
      </c>
      <c r="E190" s="1" t="str">
        <f t="shared" ca="1" si="168"/>
        <v>=5</v>
      </c>
      <c r="F190" s="1" t="str">
        <f t="shared" ca="1" si="168"/>
        <v>=9</v>
      </c>
      <c r="G190" s="1" t="str">
        <f t="shared" ca="1" si="168"/>
        <v>=5</v>
      </c>
      <c r="H190" s="1" t="str">
        <f t="shared" ca="1" si="168"/>
        <v>=9</v>
      </c>
      <c r="I190" s="1" t="str">
        <f t="shared" ca="1" si="168"/>
        <v>=5</v>
      </c>
      <c r="J190" s="1" t="str">
        <f t="shared" ca="1" si="168"/>
        <v>=1</v>
      </c>
      <c r="K190" s="1" t="str">
        <f t="shared" ca="1" si="168"/>
        <v>=9</v>
      </c>
      <c r="L190" s="1" t="str">
        <f t="shared" ca="1" si="168"/>
        <v>=1</v>
      </c>
      <c r="M190" s="1" t="str">
        <f t="shared" ca="1" si="168"/>
        <v>=1</v>
      </c>
      <c r="N190" s="1" t="str">
        <f t="shared" ca="1" si="168"/>
        <v>=9</v>
      </c>
      <c r="O190" s="1" t="str">
        <f t="shared" ca="1" si="168"/>
        <v>=9</v>
      </c>
      <c r="P190" s="1" t="str">
        <f t="shared" ca="1" si="168"/>
        <v>=9</v>
      </c>
      <c r="Q190" s="1" t="str">
        <f t="shared" ca="1" si="168"/>
        <v>=9</v>
      </c>
      <c r="R190" s="1" t="str">
        <f t="shared" ca="1" si="168"/>
        <v>=9</v>
      </c>
      <c r="S190" s="1" t="str">
        <f t="shared" ca="1" si="168"/>
        <v>=9</v>
      </c>
      <c r="T190" s="1" t="str">
        <f t="shared" ca="1" si="168"/>
        <v>=9</v>
      </c>
      <c r="U190" s="1" t="str">
        <f t="shared" ca="1" si="168"/>
        <v>=9</v>
      </c>
      <c r="V190" s="1" t="str">
        <f t="shared" ca="1" si="168"/>
        <v>=9</v>
      </c>
      <c r="W190" s="1" t="str">
        <f t="shared" ca="1" si="168"/>
        <v>=9</v>
      </c>
      <c r="X190" s="1" t="str">
        <f t="shared" ca="1" si="168"/>
        <v>=9</v>
      </c>
      <c r="AB190" s="28"/>
      <c r="AC190" s="28"/>
      <c r="AD190" s="28"/>
      <c r="AE190" s="28"/>
      <c r="AT190" s="28"/>
    </row>
    <row r="191" spans="2:46">
      <c r="B191" s="1" t="str">
        <f t="shared" si="146"/>
        <v xml:space="preserve">  2.2) Organizaciones comerciales</v>
      </c>
      <c r="C191" s="1" t="str">
        <f t="shared" ref="C191:X191" ca="1" si="169">IF(C137&gt;1,"=","")&amp;C83</f>
        <v>=9</v>
      </c>
      <c r="D191" s="1" t="str">
        <f t="shared" ca="1" si="169"/>
        <v>3</v>
      </c>
      <c r="E191" s="1" t="str">
        <f t="shared" ca="1" si="169"/>
        <v>1</v>
      </c>
      <c r="F191" s="1" t="str">
        <f t="shared" ca="1" si="169"/>
        <v>=11</v>
      </c>
      <c r="G191" s="1" t="str">
        <f t="shared" ca="1" si="169"/>
        <v>=5</v>
      </c>
      <c r="H191" s="1" t="str">
        <f t="shared" ca="1" si="169"/>
        <v>=5</v>
      </c>
      <c r="I191" s="1" t="str">
        <f t="shared" ca="1" si="169"/>
        <v>=9</v>
      </c>
      <c r="J191" s="1" t="str">
        <f t="shared" ca="1" si="169"/>
        <v>=5</v>
      </c>
      <c r="K191" s="1" t="str">
        <f t="shared" ca="1" si="169"/>
        <v>=11</v>
      </c>
      <c r="L191" s="1" t="str">
        <f t="shared" ca="1" si="169"/>
        <v>2</v>
      </c>
      <c r="M191" s="1" t="str">
        <f t="shared" ca="1" si="169"/>
        <v>=5</v>
      </c>
      <c r="N191" s="1" t="str">
        <f t="shared" ca="1" si="169"/>
        <v>4</v>
      </c>
      <c r="O191" s="1" t="str">
        <f t="shared" ca="1" si="169"/>
        <v>=11</v>
      </c>
      <c r="P191" s="1" t="str">
        <f t="shared" ca="1" si="169"/>
        <v>=11</v>
      </c>
      <c r="Q191" s="1" t="str">
        <f t="shared" ca="1" si="169"/>
        <v>=11</v>
      </c>
      <c r="R191" s="1" t="str">
        <f t="shared" ca="1" si="169"/>
        <v>=11</v>
      </c>
      <c r="S191" s="1" t="str">
        <f t="shared" ca="1" si="169"/>
        <v>=11</v>
      </c>
      <c r="T191" s="1" t="str">
        <f t="shared" ca="1" si="169"/>
        <v>=11</v>
      </c>
      <c r="U191" s="1" t="str">
        <f t="shared" ca="1" si="169"/>
        <v>=11</v>
      </c>
      <c r="V191" s="1" t="str">
        <f t="shared" ca="1" si="169"/>
        <v>=11</v>
      </c>
      <c r="W191" s="1" t="str">
        <f t="shared" ca="1" si="169"/>
        <v>=11</v>
      </c>
      <c r="X191" s="1" t="str">
        <f t="shared" ca="1" si="169"/>
        <v>=11</v>
      </c>
      <c r="AB191" s="28"/>
      <c r="AC191" s="28"/>
      <c r="AD191" s="28"/>
      <c r="AE191" s="28"/>
      <c r="AT191" s="28"/>
    </row>
    <row r="192" spans="2:46">
      <c r="B192" s="1" t="str">
        <f t="shared" si="146"/>
        <v xml:space="preserve">   2.2.1) 21.¿Existen organizaciones de recicladores con actividad comercial en el municipio (cooperativas y/o microempresas)? </v>
      </c>
      <c r="C192" s="1" t="str">
        <f t="shared" ref="C192:X192" ca="1" si="170">IF(C138&gt;1,"=","")&amp;C84</f>
        <v>=4</v>
      </c>
      <c r="D192" s="1" t="str">
        <f t="shared" ca="1" si="170"/>
        <v>=1</v>
      </c>
      <c r="E192" s="1" t="str">
        <f t="shared" ca="1" si="170"/>
        <v>=1</v>
      </c>
      <c r="F192" s="1" t="str">
        <f t="shared" ca="1" si="170"/>
        <v>=10</v>
      </c>
      <c r="G192" s="1" t="str">
        <f t="shared" ca="1" si="170"/>
        <v>=4</v>
      </c>
      <c r="H192" s="1" t="str">
        <f t="shared" ca="1" si="170"/>
        <v>=4</v>
      </c>
      <c r="I192" s="1" t="str">
        <f t="shared" ca="1" si="170"/>
        <v>=4</v>
      </c>
      <c r="J192" s="1" t="str">
        <f t="shared" ca="1" si="170"/>
        <v>=4</v>
      </c>
      <c r="K192" s="1" t="str">
        <f t="shared" ca="1" si="170"/>
        <v>=10</v>
      </c>
      <c r="L192" s="1" t="str">
        <f t="shared" ca="1" si="170"/>
        <v>=1</v>
      </c>
      <c r="M192" s="1" t="str">
        <f t="shared" ca="1" si="170"/>
        <v>=4</v>
      </c>
      <c r="N192" s="1" t="str">
        <f t="shared" ca="1" si="170"/>
        <v>=10</v>
      </c>
      <c r="O192" s="1" t="str">
        <f t="shared" ca="1" si="170"/>
        <v>=10</v>
      </c>
      <c r="P192" s="1" t="str">
        <f t="shared" ca="1" si="170"/>
        <v>=10</v>
      </c>
      <c r="Q192" s="1" t="str">
        <f t="shared" ca="1" si="170"/>
        <v>=10</v>
      </c>
      <c r="R192" s="1" t="str">
        <f t="shared" ca="1" si="170"/>
        <v>=10</v>
      </c>
      <c r="S192" s="1" t="str">
        <f t="shared" ca="1" si="170"/>
        <v>=10</v>
      </c>
      <c r="T192" s="1" t="str">
        <f t="shared" ca="1" si="170"/>
        <v>=10</v>
      </c>
      <c r="U192" s="1" t="str">
        <f t="shared" ca="1" si="170"/>
        <v>=10</v>
      </c>
      <c r="V192" s="1" t="str">
        <f t="shared" ca="1" si="170"/>
        <v>=10</v>
      </c>
      <c r="W192" s="1" t="str">
        <f t="shared" ca="1" si="170"/>
        <v>=10</v>
      </c>
      <c r="X192" s="1" t="str">
        <f t="shared" ca="1" si="170"/>
        <v>=10</v>
      </c>
      <c r="AB192" s="28"/>
      <c r="AC192" s="28"/>
      <c r="AD192" s="28"/>
      <c r="AE192" s="28"/>
      <c r="AT192" s="28"/>
    </row>
    <row r="193" spans="2:46">
      <c r="B193" s="1" t="str">
        <f t="shared" si="146"/>
        <v xml:space="preserve">   2.2.2) 22.¿Cuál es el nivel de participación de las organizaciones de recicladores en la cadena de valor del reciclaje?</v>
      </c>
      <c r="C193" s="1" t="str">
        <f t="shared" ref="C193:X193" ca="1" si="171">IF(C139&gt;1,"=","")&amp;C85</f>
        <v>=9</v>
      </c>
      <c r="D193" s="1" t="str">
        <f t="shared" ca="1" si="171"/>
        <v>=3</v>
      </c>
      <c r="E193" s="1" t="str">
        <f t="shared" ca="1" si="171"/>
        <v>=1</v>
      </c>
      <c r="F193" s="1" t="str">
        <f t="shared" ca="1" si="171"/>
        <v>=9</v>
      </c>
      <c r="G193" s="1" t="str">
        <f t="shared" ca="1" si="171"/>
        <v>=3</v>
      </c>
      <c r="H193" s="1" t="str">
        <f t="shared" ca="1" si="171"/>
        <v>=3</v>
      </c>
      <c r="I193" s="1" t="str">
        <f t="shared" ca="1" si="171"/>
        <v>=9</v>
      </c>
      <c r="J193" s="1" t="str">
        <f t="shared" ca="1" si="171"/>
        <v>=3</v>
      </c>
      <c r="K193" s="1" t="str">
        <f t="shared" ca="1" si="171"/>
        <v>=9</v>
      </c>
      <c r="L193" s="1" t="str">
        <f t="shared" ca="1" si="171"/>
        <v>=1</v>
      </c>
      <c r="M193" s="1" t="str">
        <f t="shared" ca="1" si="171"/>
        <v>=3</v>
      </c>
      <c r="N193" s="1" t="str">
        <f t="shared" ca="1" si="171"/>
        <v>=3</v>
      </c>
      <c r="O193" s="1" t="str">
        <f t="shared" ca="1" si="171"/>
        <v>=9</v>
      </c>
      <c r="P193" s="1" t="str">
        <f t="shared" ca="1" si="171"/>
        <v>=9</v>
      </c>
      <c r="Q193" s="1" t="str">
        <f t="shared" ca="1" si="171"/>
        <v>=9</v>
      </c>
      <c r="R193" s="1" t="str">
        <f t="shared" ca="1" si="171"/>
        <v>=9</v>
      </c>
      <c r="S193" s="1" t="str">
        <f t="shared" ca="1" si="171"/>
        <v>=9</v>
      </c>
      <c r="T193" s="1" t="str">
        <f t="shared" ca="1" si="171"/>
        <v>=9</v>
      </c>
      <c r="U193" s="1" t="str">
        <f t="shared" ca="1" si="171"/>
        <v>=9</v>
      </c>
      <c r="V193" s="1" t="str">
        <f t="shared" ca="1" si="171"/>
        <v>=9</v>
      </c>
      <c r="W193" s="1" t="str">
        <f t="shared" ca="1" si="171"/>
        <v>=9</v>
      </c>
      <c r="X193" s="1" t="str">
        <f t="shared" ca="1" si="171"/>
        <v>=9</v>
      </c>
      <c r="AB193" s="28"/>
      <c r="AC193" s="28"/>
      <c r="AD193" s="28"/>
      <c r="AE193" s="28"/>
      <c r="AT193" s="28"/>
    </row>
    <row r="194" spans="2:46">
      <c r="B194" s="1" t="str">
        <f t="shared" si="146"/>
        <v xml:space="preserve">   2.2.3) 23. Las organizaciones comerciales de recicladores: ¿Tienen acceso a mecanismos de financiamiento?</v>
      </c>
      <c r="C194" s="1" t="str">
        <f t="shared" ref="C194:X194" ca="1" si="172">IF(C140&gt;1,"=","")&amp;C86</f>
        <v>=4</v>
      </c>
      <c r="D194" s="1" t="str">
        <f t="shared" ca="1" si="172"/>
        <v>=4</v>
      </c>
      <c r="E194" s="1" t="str">
        <f t="shared" ca="1" si="172"/>
        <v>=1</v>
      </c>
      <c r="F194" s="1" t="str">
        <f t="shared" ca="1" si="172"/>
        <v>=4</v>
      </c>
      <c r="G194" s="1" t="str">
        <f t="shared" ca="1" si="172"/>
        <v>=4</v>
      </c>
      <c r="H194" s="1" t="str">
        <f t="shared" ca="1" si="172"/>
        <v>=4</v>
      </c>
      <c r="I194" s="1" t="str">
        <f t="shared" ca="1" si="172"/>
        <v>=4</v>
      </c>
      <c r="J194" s="1" t="str">
        <f t="shared" ca="1" si="172"/>
        <v>=4</v>
      </c>
      <c r="K194" s="1" t="str">
        <f t="shared" ca="1" si="172"/>
        <v>=4</v>
      </c>
      <c r="L194" s="1" t="str">
        <f t="shared" ca="1" si="172"/>
        <v>3</v>
      </c>
      <c r="M194" s="1" t="str">
        <f t="shared" ca="1" si="172"/>
        <v>=4</v>
      </c>
      <c r="N194" s="1" t="str">
        <f t="shared" ca="1" si="172"/>
        <v>=1</v>
      </c>
      <c r="O194" s="1" t="str">
        <f t="shared" ca="1" si="172"/>
        <v>=4</v>
      </c>
      <c r="P194" s="1" t="str">
        <f t="shared" ca="1" si="172"/>
        <v>=4</v>
      </c>
      <c r="Q194" s="1" t="str">
        <f t="shared" ca="1" si="172"/>
        <v>=4</v>
      </c>
      <c r="R194" s="1" t="str">
        <f t="shared" ca="1" si="172"/>
        <v>=4</v>
      </c>
      <c r="S194" s="1" t="str">
        <f t="shared" ca="1" si="172"/>
        <v>=4</v>
      </c>
      <c r="T194" s="1" t="str">
        <f t="shared" ca="1" si="172"/>
        <v>=4</v>
      </c>
      <c r="U194" s="1" t="str">
        <f t="shared" ca="1" si="172"/>
        <v>=4</v>
      </c>
      <c r="V194" s="1" t="str">
        <f t="shared" ca="1" si="172"/>
        <v>=4</v>
      </c>
      <c r="W194" s="1" t="str">
        <f t="shared" ca="1" si="172"/>
        <v>=4</v>
      </c>
      <c r="X194" s="1" t="str">
        <f t="shared" ca="1" si="172"/>
        <v>=4</v>
      </c>
      <c r="AB194" s="28"/>
      <c r="AC194" s="28"/>
      <c r="AD194" s="28"/>
      <c r="AE194" s="28"/>
      <c r="AT194" s="28"/>
    </row>
    <row r="195" spans="2:46">
      <c r="B195" s="1" t="str">
        <f t="shared" si="146"/>
        <v xml:space="preserve"> 3) MERCADO</v>
      </c>
      <c r="C195" s="1" t="str">
        <f t="shared" ref="C195:X195" ca="1" si="173">IF(C141&gt;1,"=","")&amp;C87</f>
        <v>11</v>
      </c>
      <c r="D195" s="1" t="str">
        <f t="shared" ca="1" si="173"/>
        <v>3</v>
      </c>
      <c r="E195" s="1" t="str">
        <f t="shared" ca="1" si="173"/>
        <v>1</v>
      </c>
      <c r="F195" s="1" t="str">
        <f t="shared" ca="1" si="173"/>
        <v>9</v>
      </c>
      <c r="G195" s="1" t="str">
        <f t="shared" ca="1" si="173"/>
        <v>6</v>
      </c>
      <c r="H195" s="1" t="str">
        <f t="shared" ca="1" si="173"/>
        <v>5</v>
      </c>
      <c r="I195" s="1" t="str">
        <f t="shared" ca="1" si="173"/>
        <v>8</v>
      </c>
      <c r="J195" s="1" t="str">
        <f t="shared" ca="1" si="173"/>
        <v>10</v>
      </c>
      <c r="K195" s="1" t="str">
        <f t="shared" ca="1" si="173"/>
        <v>12</v>
      </c>
      <c r="L195" s="1" t="str">
        <f t="shared" ca="1" si="173"/>
        <v>2</v>
      </c>
      <c r="M195" s="1" t="str">
        <f t="shared" ca="1" si="173"/>
        <v>7</v>
      </c>
      <c r="N195" s="1" t="str">
        <f t="shared" ca="1" si="173"/>
        <v>4</v>
      </c>
      <c r="O195" s="1" t="e">
        <f t="shared" ca="1" si="173"/>
        <v>#N/A</v>
      </c>
      <c r="P195" s="1" t="e">
        <f t="shared" ca="1" si="173"/>
        <v>#N/A</v>
      </c>
      <c r="Q195" s="1" t="e">
        <f t="shared" ca="1" si="173"/>
        <v>#N/A</v>
      </c>
      <c r="R195" s="1" t="e">
        <f t="shared" ca="1" si="173"/>
        <v>#N/A</v>
      </c>
      <c r="S195" s="1" t="e">
        <f t="shared" ca="1" si="173"/>
        <v>#N/A</v>
      </c>
      <c r="T195" s="1" t="e">
        <f t="shared" ca="1" si="173"/>
        <v>#N/A</v>
      </c>
      <c r="U195" s="1" t="e">
        <f t="shared" ca="1" si="173"/>
        <v>#N/A</v>
      </c>
      <c r="V195" s="1" t="e">
        <f t="shared" ca="1" si="173"/>
        <v>#N/A</v>
      </c>
      <c r="W195" s="1" t="e">
        <f t="shared" ca="1" si="173"/>
        <v>#N/A</v>
      </c>
      <c r="X195" s="1" t="e">
        <f t="shared" ca="1" si="173"/>
        <v>#N/A</v>
      </c>
      <c r="AB195" s="28"/>
      <c r="AC195" s="28"/>
      <c r="AD195" s="28"/>
      <c r="AE195" s="28"/>
      <c r="AT195" s="28"/>
    </row>
    <row r="196" spans="2:46">
      <c r="B196" s="1" t="str">
        <f t="shared" si="146"/>
        <v xml:space="preserve">  3.1) Condiciones de acceso y almacenamiento de residuos</v>
      </c>
      <c r="C196" s="1" t="str">
        <f t="shared" ref="C196:X196" ca="1" si="174">IF(C142&gt;1,"=","")&amp;C88</f>
        <v>=11</v>
      </c>
      <c r="D196" s="1" t="str">
        <f t="shared" ca="1" si="174"/>
        <v>4</v>
      </c>
      <c r="E196" s="1" t="str">
        <f t="shared" ca="1" si="174"/>
        <v>1</v>
      </c>
      <c r="F196" s="1" t="str">
        <f t="shared" ca="1" si="174"/>
        <v>=9</v>
      </c>
      <c r="G196" s="1" t="str">
        <f t="shared" ca="1" si="174"/>
        <v>8</v>
      </c>
      <c r="H196" s="1" t="str">
        <f t="shared" ca="1" si="174"/>
        <v>7</v>
      </c>
      <c r="I196" s="1" t="str">
        <f t="shared" ca="1" si="174"/>
        <v>=5</v>
      </c>
      <c r="J196" s="1" t="str">
        <f t="shared" ca="1" si="174"/>
        <v>=11</v>
      </c>
      <c r="K196" s="1" t="str">
        <f t="shared" ca="1" si="174"/>
        <v>=9</v>
      </c>
      <c r="L196" s="1" t="str">
        <f t="shared" ca="1" si="174"/>
        <v>2</v>
      </c>
      <c r="M196" s="1" t="str">
        <f t="shared" ca="1" si="174"/>
        <v>=5</v>
      </c>
      <c r="N196" s="1" t="str">
        <f t="shared" ca="1" si="174"/>
        <v>3</v>
      </c>
      <c r="O196" s="1" t="e">
        <f t="shared" ca="1" si="174"/>
        <v>#N/A</v>
      </c>
      <c r="P196" s="1" t="e">
        <f t="shared" ca="1" si="174"/>
        <v>#N/A</v>
      </c>
      <c r="Q196" s="1" t="e">
        <f t="shared" ca="1" si="174"/>
        <v>#N/A</v>
      </c>
      <c r="R196" s="1" t="e">
        <f t="shared" ca="1" si="174"/>
        <v>#N/A</v>
      </c>
      <c r="S196" s="1" t="e">
        <f t="shared" ca="1" si="174"/>
        <v>#N/A</v>
      </c>
      <c r="T196" s="1" t="e">
        <f t="shared" ca="1" si="174"/>
        <v>#N/A</v>
      </c>
      <c r="U196" s="1" t="e">
        <f t="shared" ca="1" si="174"/>
        <v>#N/A</v>
      </c>
      <c r="V196" s="1" t="e">
        <f t="shared" ca="1" si="174"/>
        <v>#N/A</v>
      </c>
      <c r="W196" s="1" t="e">
        <f t="shared" ca="1" si="174"/>
        <v>#N/A</v>
      </c>
      <c r="X196" s="1" t="e">
        <f t="shared" ca="1" si="174"/>
        <v>#N/A</v>
      </c>
      <c r="AB196" s="28"/>
      <c r="AC196" s="28"/>
      <c r="AD196" s="28"/>
      <c r="AE196" s="28"/>
      <c r="AT196" s="28"/>
    </row>
    <row r="197" spans="2:46">
      <c r="B197" s="1" t="str">
        <f t="shared" si="146"/>
        <v xml:space="preserve">   3.1.1) 24.¿Cómo es el acceso del material reciclable?</v>
      </c>
      <c r="C197" s="1" t="str">
        <f t="shared" ref="C197:X197" ca="1" si="175">IF(C143&gt;1,"=","")&amp;C89</f>
        <v>=5</v>
      </c>
      <c r="D197" s="1" t="str">
        <f t="shared" ca="1" si="175"/>
        <v>=3</v>
      </c>
      <c r="E197" s="1" t="str">
        <f t="shared" ca="1" si="175"/>
        <v>=1</v>
      </c>
      <c r="F197" s="1" t="str">
        <f t="shared" ca="1" si="175"/>
        <v>=5</v>
      </c>
      <c r="G197" s="1" t="str">
        <f t="shared" ca="1" si="175"/>
        <v>=5</v>
      </c>
      <c r="H197" s="1" t="str">
        <f t="shared" ca="1" si="175"/>
        <v>=3</v>
      </c>
      <c r="I197" s="1" t="str">
        <f t="shared" ca="1" si="175"/>
        <v>=5</v>
      </c>
      <c r="J197" s="1" t="str">
        <f t="shared" ca="1" si="175"/>
        <v>=5</v>
      </c>
      <c r="K197" s="1" t="str">
        <f t="shared" ca="1" si="175"/>
        <v>=5</v>
      </c>
      <c r="L197" s="1" t="str">
        <f t="shared" ca="1" si="175"/>
        <v>=1</v>
      </c>
      <c r="M197" s="1" t="str">
        <f t="shared" ca="1" si="175"/>
        <v>=5</v>
      </c>
      <c r="N197" s="1" t="str">
        <f t="shared" ca="1" si="175"/>
        <v>=5</v>
      </c>
      <c r="O197" s="1" t="e">
        <f t="shared" ca="1" si="175"/>
        <v>#N/A</v>
      </c>
      <c r="P197" s="1" t="e">
        <f t="shared" ca="1" si="175"/>
        <v>#N/A</v>
      </c>
      <c r="Q197" s="1" t="e">
        <f t="shared" ca="1" si="175"/>
        <v>#N/A</v>
      </c>
      <c r="R197" s="1" t="e">
        <f t="shared" ca="1" si="175"/>
        <v>#N/A</v>
      </c>
      <c r="S197" s="1" t="e">
        <f t="shared" ca="1" si="175"/>
        <v>#N/A</v>
      </c>
      <c r="T197" s="1" t="e">
        <f t="shared" ca="1" si="175"/>
        <v>#N/A</v>
      </c>
      <c r="U197" s="1" t="e">
        <f t="shared" ca="1" si="175"/>
        <v>#N/A</v>
      </c>
      <c r="V197" s="1" t="e">
        <f t="shared" ca="1" si="175"/>
        <v>#N/A</v>
      </c>
      <c r="W197" s="1" t="e">
        <f t="shared" ca="1" si="175"/>
        <v>#N/A</v>
      </c>
      <c r="X197" s="1" t="e">
        <f t="shared" ca="1" si="175"/>
        <v>#N/A</v>
      </c>
      <c r="AB197" s="28"/>
      <c r="AC197" s="28"/>
      <c r="AD197" s="28"/>
      <c r="AE197" s="28"/>
      <c r="AT197" s="28"/>
    </row>
    <row r="198" spans="2:46">
      <c r="B198" s="1" t="str">
        <f t="shared" si="146"/>
        <v xml:space="preserve">   3.1.2) 25.¿Existen esquemas formales de recolección diferenciada de residuos reciclables en el municipio que involucran a recicladores de base?</v>
      </c>
      <c r="C198" s="1" t="str">
        <f t="shared" ref="C198:X198" ca="1" si="176">IF(C144&gt;1,"=","")&amp;C90</f>
        <v>=8</v>
      </c>
      <c r="D198" s="1" t="str">
        <f t="shared" ca="1" si="176"/>
        <v>=8</v>
      </c>
      <c r="E198" s="1" t="str">
        <f t="shared" ca="1" si="176"/>
        <v>=1</v>
      </c>
      <c r="F198" s="1" t="str">
        <f t="shared" ca="1" si="176"/>
        <v>=8</v>
      </c>
      <c r="G198" s="1" t="str">
        <f t="shared" ca="1" si="176"/>
        <v>=8</v>
      </c>
      <c r="H198" s="1" t="str">
        <f t="shared" ca="1" si="176"/>
        <v>=1</v>
      </c>
      <c r="I198" s="1" t="str">
        <f t="shared" ca="1" si="176"/>
        <v>=5</v>
      </c>
      <c r="J198" s="1" t="str">
        <f t="shared" ca="1" si="176"/>
        <v>=8</v>
      </c>
      <c r="K198" s="1" t="str">
        <f t="shared" ca="1" si="176"/>
        <v>=5</v>
      </c>
      <c r="L198" s="1" t="str">
        <f t="shared" ca="1" si="176"/>
        <v>=1</v>
      </c>
      <c r="M198" s="1" t="str">
        <f t="shared" ca="1" si="176"/>
        <v>=5</v>
      </c>
      <c r="N198" s="1" t="str">
        <f t="shared" ca="1" si="176"/>
        <v>=1</v>
      </c>
      <c r="O198" s="1" t="str">
        <f t="shared" ca="1" si="176"/>
        <v>=8</v>
      </c>
      <c r="P198" s="1" t="str">
        <f t="shared" ca="1" si="176"/>
        <v>=8</v>
      </c>
      <c r="Q198" s="1" t="str">
        <f t="shared" ca="1" si="176"/>
        <v>=8</v>
      </c>
      <c r="R198" s="1" t="str">
        <f t="shared" ca="1" si="176"/>
        <v>=8</v>
      </c>
      <c r="S198" s="1" t="str">
        <f t="shared" ca="1" si="176"/>
        <v>=8</v>
      </c>
      <c r="T198" s="1" t="str">
        <f t="shared" ca="1" si="176"/>
        <v>=8</v>
      </c>
      <c r="U198" s="1" t="str">
        <f t="shared" ca="1" si="176"/>
        <v>=8</v>
      </c>
      <c r="V198" s="1" t="str">
        <f t="shared" ca="1" si="176"/>
        <v>=8</v>
      </c>
      <c r="W198" s="1" t="str">
        <f t="shared" ca="1" si="176"/>
        <v>=8</v>
      </c>
      <c r="X198" s="1" t="str">
        <f t="shared" ca="1" si="176"/>
        <v>=8</v>
      </c>
      <c r="AB198" s="28"/>
      <c r="AC198" s="28"/>
      <c r="AD198" s="28"/>
      <c r="AE198" s="28"/>
      <c r="AT198" s="28"/>
    </row>
    <row r="199" spans="2:46">
      <c r="B199" s="1" t="str">
        <f t="shared" si="146"/>
        <v xml:space="preserve">   3.1.3) 26.¿Los recicladores tienen acceso a instalaciones para el almacenamiento y la clasificación de materiales?</v>
      </c>
      <c r="C199" s="1" t="str">
        <f t="shared" ref="C199:X199" ca="1" si="177">IF(C145&gt;1,"=","")&amp;C91</f>
        <v>=8</v>
      </c>
      <c r="D199" s="1" t="str">
        <f t="shared" ca="1" si="177"/>
        <v>=1</v>
      </c>
      <c r="E199" s="1" t="str">
        <f t="shared" ca="1" si="177"/>
        <v>=1</v>
      </c>
      <c r="F199" s="1" t="str">
        <f t="shared" ca="1" si="177"/>
        <v>=8</v>
      </c>
      <c r="G199" s="1" t="str">
        <f t="shared" ca="1" si="177"/>
        <v>=1</v>
      </c>
      <c r="H199" s="1" t="str">
        <f t="shared" ca="1" si="177"/>
        <v>=8</v>
      </c>
      <c r="I199" s="1" t="str">
        <f t="shared" ca="1" si="177"/>
        <v>=1</v>
      </c>
      <c r="J199" s="1" t="str">
        <f t="shared" ca="1" si="177"/>
        <v>=8</v>
      </c>
      <c r="K199" s="1" t="str">
        <f t="shared" ca="1" si="177"/>
        <v>=8</v>
      </c>
      <c r="L199" s="1" t="str">
        <f t="shared" ca="1" si="177"/>
        <v>=1</v>
      </c>
      <c r="M199" s="1" t="str">
        <f t="shared" ca="1" si="177"/>
        <v>=1</v>
      </c>
      <c r="N199" s="1" t="str">
        <f t="shared" ca="1" si="177"/>
        <v>=1</v>
      </c>
      <c r="O199" s="1" t="str">
        <f t="shared" ca="1" si="177"/>
        <v>=8</v>
      </c>
      <c r="P199" s="1" t="str">
        <f t="shared" ca="1" si="177"/>
        <v>=8</v>
      </c>
      <c r="Q199" s="1" t="str">
        <f t="shared" ca="1" si="177"/>
        <v>=8</v>
      </c>
      <c r="R199" s="1" t="str">
        <f t="shared" ca="1" si="177"/>
        <v>=8</v>
      </c>
      <c r="S199" s="1" t="str">
        <f t="shared" ca="1" si="177"/>
        <v>=8</v>
      </c>
      <c r="T199" s="1" t="str">
        <f t="shared" ca="1" si="177"/>
        <v>=8</v>
      </c>
      <c r="U199" s="1" t="str">
        <f t="shared" ca="1" si="177"/>
        <v>=8</v>
      </c>
      <c r="V199" s="1" t="str">
        <f t="shared" ca="1" si="177"/>
        <v>=8</v>
      </c>
      <c r="W199" s="1" t="str">
        <f t="shared" ca="1" si="177"/>
        <v>=8</v>
      </c>
      <c r="X199" s="1" t="str">
        <f t="shared" ca="1" si="177"/>
        <v>=8</v>
      </c>
      <c r="AB199" s="28"/>
      <c r="AC199" s="28"/>
      <c r="AD199" s="28"/>
      <c r="AE199" s="28"/>
      <c r="AT199" s="28"/>
    </row>
    <row r="200" spans="2:46">
      <c r="B200" s="1" t="str">
        <f t="shared" si="146"/>
        <v xml:space="preserve">   3.1.4) 27.¿Cuál es el nivel de desarrollo técnico alcanzado en la clasificación (o pre-procesamiento) de materiales reciclables por parte de agrupaciones de recicladores?</v>
      </c>
      <c r="C200" s="1" t="str">
        <f t="shared" ref="C200:X200" ca="1" si="178">IF(C146&gt;1,"=","")&amp;C92</f>
        <v>=5</v>
      </c>
      <c r="D200" s="1" t="str">
        <f t="shared" ca="1" si="178"/>
        <v>=2</v>
      </c>
      <c r="E200" s="1" t="str">
        <f t="shared" ca="1" si="178"/>
        <v>1</v>
      </c>
      <c r="F200" s="1" t="str">
        <f t="shared" ca="1" si="178"/>
        <v>=2</v>
      </c>
      <c r="G200" s="1" t="str">
        <f t="shared" ca="1" si="178"/>
        <v>=5</v>
      </c>
      <c r="H200" s="1" t="str">
        <f t="shared" ca="1" si="178"/>
        <v>=5</v>
      </c>
      <c r="I200" s="1" t="str">
        <f t="shared" ca="1" si="178"/>
        <v>=5</v>
      </c>
      <c r="J200" s="1" t="str">
        <f t="shared" ca="1" si="178"/>
        <v>=5</v>
      </c>
      <c r="K200" s="1" t="str">
        <f t="shared" ca="1" si="178"/>
        <v>=5</v>
      </c>
      <c r="L200" s="1" t="str">
        <f t="shared" ca="1" si="178"/>
        <v>=2</v>
      </c>
      <c r="M200" s="1" t="str">
        <f t="shared" ca="1" si="178"/>
        <v>=5</v>
      </c>
      <c r="N200" s="1" t="str">
        <f t="shared" ca="1" si="178"/>
        <v>=5</v>
      </c>
      <c r="O200" s="1" t="str">
        <f t="shared" ca="1" si="178"/>
        <v>=5</v>
      </c>
      <c r="P200" s="1" t="str">
        <f t="shared" ca="1" si="178"/>
        <v>=5</v>
      </c>
      <c r="Q200" s="1" t="str">
        <f t="shared" ca="1" si="178"/>
        <v>=5</v>
      </c>
      <c r="R200" s="1" t="str">
        <f t="shared" ca="1" si="178"/>
        <v>=5</v>
      </c>
      <c r="S200" s="1" t="str">
        <f t="shared" ca="1" si="178"/>
        <v>=5</v>
      </c>
      <c r="T200" s="1" t="str">
        <f t="shared" ca="1" si="178"/>
        <v>=5</v>
      </c>
      <c r="U200" s="1" t="str">
        <f t="shared" ca="1" si="178"/>
        <v>=5</v>
      </c>
      <c r="V200" s="1" t="str">
        <f t="shared" ca="1" si="178"/>
        <v>=5</v>
      </c>
      <c r="W200" s="1" t="str">
        <f t="shared" ca="1" si="178"/>
        <v>=5</v>
      </c>
      <c r="X200" s="1" t="str">
        <f t="shared" ca="1" si="178"/>
        <v>=5</v>
      </c>
      <c r="AB200" s="28"/>
      <c r="AC200" s="28"/>
      <c r="AD200" s="28"/>
      <c r="AE200" s="28"/>
      <c r="AT200" s="28"/>
    </row>
    <row r="201" spans="2:46">
      <c r="B201" s="1" t="str">
        <f t="shared" si="146"/>
        <v xml:space="preserve">  3.2) Condiciones para la comercialización de material reciclable</v>
      </c>
      <c r="C201" s="1" t="str">
        <f t="shared" ref="C201:X201" ca="1" si="179">IF(C147&gt;1,"=","")&amp;C93</f>
        <v>3</v>
      </c>
      <c r="D201" s="1" t="str">
        <f t="shared" ca="1" si="179"/>
        <v>4</v>
      </c>
      <c r="E201" s="1" t="str">
        <f t="shared" ca="1" si="179"/>
        <v>6</v>
      </c>
      <c r="F201" s="1" t="str">
        <f t="shared" ca="1" si="179"/>
        <v>11</v>
      </c>
      <c r="G201" s="1" t="str">
        <f t="shared" ca="1" si="179"/>
        <v>5</v>
      </c>
      <c r="H201" s="1" t="str">
        <f t="shared" ca="1" si="179"/>
        <v>2</v>
      </c>
      <c r="I201" s="1" t="str">
        <f t="shared" ca="1" si="179"/>
        <v>8</v>
      </c>
      <c r="J201" s="1" t="str">
        <f t="shared" ca="1" si="179"/>
        <v>1</v>
      </c>
      <c r="K201" s="1" t="str">
        <f t="shared" ca="1" si="179"/>
        <v>12</v>
      </c>
      <c r="L201" s="1" t="str">
        <f t="shared" ca="1" si="179"/>
        <v>10</v>
      </c>
      <c r="M201" s="1" t="str">
        <f t="shared" ca="1" si="179"/>
        <v>9</v>
      </c>
      <c r="N201" s="1" t="str">
        <f t="shared" ca="1" si="179"/>
        <v>7</v>
      </c>
      <c r="O201" s="1" t="e">
        <f t="shared" ca="1" si="179"/>
        <v>#N/A</v>
      </c>
      <c r="P201" s="1" t="e">
        <f t="shared" ca="1" si="179"/>
        <v>#N/A</v>
      </c>
      <c r="Q201" s="1" t="e">
        <f t="shared" ca="1" si="179"/>
        <v>#N/A</v>
      </c>
      <c r="R201" s="1" t="e">
        <f t="shared" ca="1" si="179"/>
        <v>#N/A</v>
      </c>
      <c r="S201" s="1" t="e">
        <f t="shared" ca="1" si="179"/>
        <v>#N/A</v>
      </c>
      <c r="T201" s="1" t="e">
        <f t="shared" ca="1" si="179"/>
        <v>#N/A</v>
      </c>
      <c r="U201" s="1" t="e">
        <f t="shared" ca="1" si="179"/>
        <v>#N/A</v>
      </c>
      <c r="V201" s="1" t="e">
        <f t="shared" ca="1" si="179"/>
        <v>#N/A</v>
      </c>
      <c r="W201" s="1" t="e">
        <f t="shared" ca="1" si="179"/>
        <v>#N/A</v>
      </c>
      <c r="X201" s="1" t="e">
        <f t="shared" ca="1" si="179"/>
        <v>#N/A</v>
      </c>
      <c r="AB201" s="28"/>
      <c r="AC201" s="28"/>
      <c r="AD201" s="28"/>
      <c r="AE201" s="28"/>
      <c r="AT201" s="28"/>
    </row>
    <row r="202" spans="2:46">
      <c r="B202" s="1" t="str">
        <f t="shared" si="146"/>
        <v xml:space="preserve">   3.2.1) 28.¿Cuál es la diferencia de valor del material en los diferentes eslabones de la cadena del reciclaje?</v>
      </c>
      <c r="C202" s="1" t="str">
        <f t="shared" ref="C202:X202" ca="1" si="180">IF(C148&gt;1,"=","")&amp;C94</f>
        <v>=4</v>
      </c>
      <c r="D202" s="1" t="str">
        <f t="shared" ca="1" si="180"/>
        <v>6</v>
      </c>
      <c r="E202" s="1" t="str">
        <f t="shared" ca="1" si="180"/>
        <v>8</v>
      </c>
      <c r="F202" s="1" t="str">
        <f t="shared" ca="1" si="180"/>
        <v>=4</v>
      </c>
      <c r="G202" s="1" t="str">
        <f t="shared" ca="1" si="180"/>
        <v>7</v>
      </c>
      <c r="H202" s="1" t="str">
        <f t="shared" ca="1" si="180"/>
        <v>3</v>
      </c>
      <c r="I202" s="1" t="str">
        <f t="shared" ca="1" si="180"/>
        <v>10</v>
      </c>
      <c r="J202" s="1" t="str">
        <f t="shared" ca="1" si="180"/>
        <v>1</v>
      </c>
      <c r="K202" s="1" t="str">
        <f t="shared" ca="1" si="180"/>
        <v>12</v>
      </c>
      <c r="L202" s="1" t="str">
        <f t="shared" ca="1" si="180"/>
        <v>11</v>
      </c>
      <c r="M202" s="1" t="str">
        <f t="shared" ca="1" si="180"/>
        <v>2</v>
      </c>
      <c r="N202" s="1" t="str">
        <f t="shared" ca="1" si="180"/>
        <v>9</v>
      </c>
      <c r="O202" s="1" t="e">
        <f t="shared" ca="1" si="180"/>
        <v>#N/A</v>
      </c>
      <c r="P202" s="1" t="str">
        <f t="shared" ca="1" si="180"/>
        <v>12</v>
      </c>
      <c r="Q202" s="1" t="str">
        <f t="shared" ca="1" si="180"/>
        <v>12</v>
      </c>
      <c r="R202" s="1" t="str">
        <f t="shared" ca="1" si="180"/>
        <v>12</v>
      </c>
      <c r="S202" s="1" t="str">
        <f t="shared" ca="1" si="180"/>
        <v>12</v>
      </c>
      <c r="T202" s="1" t="str">
        <f t="shared" ca="1" si="180"/>
        <v>12</v>
      </c>
      <c r="U202" s="1" t="str">
        <f t="shared" ca="1" si="180"/>
        <v>12</v>
      </c>
      <c r="V202" s="1" t="str">
        <f t="shared" ca="1" si="180"/>
        <v>12</v>
      </c>
      <c r="W202" s="1" t="str">
        <f t="shared" ca="1" si="180"/>
        <v>12</v>
      </c>
      <c r="X202" s="1" t="str">
        <f t="shared" ca="1" si="180"/>
        <v>12</v>
      </c>
      <c r="AB202" s="28"/>
      <c r="AC202" s="28"/>
      <c r="AD202" s="28"/>
      <c r="AE202" s="28"/>
      <c r="AT202" s="28"/>
    </row>
    <row r="203" spans="2:46">
      <c r="B203" s="1" t="str">
        <f t="shared" si="146"/>
        <v xml:space="preserve">   3.2.2) 29.¿Cuál es el nivel de desarrollo de la industria transformadora a nivel nacional?</v>
      </c>
      <c r="C203" s="1" t="str">
        <f t="shared" ref="C203:X203" ca="1" si="181">IF(C149&gt;1,"=","")&amp;C95</f>
        <v>=1</v>
      </c>
      <c r="D203" s="1" t="str">
        <f t="shared" ca="1" si="181"/>
        <v>=1</v>
      </c>
      <c r="E203" s="1" t="str">
        <f t="shared" ca="1" si="181"/>
        <v>=1</v>
      </c>
      <c r="F203" s="1" t="str">
        <f t="shared" ca="1" si="181"/>
        <v>12</v>
      </c>
      <c r="G203" s="1" t="str">
        <f t="shared" ca="1" si="181"/>
        <v>=1</v>
      </c>
      <c r="H203" s="1" t="str">
        <f t="shared" ca="1" si="181"/>
        <v>=1</v>
      </c>
      <c r="I203" s="1" t="str">
        <f t="shared" ca="1" si="181"/>
        <v>=1</v>
      </c>
      <c r="J203" s="1" t="str">
        <f t="shared" ca="1" si="181"/>
        <v>=1</v>
      </c>
      <c r="K203" s="1" t="str">
        <f t="shared" ca="1" si="181"/>
        <v>=10</v>
      </c>
      <c r="L203" s="1" t="str">
        <f t="shared" ca="1" si="181"/>
        <v>=1</v>
      </c>
      <c r="M203" s="1" t="str">
        <f t="shared" ca="1" si="181"/>
        <v>=10</v>
      </c>
      <c r="N203" s="1" t="str">
        <f t="shared" ca="1" si="181"/>
        <v>=1</v>
      </c>
      <c r="O203" s="1" t="e">
        <f t="shared" ca="1" si="181"/>
        <v>#N/A</v>
      </c>
      <c r="P203" s="1" t="e">
        <f t="shared" ca="1" si="181"/>
        <v>#N/A</v>
      </c>
      <c r="Q203" s="1" t="e">
        <f t="shared" ca="1" si="181"/>
        <v>#N/A</v>
      </c>
      <c r="R203" s="1" t="e">
        <f t="shared" ca="1" si="181"/>
        <v>#N/A</v>
      </c>
      <c r="S203" s="1" t="e">
        <f t="shared" ca="1" si="181"/>
        <v>#N/A</v>
      </c>
      <c r="T203" s="1" t="e">
        <f t="shared" ca="1" si="181"/>
        <v>#N/A</v>
      </c>
      <c r="U203" s="1" t="e">
        <f t="shared" ca="1" si="181"/>
        <v>#N/A</v>
      </c>
      <c r="V203" s="1" t="e">
        <f t="shared" ca="1" si="181"/>
        <v>#N/A</v>
      </c>
      <c r="W203" s="1" t="e">
        <f t="shared" ca="1" si="181"/>
        <v>#N/A</v>
      </c>
      <c r="X203" s="1" t="e">
        <f t="shared" ca="1" si="181"/>
        <v>#N/A</v>
      </c>
      <c r="AB203" s="28"/>
      <c r="AC203" s="28"/>
      <c r="AD203" s="28"/>
      <c r="AE203" s="28"/>
      <c r="AT203" s="28"/>
    </row>
    <row r="204" spans="2:46">
      <c r="B204" s="1" t="str">
        <f t="shared" si="146"/>
        <v xml:space="preserve">  3.3) Ingreso de los recicladores de base</v>
      </c>
      <c r="C204" s="1" t="str">
        <f t="shared" ref="C204:X204" ca="1" si="182">IF(C150&gt;1,"=","")&amp;C96</f>
        <v>11</v>
      </c>
      <c r="D204" s="1" t="str">
        <f t="shared" ca="1" si="182"/>
        <v>3</v>
      </c>
      <c r="E204" s="1" t="str">
        <f t="shared" ca="1" si="182"/>
        <v>1</v>
      </c>
      <c r="F204" s="1" t="str">
        <f t="shared" ca="1" si="182"/>
        <v>6</v>
      </c>
      <c r="G204" s="1" t="str">
        <f t="shared" ca="1" si="182"/>
        <v>4</v>
      </c>
      <c r="H204" s="1" t="str">
        <f t="shared" ca="1" si="182"/>
        <v>7</v>
      </c>
      <c r="I204" s="1" t="str">
        <f t="shared" ca="1" si="182"/>
        <v>5</v>
      </c>
      <c r="J204" s="1" t="str">
        <f t="shared" ca="1" si="182"/>
        <v>10</v>
      </c>
      <c r="K204" s="1" t="str">
        <f t="shared" ca="1" si="182"/>
        <v>12</v>
      </c>
      <c r="L204" s="1" t="str">
        <f t="shared" ca="1" si="182"/>
        <v>2</v>
      </c>
      <c r="M204" s="1" t="str">
        <f t="shared" ca="1" si="182"/>
        <v>8</v>
      </c>
      <c r="N204" s="1" t="str">
        <f t="shared" ca="1" si="182"/>
        <v>9</v>
      </c>
      <c r="O204" s="1" t="e">
        <f t="shared" ca="1" si="182"/>
        <v>#N/A</v>
      </c>
      <c r="P204" s="1" t="str">
        <f t="shared" ca="1" si="182"/>
        <v>12</v>
      </c>
      <c r="Q204" s="1" t="str">
        <f t="shared" ca="1" si="182"/>
        <v>12</v>
      </c>
      <c r="R204" s="1" t="str">
        <f t="shared" ca="1" si="182"/>
        <v>12</v>
      </c>
      <c r="S204" s="1" t="str">
        <f t="shared" ca="1" si="182"/>
        <v>12</v>
      </c>
      <c r="T204" s="1" t="str">
        <f t="shared" ca="1" si="182"/>
        <v>12</v>
      </c>
      <c r="U204" s="1" t="str">
        <f t="shared" ca="1" si="182"/>
        <v>12</v>
      </c>
      <c r="V204" s="1" t="str">
        <f t="shared" ca="1" si="182"/>
        <v>12</v>
      </c>
      <c r="W204" s="1" t="str">
        <f t="shared" ca="1" si="182"/>
        <v>12</v>
      </c>
      <c r="X204" s="1" t="str">
        <f t="shared" ca="1" si="182"/>
        <v>12</v>
      </c>
      <c r="AB204" s="28"/>
      <c r="AC204" s="28"/>
      <c r="AD204" s="28"/>
      <c r="AE204" s="28"/>
      <c r="AT204" s="28"/>
    </row>
    <row r="205" spans="2:46">
      <c r="B205" s="1" t="str">
        <f t="shared" si="146"/>
        <v xml:space="preserve">   3.3.1) 30.¿Se permite la contratación con agrupaciones de recicladores de base en el sistema de gestión de residuos del municipio?</v>
      </c>
      <c r="C205" s="1" t="str">
        <f t="shared" ref="C205:X205" ca="1" si="183">IF(C151&gt;1,"=","")&amp;C97</f>
        <v>=7</v>
      </c>
      <c r="D205" s="1" t="str">
        <f t="shared" ca="1" si="183"/>
        <v>=4</v>
      </c>
      <c r="E205" s="1" t="str">
        <f t="shared" ca="1" si="183"/>
        <v>=1</v>
      </c>
      <c r="F205" s="1" t="str">
        <f t="shared" ca="1" si="183"/>
        <v>=7</v>
      </c>
      <c r="G205" s="1" t="str">
        <f t="shared" ca="1" si="183"/>
        <v>=1</v>
      </c>
      <c r="H205" s="1" t="str">
        <f t="shared" ca="1" si="183"/>
        <v>=4</v>
      </c>
      <c r="I205" s="1" t="str">
        <f t="shared" ca="1" si="183"/>
        <v>=4</v>
      </c>
      <c r="J205" s="1" t="str">
        <f t="shared" ca="1" si="183"/>
        <v>=7</v>
      </c>
      <c r="K205" s="1" t="str">
        <f t="shared" ca="1" si="183"/>
        <v>=7</v>
      </c>
      <c r="L205" s="1" t="str">
        <f t="shared" ca="1" si="183"/>
        <v>=1</v>
      </c>
      <c r="M205" s="1" t="str">
        <f t="shared" ca="1" si="183"/>
        <v>=7</v>
      </c>
      <c r="N205" s="1" t="str">
        <f t="shared" ca="1" si="183"/>
        <v>=7</v>
      </c>
      <c r="O205" s="1" t="str">
        <f t="shared" ca="1" si="183"/>
        <v>=7</v>
      </c>
      <c r="P205" s="1" t="str">
        <f t="shared" ca="1" si="183"/>
        <v>=7</v>
      </c>
      <c r="Q205" s="1" t="str">
        <f t="shared" ca="1" si="183"/>
        <v>=7</v>
      </c>
      <c r="R205" s="1" t="str">
        <f t="shared" ca="1" si="183"/>
        <v>=7</v>
      </c>
      <c r="S205" s="1" t="str">
        <f t="shared" ca="1" si="183"/>
        <v>=7</v>
      </c>
      <c r="T205" s="1" t="str">
        <f t="shared" ca="1" si="183"/>
        <v>=7</v>
      </c>
      <c r="U205" s="1" t="str">
        <f t="shared" ca="1" si="183"/>
        <v>=7</v>
      </c>
      <c r="V205" s="1" t="str">
        <f t="shared" ca="1" si="183"/>
        <v>=7</v>
      </c>
      <c r="W205" s="1" t="str">
        <f t="shared" ca="1" si="183"/>
        <v>=7</v>
      </c>
      <c r="X205" s="1" t="str">
        <f t="shared" ca="1" si="183"/>
        <v>=7</v>
      </c>
      <c r="AB205" s="28"/>
      <c r="AC205" s="28"/>
      <c r="AD205" s="28"/>
      <c r="AE205" s="28"/>
      <c r="AT205" s="28"/>
    </row>
    <row r="206" spans="2:46">
      <c r="B206" s="1" t="str">
        <f t="shared" si="146"/>
        <v xml:space="preserve">   3.3.2) 31.¿Existen mecanismos de pago periódico fijo para los recicladores de base por servicios prestados?</v>
      </c>
      <c r="C206" s="1" t="str">
        <f t="shared" ref="C206:X206" ca="1" si="184">IF(C152&gt;1,"=","")&amp;C98</f>
        <v>=4</v>
      </c>
      <c r="D206" s="1" t="str">
        <f t="shared" ca="1" si="184"/>
        <v>=1</v>
      </c>
      <c r="E206" s="1" t="str">
        <f t="shared" ca="1" si="184"/>
        <v>=1</v>
      </c>
      <c r="F206" s="1" t="str">
        <f t="shared" ca="1" si="184"/>
        <v>=4</v>
      </c>
      <c r="G206" s="1" t="str">
        <f t="shared" ca="1" si="184"/>
        <v>=4</v>
      </c>
      <c r="H206" s="1" t="str">
        <f t="shared" ca="1" si="184"/>
        <v>=4</v>
      </c>
      <c r="I206" s="1" t="str">
        <f t="shared" ca="1" si="184"/>
        <v>=4</v>
      </c>
      <c r="J206" s="1" t="str">
        <f t="shared" ca="1" si="184"/>
        <v>=4</v>
      </c>
      <c r="K206" s="1" t="str">
        <f t="shared" ca="1" si="184"/>
        <v>=4</v>
      </c>
      <c r="L206" s="1" t="str">
        <f t="shared" ca="1" si="184"/>
        <v>=1</v>
      </c>
      <c r="M206" s="1" t="str">
        <f t="shared" ca="1" si="184"/>
        <v>=4</v>
      </c>
      <c r="N206" s="1" t="str">
        <f t="shared" ca="1" si="184"/>
        <v>=4</v>
      </c>
      <c r="O206" s="1" t="str">
        <f t="shared" ca="1" si="184"/>
        <v>=4</v>
      </c>
      <c r="P206" s="1" t="str">
        <f t="shared" ca="1" si="184"/>
        <v>=4</v>
      </c>
      <c r="Q206" s="1" t="str">
        <f t="shared" ca="1" si="184"/>
        <v>=4</v>
      </c>
      <c r="R206" s="1" t="str">
        <f t="shared" ca="1" si="184"/>
        <v>=4</v>
      </c>
      <c r="S206" s="1" t="str">
        <f t="shared" ca="1" si="184"/>
        <v>=4</v>
      </c>
      <c r="T206" s="1" t="str">
        <f t="shared" ca="1" si="184"/>
        <v>=4</v>
      </c>
      <c r="U206" s="1" t="str">
        <f t="shared" ca="1" si="184"/>
        <v>=4</v>
      </c>
      <c r="V206" s="1" t="str">
        <f t="shared" ca="1" si="184"/>
        <v>=4</v>
      </c>
      <c r="W206" s="1" t="str">
        <f t="shared" ca="1" si="184"/>
        <v>=4</v>
      </c>
      <c r="X206" s="1" t="str">
        <f t="shared" ca="1" si="184"/>
        <v>=4</v>
      </c>
      <c r="AB206" s="28"/>
      <c r="AC206" s="28"/>
      <c r="AD206" s="28"/>
      <c r="AE206" s="28"/>
      <c r="AT206" s="28"/>
    </row>
    <row r="207" spans="2:46">
      <c r="B207" s="1" t="str">
        <f t="shared" si="146"/>
        <v xml:space="preserve">   3.3.3) 32.¿Existen programas de diversificación de los servicios prestados por recicladores?</v>
      </c>
      <c r="C207" s="1" t="str">
        <f t="shared" ref="C207:X207" ca="1" si="185">IF(C153&gt;1,"=","")&amp;C99</f>
        <v>=3</v>
      </c>
      <c r="D207" s="1" t="str">
        <f t="shared" ca="1" si="185"/>
        <v>=3</v>
      </c>
      <c r="E207" s="1" t="str">
        <f t="shared" ca="1" si="185"/>
        <v>=1</v>
      </c>
      <c r="F207" s="1" t="str">
        <f t="shared" ca="1" si="185"/>
        <v>=3</v>
      </c>
      <c r="G207" s="1" t="str">
        <f t="shared" ca="1" si="185"/>
        <v>=3</v>
      </c>
      <c r="H207" s="1" t="str">
        <f t="shared" ca="1" si="185"/>
        <v>=3</v>
      </c>
      <c r="I207" s="1" t="str">
        <f t="shared" ca="1" si="185"/>
        <v>=3</v>
      </c>
      <c r="J207" s="1" t="str">
        <f t="shared" ca="1" si="185"/>
        <v>=3</v>
      </c>
      <c r="K207" s="1" t="str">
        <f t="shared" ca="1" si="185"/>
        <v>=3</v>
      </c>
      <c r="L207" s="1" t="str">
        <f t="shared" ca="1" si="185"/>
        <v>=1</v>
      </c>
      <c r="M207" s="1" t="str">
        <f t="shared" ca="1" si="185"/>
        <v>=3</v>
      </c>
      <c r="N207" s="1" t="str">
        <f t="shared" ca="1" si="185"/>
        <v>=3</v>
      </c>
      <c r="O207" s="1" t="str">
        <f t="shared" ca="1" si="185"/>
        <v>=3</v>
      </c>
      <c r="P207" s="1" t="str">
        <f t="shared" ca="1" si="185"/>
        <v>=3</v>
      </c>
      <c r="Q207" s="1" t="str">
        <f t="shared" ca="1" si="185"/>
        <v>=3</v>
      </c>
      <c r="R207" s="1" t="str">
        <f t="shared" ca="1" si="185"/>
        <v>=3</v>
      </c>
      <c r="S207" s="1" t="str">
        <f t="shared" ca="1" si="185"/>
        <v>=3</v>
      </c>
      <c r="T207" s="1" t="str">
        <f t="shared" ca="1" si="185"/>
        <v>=3</v>
      </c>
      <c r="U207" s="1" t="str">
        <f t="shared" ca="1" si="185"/>
        <v>=3</v>
      </c>
      <c r="V207" s="1" t="str">
        <f t="shared" ca="1" si="185"/>
        <v>=3</v>
      </c>
      <c r="W207" s="1" t="str">
        <f t="shared" ca="1" si="185"/>
        <v>=3</v>
      </c>
      <c r="X207" s="1" t="str">
        <f t="shared" ca="1" si="185"/>
        <v>=3</v>
      </c>
      <c r="AB207" s="28"/>
      <c r="AC207" s="28"/>
      <c r="AD207" s="28"/>
      <c r="AE207" s="28"/>
      <c r="AT207" s="28"/>
    </row>
    <row r="208" spans="2:46">
      <c r="B208" s="1" t="str">
        <f t="shared" si="146"/>
        <v xml:space="preserve">   3.3.4) 33. Ingreso promedio de los recicladores con respecto al salario mínimo nacional</v>
      </c>
      <c r="C208" s="1" t="str">
        <f t="shared" ref="C208:X208" ca="1" si="186">IF(C154&gt;1,"=","")&amp;C100</f>
        <v>11</v>
      </c>
      <c r="D208" s="1" t="str">
        <f t="shared" ca="1" si="186"/>
        <v>4</v>
      </c>
      <c r="E208" s="1" t="str">
        <f t="shared" ca="1" si="186"/>
        <v>1</v>
      </c>
      <c r="F208" s="1" t="str">
        <f t="shared" ca="1" si="186"/>
        <v>2</v>
      </c>
      <c r="G208" s="1" t="str">
        <f t="shared" ca="1" si="186"/>
        <v>8</v>
      </c>
      <c r="H208" s="1" t="str">
        <f t="shared" ca="1" si="186"/>
        <v>9</v>
      </c>
      <c r="I208" s="1" t="str">
        <f t="shared" ca="1" si="186"/>
        <v>3</v>
      </c>
      <c r="J208" s="1" t="str">
        <f t="shared" ca="1" si="186"/>
        <v>10</v>
      </c>
      <c r="K208" s="1" t="str">
        <f t="shared" ca="1" si="186"/>
        <v>12</v>
      </c>
      <c r="L208" s="1" t="str">
        <f t="shared" ca="1" si="186"/>
        <v>7</v>
      </c>
      <c r="M208" s="1" t="str">
        <f t="shared" ca="1" si="186"/>
        <v>5</v>
      </c>
      <c r="N208" s="1" t="str">
        <f t="shared" ca="1" si="186"/>
        <v>6</v>
      </c>
      <c r="O208" s="1" t="e">
        <f t="shared" ca="1" si="186"/>
        <v>#N/A</v>
      </c>
      <c r="P208" s="1" t="str">
        <f t="shared" ca="1" si="186"/>
        <v>12</v>
      </c>
      <c r="Q208" s="1" t="str">
        <f t="shared" ca="1" si="186"/>
        <v>12</v>
      </c>
      <c r="R208" s="1" t="str">
        <f t="shared" ca="1" si="186"/>
        <v>12</v>
      </c>
      <c r="S208" s="1" t="str">
        <f t="shared" ca="1" si="186"/>
        <v>12</v>
      </c>
      <c r="T208" s="1" t="str">
        <f t="shared" ca="1" si="186"/>
        <v>12</v>
      </c>
      <c r="U208" s="1" t="str">
        <f t="shared" ca="1" si="186"/>
        <v>12</v>
      </c>
      <c r="V208" s="1" t="str">
        <f t="shared" ca="1" si="186"/>
        <v>12</v>
      </c>
      <c r="W208" s="1" t="str">
        <f t="shared" ca="1" si="186"/>
        <v>12</v>
      </c>
      <c r="X208" s="1" t="str">
        <f t="shared" ca="1" si="186"/>
        <v>12</v>
      </c>
      <c r="AB208" s="28"/>
      <c r="AC208" s="28"/>
      <c r="AD208" s="28"/>
      <c r="AE208" s="28"/>
      <c r="AT208" s="28"/>
    </row>
    <row r="209" spans="2:46">
      <c r="B209" s="1" t="str">
        <f t="shared" si="146"/>
        <v xml:space="preserve">  3.4) Condiciones de trabajo de los recicladores de base</v>
      </c>
      <c r="C209" s="1" t="str">
        <f t="shared" ref="C209:X209" ca="1" si="187">IF(C155&gt;1,"=","")&amp;C101</f>
        <v>=11</v>
      </c>
      <c r="D209" s="1" t="str">
        <f t="shared" ca="1" si="187"/>
        <v>=3</v>
      </c>
      <c r="E209" s="1" t="str">
        <f t="shared" ca="1" si="187"/>
        <v>1</v>
      </c>
      <c r="F209" s="1" t="str">
        <f t="shared" ca="1" si="187"/>
        <v>=8</v>
      </c>
      <c r="G209" s="1" t="str">
        <f t="shared" ca="1" si="187"/>
        <v>=8</v>
      </c>
      <c r="H209" s="1" t="str">
        <f t="shared" ca="1" si="187"/>
        <v>=3</v>
      </c>
      <c r="I209" s="1" t="str">
        <f t="shared" ca="1" si="187"/>
        <v>=11</v>
      </c>
      <c r="J209" s="1" t="str">
        <f t="shared" ca="1" si="187"/>
        <v>10</v>
      </c>
      <c r="K209" s="1" t="str">
        <f t="shared" ca="1" si="187"/>
        <v>=3</v>
      </c>
      <c r="L209" s="1" t="str">
        <f t="shared" ca="1" si="187"/>
        <v>=3</v>
      </c>
      <c r="M209" s="1" t="str">
        <f t="shared" ca="1" si="187"/>
        <v>=3</v>
      </c>
      <c r="N209" s="1" t="str">
        <f t="shared" ca="1" si="187"/>
        <v>2</v>
      </c>
      <c r="O209" s="1" t="str">
        <f t="shared" ca="1" si="187"/>
        <v>=11</v>
      </c>
      <c r="P209" s="1" t="str">
        <f t="shared" ca="1" si="187"/>
        <v>=11</v>
      </c>
      <c r="Q209" s="1" t="str">
        <f t="shared" ca="1" si="187"/>
        <v>=11</v>
      </c>
      <c r="R209" s="1" t="str">
        <f t="shared" ca="1" si="187"/>
        <v>=11</v>
      </c>
      <c r="S209" s="1" t="str">
        <f t="shared" ca="1" si="187"/>
        <v>=11</v>
      </c>
      <c r="T209" s="1" t="str">
        <f t="shared" ca="1" si="187"/>
        <v>=11</v>
      </c>
      <c r="U209" s="1" t="str">
        <f t="shared" ca="1" si="187"/>
        <v>=11</v>
      </c>
      <c r="V209" s="1" t="str">
        <f t="shared" ca="1" si="187"/>
        <v>=11</v>
      </c>
      <c r="W209" s="1" t="str">
        <f t="shared" ca="1" si="187"/>
        <v>=11</v>
      </c>
      <c r="X209" s="1" t="str">
        <f t="shared" ca="1" si="187"/>
        <v>=11</v>
      </c>
      <c r="AB209" s="28"/>
      <c r="AC209" s="28"/>
      <c r="AD209" s="28"/>
      <c r="AE209" s="28"/>
      <c r="AT209" s="28"/>
    </row>
    <row r="210" spans="2:46">
      <c r="B210" s="1" t="str">
        <f t="shared" si="146"/>
        <v xml:space="preserve">   3.4.1) 34.¿Existe trabajo infantil en la cadena de manejo de residuos?</v>
      </c>
      <c r="C210" s="1" t="str">
        <f t="shared" ref="C210:X210" ca="1" si="188">IF(C156&gt;1,"=","")&amp;C102</f>
        <v>=8</v>
      </c>
      <c r="D210" s="1" t="str">
        <f t="shared" ca="1" si="188"/>
        <v>=3</v>
      </c>
      <c r="E210" s="1" t="str">
        <f t="shared" ca="1" si="188"/>
        <v>=3</v>
      </c>
      <c r="F210" s="1" t="str">
        <f t="shared" ca="1" si="188"/>
        <v>=8</v>
      </c>
      <c r="G210" s="1" t="str">
        <f t="shared" ca="1" si="188"/>
        <v>=3</v>
      </c>
      <c r="H210" s="1" t="str">
        <f t="shared" ca="1" si="188"/>
        <v>=3</v>
      </c>
      <c r="I210" s="1" t="str">
        <f t="shared" ca="1" si="188"/>
        <v>=8</v>
      </c>
      <c r="J210" s="1" t="str">
        <f t="shared" ca="1" si="188"/>
        <v>=8</v>
      </c>
      <c r="K210" s="1" t="str">
        <f t="shared" ca="1" si="188"/>
        <v>=1</v>
      </c>
      <c r="L210" s="1" t="str">
        <f t="shared" ca="1" si="188"/>
        <v>=3</v>
      </c>
      <c r="M210" s="1" t="str">
        <f t="shared" ca="1" si="188"/>
        <v>=8</v>
      </c>
      <c r="N210" s="1" t="str">
        <f t="shared" ca="1" si="188"/>
        <v>=1</v>
      </c>
      <c r="O210" s="1" t="str">
        <f t="shared" ca="1" si="188"/>
        <v>=8</v>
      </c>
      <c r="P210" s="1" t="str">
        <f t="shared" ca="1" si="188"/>
        <v>=8</v>
      </c>
      <c r="Q210" s="1" t="str">
        <f t="shared" ca="1" si="188"/>
        <v>=8</v>
      </c>
      <c r="R210" s="1" t="str">
        <f t="shared" ca="1" si="188"/>
        <v>=8</v>
      </c>
      <c r="S210" s="1" t="str">
        <f t="shared" ca="1" si="188"/>
        <v>=8</v>
      </c>
      <c r="T210" s="1" t="str">
        <f t="shared" ca="1" si="188"/>
        <v>=8</v>
      </c>
      <c r="U210" s="1" t="str">
        <f t="shared" ca="1" si="188"/>
        <v>=8</v>
      </c>
      <c r="V210" s="1" t="str">
        <f t="shared" ca="1" si="188"/>
        <v>=8</v>
      </c>
      <c r="W210" s="1" t="str">
        <f t="shared" ca="1" si="188"/>
        <v>=8</v>
      </c>
      <c r="X210" s="1" t="str">
        <f t="shared" ca="1" si="188"/>
        <v>=8</v>
      </c>
      <c r="AB210" s="28"/>
      <c r="AC210" s="28"/>
      <c r="AD210" s="28"/>
      <c r="AE210" s="28"/>
      <c r="AT210" s="28"/>
    </row>
    <row r="211" spans="2:46">
      <c r="B211" s="1" t="str">
        <f t="shared" si="146"/>
        <v xml:space="preserve">   3.4.2) 35.¿Cuál es el nivel de enfoque de género en las condiciones de trabajo?</v>
      </c>
      <c r="C211" s="1" t="str">
        <f t="shared" ref="C211:X211" ca="1" si="189">IF(C157&gt;1,"=","")&amp;C103</f>
        <v>=3</v>
      </c>
      <c r="D211" s="1" t="str">
        <f t="shared" ca="1" si="189"/>
        <v>=3</v>
      </c>
      <c r="E211" s="1" t="str">
        <f t="shared" ca="1" si="189"/>
        <v>=1</v>
      </c>
      <c r="F211" s="1" t="str">
        <f t="shared" ca="1" si="189"/>
        <v>=3</v>
      </c>
      <c r="G211" s="1" t="str">
        <f t="shared" ca="1" si="189"/>
        <v>=3</v>
      </c>
      <c r="H211" s="1" t="str">
        <f t="shared" ca="1" si="189"/>
        <v>=3</v>
      </c>
      <c r="I211" s="1" t="str">
        <f t="shared" ca="1" si="189"/>
        <v>=3</v>
      </c>
      <c r="J211" s="1" t="str">
        <f t="shared" ca="1" si="189"/>
        <v>=3</v>
      </c>
      <c r="K211" s="1" t="str">
        <f t="shared" ca="1" si="189"/>
        <v>=3</v>
      </c>
      <c r="L211" s="1" t="str">
        <f t="shared" ca="1" si="189"/>
        <v>=3</v>
      </c>
      <c r="M211" s="1" t="str">
        <f t="shared" ca="1" si="189"/>
        <v>=1</v>
      </c>
      <c r="N211" s="1" t="str">
        <f t="shared" ca="1" si="189"/>
        <v>=3</v>
      </c>
      <c r="O211" s="1" t="str">
        <f t="shared" ca="1" si="189"/>
        <v>=3</v>
      </c>
      <c r="P211" s="1" t="str">
        <f t="shared" ca="1" si="189"/>
        <v>=3</v>
      </c>
      <c r="Q211" s="1" t="str">
        <f t="shared" ca="1" si="189"/>
        <v>=3</v>
      </c>
      <c r="R211" s="1" t="str">
        <f t="shared" ca="1" si="189"/>
        <v>=3</v>
      </c>
      <c r="S211" s="1" t="str">
        <f t="shared" ca="1" si="189"/>
        <v>=3</v>
      </c>
      <c r="T211" s="1" t="str">
        <f t="shared" ca="1" si="189"/>
        <v>=3</v>
      </c>
      <c r="U211" s="1" t="str">
        <f t="shared" ca="1" si="189"/>
        <v>=3</v>
      </c>
      <c r="V211" s="1" t="str">
        <f t="shared" ca="1" si="189"/>
        <v>=3</v>
      </c>
      <c r="W211" s="1" t="str">
        <f t="shared" ca="1" si="189"/>
        <v>=3</v>
      </c>
      <c r="X211" s="1" t="str">
        <f t="shared" ca="1" si="189"/>
        <v>=3</v>
      </c>
      <c r="AB211" s="28"/>
      <c r="AC211" s="28"/>
      <c r="AD211" s="28"/>
      <c r="AE211" s="28"/>
      <c r="AT211" s="28"/>
    </row>
    <row r="212" spans="2:46">
      <c r="B212" s="1" t="str">
        <f t="shared" si="146"/>
        <v xml:space="preserve">   3.4.3) 36.¿Hay planes inclusivos de cierre de vertederos a cielo abierto?</v>
      </c>
      <c r="C212" s="1" t="str">
        <f t="shared" ref="C212:X212" ca="1" si="190">IF(C158&gt;1,"=","")&amp;C104</f>
        <v>=11</v>
      </c>
      <c r="D212" s="1" t="str">
        <f t="shared" ca="1" si="190"/>
        <v>=1</v>
      </c>
      <c r="E212" s="1" t="str">
        <f t="shared" ca="1" si="190"/>
        <v>=1</v>
      </c>
      <c r="F212" s="1" t="str">
        <f t="shared" ca="1" si="190"/>
        <v>=1</v>
      </c>
      <c r="G212" s="1" t="str">
        <f t="shared" ca="1" si="190"/>
        <v>=1</v>
      </c>
      <c r="H212" s="1" t="str">
        <f t="shared" ca="1" si="190"/>
        <v>=1</v>
      </c>
      <c r="I212" s="1" t="str">
        <f t="shared" ca="1" si="190"/>
        <v>=11</v>
      </c>
      <c r="J212" s="1" t="str">
        <f t="shared" ca="1" si="190"/>
        <v>=1</v>
      </c>
      <c r="K212" s="1" t="str">
        <f t="shared" ca="1" si="190"/>
        <v>=1</v>
      </c>
      <c r="L212" s="1" t="str">
        <f t="shared" ca="1" si="190"/>
        <v>=1</v>
      </c>
      <c r="M212" s="1" t="str">
        <f t="shared" ca="1" si="190"/>
        <v>=1</v>
      </c>
      <c r="N212" s="1" t="str">
        <f t="shared" ca="1" si="190"/>
        <v>=1</v>
      </c>
      <c r="O212" s="1" t="str">
        <f t="shared" ca="1" si="190"/>
        <v>=11</v>
      </c>
      <c r="P212" s="1" t="str">
        <f t="shared" ca="1" si="190"/>
        <v>=11</v>
      </c>
      <c r="Q212" s="1" t="str">
        <f t="shared" ca="1" si="190"/>
        <v>=11</v>
      </c>
      <c r="R212" s="1" t="str">
        <f t="shared" ca="1" si="190"/>
        <v>=11</v>
      </c>
      <c r="S212" s="1" t="str">
        <f t="shared" ca="1" si="190"/>
        <v>=11</v>
      </c>
      <c r="T212" s="1" t="str">
        <f t="shared" ca="1" si="190"/>
        <v>=11</v>
      </c>
      <c r="U212" s="1" t="str">
        <f t="shared" ca="1" si="190"/>
        <v>=11</v>
      </c>
      <c r="V212" s="1" t="str">
        <f t="shared" ca="1" si="190"/>
        <v>=11</v>
      </c>
      <c r="W212" s="1" t="str">
        <f t="shared" ca="1" si="190"/>
        <v>=11</v>
      </c>
      <c r="X212" s="1" t="str">
        <f t="shared" ca="1" si="190"/>
        <v>=11</v>
      </c>
      <c r="AB212" s="28"/>
      <c r="AC212" s="28"/>
      <c r="AD212" s="28"/>
      <c r="AE212" s="28"/>
      <c r="AT212" s="28"/>
    </row>
    <row r="213" spans="2:46">
      <c r="B213" s="1" t="str">
        <f t="shared" si="146"/>
        <v xml:space="preserve">   3.4.4) 37.¿Los recicladores tienen acceso a herramientas de trabajo adecuadas?</v>
      </c>
      <c r="C213" s="1" t="str">
        <f t="shared" ref="C213:X213" ca="1" si="191">IF(C159&gt;1,"=","")&amp;C105</f>
        <v>=8</v>
      </c>
      <c r="D213" s="1" t="str">
        <f t="shared" ca="1" si="191"/>
        <v>=2</v>
      </c>
      <c r="E213" s="1" t="str">
        <f t="shared" ca="1" si="191"/>
        <v>1</v>
      </c>
      <c r="F213" s="1" t="str">
        <f t="shared" ca="1" si="191"/>
        <v>=2</v>
      </c>
      <c r="G213" s="1" t="str">
        <f t="shared" ca="1" si="191"/>
        <v>=8</v>
      </c>
      <c r="H213" s="1" t="str">
        <f t="shared" ca="1" si="191"/>
        <v>=2</v>
      </c>
      <c r="I213" s="1" t="str">
        <f t="shared" ca="1" si="191"/>
        <v>=8</v>
      </c>
      <c r="J213" s="1" t="str">
        <f t="shared" ca="1" si="191"/>
        <v>=8</v>
      </c>
      <c r="K213" s="1" t="str">
        <f t="shared" ca="1" si="191"/>
        <v>=8</v>
      </c>
      <c r="L213" s="1" t="str">
        <f t="shared" ca="1" si="191"/>
        <v>=2</v>
      </c>
      <c r="M213" s="1" t="str">
        <f t="shared" ca="1" si="191"/>
        <v>=2</v>
      </c>
      <c r="N213" s="1" t="str">
        <f t="shared" ca="1" si="191"/>
        <v>=2</v>
      </c>
      <c r="O213" s="1" t="str">
        <f t="shared" ca="1" si="191"/>
        <v>=8</v>
      </c>
      <c r="P213" s="1" t="str">
        <f t="shared" ca="1" si="191"/>
        <v>=8</v>
      </c>
      <c r="Q213" s="1" t="str">
        <f t="shared" ca="1" si="191"/>
        <v>=8</v>
      </c>
      <c r="R213" s="1" t="str">
        <f t="shared" ca="1" si="191"/>
        <v>=8</v>
      </c>
      <c r="S213" s="1" t="str">
        <f t="shared" ca="1" si="191"/>
        <v>=8</v>
      </c>
      <c r="T213" s="1" t="str">
        <f t="shared" ca="1" si="191"/>
        <v>=8</v>
      </c>
      <c r="U213" s="1" t="str">
        <f t="shared" ca="1" si="191"/>
        <v>=8</v>
      </c>
      <c r="V213" s="1" t="str">
        <f t="shared" ca="1" si="191"/>
        <v>=8</v>
      </c>
      <c r="W213" s="1" t="str">
        <f t="shared" ca="1" si="191"/>
        <v>=8</v>
      </c>
      <c r="X213" s="1" t="str">
        <f t="shared" ca="1" si="191"/>
        <v>=8</v>
      </c>
      <c r="AB213" s="28"/>
      <c r="AC213" s="28"/>
      <c r="AD213" s="28"/>
      <c r="AE213" s="28"/>
      <c r="AT213" s="28"/>
    </row>
    <row r="214" spans="2:46">
      <c r="AB214" s="28"/>
      <c r="AC214" s="28"/>
      <c r="AD214" s="28"/>
      <c r="AE214" s="28"/>
      <c r="AT214" s="28"/>
    </row>
    <row r="215" spans="2:46">
      <c r="AB215" s="28"/>
      <c r="AC215" s="28"/>
      <c r="AD215" s="28"/>
      <c r="AE215" s="28"/>
      <c r="AT215" s="28"/>
    </row>
    <row r="216" spans="2:46">
      <c r="AB216" s="28"/>
      <c r="AC216" s="28"/>
      <c r="AD216" s="28"/>
      <c r="AE216" s="28"/>
      <c r="AT216" s="28"/>
    </row>
    <row r="217" spans="2:46">
      <c r="AB217" s="28"/>
      <c r="AC217" s="28"/>
      <c r="AD217" s="28"/>
      <c r="AE217" s="28"/>
      <c r="AT217" s="28"/>
    </row>
    <row r="218" spans="2:46">
      <c r="AB218" s="28"/>
      <c r="AC218" s="28"/>
      <c r="AD218" s="28"/>
      <c r="AE218" s="28"/>
      <c r="AT218" s="28"/>
    </row>
    <row r="219" spans="2:46">
      <c r="AB219" s="28"/>
      <c r="AC219" s="28"/>
      <c r="AD219" s="28"/>
      <c r="AE219" s="28"/>
      <c r="AT219" s="28"/>
    </row>
    <row r="220" spans="2:46">
      <c r="AB220" s="28"/>
      <c r="AC220" s="28"/>
      <c r="AD220" s="28"/>
      <c r="AE220" s="28"/>
      <c r="AT220" s="28"/>
    </row>
    <row r="221" spans="2:46">
      <c r="AB221" s="28"/>
      <c r="AC221" s="28"/>
      <c r="AD221" s="28"/>
      <c r="AE221" s="28"/>
      <c r="AT221" s="28"/>
    </row>
    <row r="222" spans="2:46">
      <c r="AB222" s="28"/>
      <c r="AC222" s="28"/>
      <c r="AD222" s="28"/>
      <c r="AE222" s="28"/>
      <c r="AT222" s="28"/>
    </row>
    <row r="223" spans="2:46">
      <c r="AB223" s="28"/>
      <c r="AC223" s="28"/>
      <c r="AD223" s="28"/>
      <c r="AE223" s="28"/>
      <c r="AT223" s="28"/>
    </row>
  </sheetData>
  <phoneticPr fontId="4" type="noConversion"/>
  <pageMargins left="0.55118110236220474" right="0.55118110236220474" top="0.59055118110236227" bottom="0.78740157480314965" header="0.51181102362204722" footer="0.51181102362204722"/>
  <pageSetup paperSize="9" scale="12" orientation="landscape" r:id="rId1"/>
  <headerFooter alignWithMargins="0">
    <oddHeader>&amp;RResultados del Modelo de Reciclaje Inclusivo</oddHeader>
  </headerFooter>
</worksheet>
</file>

<file path=xl/worksheets/sheet42.xml><?xml version="1.0" encoding="utf-8"?>
<worksheet xmlns="http://schemas.openxmlformats.org/spreadsheetml/2006/main" xmlns:r="http://schemas.openxmlformats.org/officeDocument/2006/relationships">
  <sheetPr codeName="Sheet17">
    <tabColor rgb="FF00B050"/>
    <pageSetUpPr fitToPage="1"/>
  </sheetPr>
  <dimension ref="A1:N29"/>
  <sheetViews>
    <sheetView showRowColHeaders="0" zoomScale="80" zoomScaleNormal="80" workbookViewId="0"/>
  </sheetViews>
  <sheetFormatPr defaultRowHeight="15"/>
  <cols>
    <col min="1" max="1" width="9.140625" style="28"/>
    <col min="2" max="2" width="16.42578125" style="28" bestFit="1" customWidth="1"/>
    <col min="3" max="6" width="9.140625" style="28"/>
    <col min="7" max="7" width="18.5703125" style="28" customWidth="1"/>
    <col min="8" max="8" width="26.42578125" style="28" customWidth="1"/>
    <col min="9" max="16384" width="9.140625" style="28"/>
  </cols>
  <sheetData>
    <row r="1" spans="1:14">
      <c r="A1" s="28" t="s">
        <v>906</v>
      </c>
      <c r="C1" s="28">
        <v>1</v>
      </c>
      <c r="D1" s="28">
        <v>2</v>
      </c>
      <c r="E1" s="28">
        <v>3</v>
      </c>
      <c r="F1" s="28">
        <v>4</v>
      </c>
      <c r="G1" s="28">
        <v>6</v>
      </c>
      <c r="H1" s="28">
        <v>5</v>
      </c>
      <c r="I1" s="28">
        <v>7</v>
      </c>
      <c r="J1" s="28">
        <v>8</v>
      </c>
      <c r="K1" s="28">
        <v>9</v>
      </c>
      <c r="L1" s="28">
        <v>10</v>
      </c>
      <c r="M1" s="28">
        <v>11</v>
      </c>
      <c r="N1" s="28">
        <v>12</v>
      </c>
    </row>
    <row r="2" spans="1:14">
      <c r="B2" s="428" t="s">
        <v>907</v>
      </c>
      <c r="C2" s="404" t="s">
        <v>334</v>
      </c>
      <c r="D2" s="404" t="s">
        <v>335</v>
      </c>
      <c r="E2" s="404" t="s">
        <v>332</v>
      </c>
      <c r="F2" s="404" t="s">
        <v>333</v>
      </c>
      <c r="G2" s="404" t="s">
        <v>2252</v>
      </c>
      <c r="H2" s="404" t="s">
        <v>336</v>
      </c>
      <c r="I2" s="404" t="s">
        <v>337</v>
      </c>
      <c r="J2" s="404" t="s">
        <v>338</v>
      </c>
      <c r="K2" s="404" t="s">
        <v>339</v>
      </c>
      <c r="L2" s="404" t="s">
        <v>342</v>
      </c>
      <c r="M2" s="404" t="s">
        <v>340</v>
      </c>
      <c r="N2" s="404" t="s">
        <v>341</v>
      </c>
    </row>
    <row r="3" spans="1:14" s="550" customFormat="1" ht="54.75" customHeight="1">
      <c r="A3" s="550" t="s">
        <v>908</v>
      </c>
      <c r="B3" s="551"/>
      <c r="C3" s="550" t="s">
        <v>909</v>
      </c>
      <c r="D3" s="550" t="s">
        <v>910</v>
      </c>
      <c r="E3" s="550" t="s">
        <v>911</v>
      </c>
      <c r="F3" s="550" t="s">
        <v>912</v>
      </c>
      <c r="G3" s="550" t="s">
        <v>914</v>
      </c>
      <c r="H3" s="550" t="s">
        <v>913</v>
      </c>
      <c r="I3" s="550" t="s">
        <v>915</v>
      </c>
      <c r="J3" s="550" t="s">
        <v>916</v>
      </c>
      <c r="K3" s="550" t="s">
        <v>917</v>
      </c>
      <c r="L3" s="550" t="s">
        <v>918</v>
      </c>
      <c r="M3" s="550" t="s">
        <v>919</v>
      </c>
      <c r="N3" s="550" t="s">
        <v>920</v>
      </c>
    </row>
    <row r="4" spans="1:14">
      <c r="A4" s="28" t="s">
        <v>921</v>
      </c>
      <c r="B4" s="404"/>
      <c r="C4" s="28" t="s">
        <v>670</v>
      </c>
      <c r="D4" s="28" t="s">
        <v>670</v>
      </c>
      <c r="E4" s="28" t="s">
        <v>670</v>
      </c>
      <c r="F4" s="28" t="s">
        <v>670</v>
      </c>
      <c r="G4" s="28" t="s">
        <v>670</v>
      </c>
      <c r="H4" s="28" t="s">
        <v>670</v>
      </c>
      <c r="I4" s="28" t="s">
        <v>670</v>
      </c>
      <c r="J4" s="28" t="s">
        <v>922</v>
      </c>
      <c r="K4" s="28" t="s">
        <v>670</v>
      </c>
      <c r="L4" s="28" t="s">
        <v>670</v>
      </c>
      <c r="M4" s="28" t="s">
        <v>923</v>
      </c>
      <c r="N4" s="28" t="s">
        <v>670</v>
      </c>
    </row>
    <row r="5" spans="1:14">
      <c r="A5" s="28" t="s">
        <v>924</v>
      </c>
      <c r="B5" s="404"/>
      <c r="C5" s="28" t="s">
        <v>670</v>
      </c>
      <c r="D5" s="28" t="s">
        <v>670</v>
      </c>
      <c r="E5" s="28" t="s">
        <v>670</v>
      </c>
      <c r="F5" s="28" t="s">
        <v>670</v>
      </c>
      <c r="G5" s="28" t="s">
        <v>925</v>
      </c>
      <c r="I5" s="28" t="s">
        <v>670</v>
      </c>
      <c r="J5" s="28" t="s">
        <v>926</v>
      </c>
      <c r="K5" s="28" t="s">
        <v>670</v>
      </c>
      <c r="L5" s="28" t="s">
        <v>670</v>
      </c>
      <c r="M5" s="28" t="s">
        <v>927</v>
      </c>
      <c r="N5" s="28" t="s">
        <v>670</v>
      </c>
    </row>
    <row r="6" spans="1:14">
      <c r="A6" s="28" t="s">
        <v>928</v>
      </c>
      <c r="B6" s="404"/>
      <c r="C6" s="28" t="s">
        <v>670</v>
      </c>
      <c r="D6" s="28" t="s">
        <v>670</v>
      </c>
      <c r="E6" s="28" t="s">
        <v>670</v>
      </c>
      <c r="F6" s="28" t="s">
        <v>670</v>
      </c>
      <c r="G6" s="28" t="s">
        <v>670</v>
      </c>
      <c r="H6" s="28" t="s">
        <v>670</v>
      </c>
      <c r="I6" s="28" t="s">
        <v>670</v>
      </c>
      <c r="J6" s="28" t="s">
        <v>670</v>
      </c>
      <c r="K6" s="28" t="s">
        <v>670</v>
      </c>
      <c r="L6" s="28" t="s">
        <v>670</v>
      </c>
      <c r="M6" s="28" t="s">
        <v>670</v>
      </c>
      <c r="N6" s="28" t="s">
        <v>670</v>
      </c>
    </row>
    <row r="7" spans="1:14">
      <c r="A7" s="28" t="s">
        <v>929</v>
      </c>
      <c r="B7" s="404"/>
      <c r="C7" s="28" t="s">
        <v>930</v>
      </c>
      <c r="D7" s="28" t="s">
        <v>930</v>
      </c>
      <c r="E7" s="28" t="s">
        <v>930</v>
      </c>
      <c r="F7" s="28" t="s">
        <v>930</v>
      </c>
      <c r="G7" s="28" t="s">
        <v>930</v>
      </c>
      <c r="H7" s="28" t="s">
        <v>930</v>
      </c>
      <c r="I7" s="28" t="s">
        <v>930</v>
      </c>
      <c r="J7" s="28" t="s">
        <v>930</v>
      </c>
      <c r="K7" s="28" t="s">
        <v>930</v>
      </c>
      <c r="L7" s="28" t="s">
        <v>930</v>
      </c>
      <c r="M7" s="28" t="s">
        <v>931</v>
      </c>
      <c r="N7" s="28" t="s">
        <v>930</v>
      </c>
    </row>
    <row r="8" spans="1:14">
      <c r="A8" s="28" t="s">
        <v>932</v>
      </c>
      <c r="B8" s="404"/>
      <c r="C8" s="28" t="s">
        <v>933</v>
      </c>
      <c r="D8" s="28" t="s">
        <v>934</v>
      </c>
      <c r="E8" s="28" t="s">
        <v>935</v>
      </c>
      <c r="F8" s="28" t="s">
        <v>936</v>
      </c>
      <c r="G8" s="28" t="s">
        <v>938</v>
      </c>
      <c r="H8" s="28" t="s">
        <v>937</v>
      </c>
      <c r="I8" s="28" t="s">
        <v>939</v>
      </c>
      <c r="J8" s="28" t="s">
        <v>940</v>
      </c>
      <c r="K8" s="28" t="s">
        <v>941</v>
      </c>
      <c r="L8" s="28" t="s">
        <v>942</v>
      </c>
      <c r="M8" s="28" t="s">
        <v>670</v>
      </c>
      <c r="N8" s="28" t="s">
        <v>943</v>
      </c>
    </row>
    <row r="9" spans="1:14">
      <c r="A9" s="28" t="s">
        <v>944</v>
      </c>
      <c r="B9" s="404"/>
      <c r="C9" s="28" t="s">
        <v>945</v>
      </c>
      <c r="D9" s="28" t="s">
        <v>946</v>
      </c>
      <c r="E9" s="28" t="s">
        <v>947</v>
      </c>
      <c r="F9" s="28" t="s">
        <v>948</v>
      </c>
      <c r="G9" s="28" t="s">
        <v>950</v>
      </c>
      <c r="H9" s="28" t="s">
        <v>949</v>
      </c>
      <c r="I9" s="28" t="s">
        <v>951</v>
      </c>
      <c r="J9" s="28" t="s">
        <v>670</v>
      </c>
      <c r="K9" s="28" t="s">
        <v>952</v>
      </c>
      <c r="L9" s="28" t="s">
        <v>670</v>
      </c>
      <c r="M9" s="28" t="s">
        <v>930</v>
      </c>
      <c r="N9" s="28" t="s">
        <v>953</v>
      </c>
    </row>
    <row r="10" spans="1:14">
      <c r="A10" s="28" t="s">
        <v>954</v>
      </c>
      <c r="B10" s="404"/>
      <c r="C10" s="28" t="s">
        <v>670</v>
      </c>
      <c r="D10" s="28" t="s">
        <v>670</v>
      </c>
      <c r="E10" s="28" t="s">
        <v>670</v>
      </c>
      <c r="F10" s="28" t="s">
        <v>670</v>
      </c>
      <c r="G10" s="28" t="s">
        <v>955</v>
      </c>
      <c r="H10" s="28" t="s">
        <v>670</v>
      </c>
      <c r="I10" s="28" t="s">
        <v>956</v>
      </c>
      <c r="J10" s="28" t="s">
        <v>670</v>
      </c>
      <c r="K10" s="28" t="s">
        <v>670</v>
      </c>
      <c r="L10" s="28" t="s">
        <v>670</v>
      </c>
      <c r="M10" s="28" t="s">
        <v>957</v>
      </c>
      <c r="N10" s="28" t="s">
        <v>670</v>
      </c>
    </row>
    <row r="11" spans="1:14">
      <c r="A11" s="28" t="s">
        <v>958</v>
      </c>
      <c r="B11" s="404"/>
      <c r="C11" s="28" t="s">
        <v>670</v>
      </c>
      <c r="D11" s="28" t="s">
        <v>670</v>
      </c>
      <c r="E11" s="28" t="s">
        <v>670</v>
      </c>
      <c r="F11" s="28" t="s">
        <v>670</v>
      </c>
      <c r="G11" s="28" t="s">
        <v>959</v>
      </c>
      <c r="H11" s="28" t="s">
        <v>670</v>
      </c>
      <c r="I11" s="28" t="s">
        <v>670</v>
      </c>
      <c r="J11" s="28" t="s">
        <v>670</v>
      </c>
      <c r="K11" s="28" t="s">
        <v>670</v>
      </c>
      <c r="L11" s="28" t="s">
        <v>670</v>
      </c>
      <c r="M11" s="28" t="s">
        <v>960</v>
      </c>
      <c r="N11" s="28" t="s">
        <v>670</v>
      </c>
    </row>
    <row r="12" spans="1:14">
      <c r="A12" s="28" t="s">
        <v>961</v>
      </c>
      <c r="B12" s="404"/>
      <c r="C12" s="28" t="s">
        <v>670</v>
      </c>
      <c r="D12" s="28" t="s">
        <v>670</v>
      </c>
      <c r="E12" s="28" t="s">
        <v>670</v>
      </c>
      <c r="F12" s="28" t="s">
        <v>670</v>
      </c>
      <c r="G12" s="28" t="s">
        <v>670</v>
      </c>
      <c r="H12" s="28" t="s">
        <v>670</v>
      </c>
      <c r="I12" s="28" t="s">
        <v>670</v>
      </c>
      <c r="J12" s="28" t="s">
        <v>670</v>
      </c>
      <c r="K12" s="28" t="s">
        <v>670</v>
      </c>
      <c r="L12" s="28" t="s">
        <v>670</v>
      </c>
      <c r="M12" s="28" t="s">
        <v>670</v>
      </c>
      <c r="N12" s="28" t="s">
        <v>670</v>
      </c>
    </row>
    <row r="13" spans="1:14">
      <c r="A13" s="28" t="s">
        <v>962</v>
      </c>
      <c r="B13" s="404"/>
      <c r="C13" s="28" t="s">
        <v>670</v>
      </c>
      <c r="D13" s="28" t="s">
        <v>670</v>
      </c>
      <c r="E13" s="28" t="s">
        <v>670</v>
      </c>
      <c r="F13" s="28" t="s">
        <v>670</v>
      </c>
      <c r="G13" s="28" t="s">
        <v>670</v>
      </c>
      <c r="H13" s="28" t="s">
        <v>670</v>
      </c>
      <c r="I13" s="28" t="s">
        <v>670</v>
      </c>
      <c r="J13" s="28" t="s">
        <v>670</v>
      </c>
      <c r="K13" s="28" t="s">
        <v>670</v>
      </c>
      <c r="L13" s="28" t="s">
        <v>670</v>
      </c>
      <c r="M13" s="28" t="s">
        <v>670</v>
      </c>
      <c r="N13" s="28" t="s">
        <v>670</v>
      </c>
    </row>
    <row r="14" spans="1:14">
      <c r="A14" s="28" t="s">
        <v>963</v>
      </c>
      <c r="B14" s="404"/>
      <c r="C14" s="28" t="s">
        <v>670</v>
      </c>
      <c r="D14" s="28" t="s">
        <v>670</v>
      </c>
      <c r="E14" s="28" t="s">
        <v>670</v>
      </c>
      <c r="F14" s="28" t="s">
        <v>670</v>
      </c>
      <c r="G14" s="28" t="s">
        <v>670</v>
      </c>
      <c r="H14" s="28" t="s">
        <v>670</v>
      </c>
      <c r="I14" s="28" t="s">
        <v>670</v>
      </c>
      <c r="J14" s="28" t="s">
        <v>670</v>
      </c>
      <c r="K14" s="28" t="s">
        <v>670</v>
      </c>
      <c r="L14" s="28" t="s">
        <v>670</v>
      </c>
      <c r="M14" s="28" t="s">
        <v>670</v>
      </c>
      <c r="N14" s="28" t="s">
        <v>670</v>
      </c>
    </row>
    <row r="15" spans="1:14">
      <c r="A15" s="28" t="s">
        <v>964</v>
      </c>
      <c r="B15" s="404"/>
      <c r="C15" s="28" t="s">
        <v>670</v>
      </c>
      <c r="D15" s="28" t="s">
        <v>670</v>
      </c>
      <c r="E15" s="28" t="s">
        <v>670</v>
      </c>
      <c r="F15" s="28" t="s">
        <v>670</v>
      </c>
      <c r="G15" s="28" t="s">
        <v>670</v>
      </c>
      <c r="H15" s="28" t="s">
        <v>670</v>
      </c>
      <c r="I15" s="28" t="s">
        <v>670</v>
      </c>
      <c r="J15" s="28" t="s">
        <v>670</v>
      </c>
      <c r="K15" s="28" t="s">
        <v>670</v>
      </c>
      <c r="L15" s="28" t="s">
        <v>670</v>
      </c>
      <c r="M15" s="28" t="s">
        <v>670</v>
      </c>
      <c r="N15" s="28" t="s">
        <v>670</v>
      </c>
    </row>
    <row r="16" spans="1:14">
      <c r="B16" s="404"/>
    </row>
    <row r="17" spans="2:2">
      <c r="B17" s="404"/>
    </row>
    <row r="18" spans="2:2">
      <c r="B18" s="404"/>
    </row>
    <row r="19" spans="2:2">
      <c r="B19" s="404"/>
    </row>
    <row r="20" spans="2:2">
      <c r="B20" s="404"/>
    </row>
    <row r="21" spans="2:2">
      <c r="B21" s="404"/>
    </row>
    <row r="22" spans="2:2">
      <c r="B22" s="404"/>
    </row>
    <row r="23" spans="2:2">
      <c r="B23" s="404"/>
    </row>
    <row r="24" spans="2:2">
      <c r="B24" s="404"/>
    </row>
    <row r="27" spans="2:2">
      <c r="B27" s="28" t="s">
        <v>965</v>
      </c>
    </row>
    <row r="28" spans="2:2">
      <c r="B28" s="28" t="s">
        <v>966</v>
      </c>
    </row>
    <row r="29" spans="2:2">
      <c r="B29" s="28" t="s">
        <v>967</v>
      </c>
    </row>
  </sheetData>
  <pageMargins left="0.55118110236220474" right="0.55118110236220474" top="0.59055118110236227" bottom="0.78740157480314965" header="0.51181102362204722" footer="0.51181102362204722"/>
  <pageSetup paperSize="9" scale="28" orientation="landscape" r:id="rId1"/>
  <headerFooter alignWithMargins="0">
    <oddHeader>&amp;RResultados del Modelo de Reciclaje Inclusivo</oddHeader>
  </headerFooter>
</worksheet>
</file>

<file path=xl/worksheets/sheet43.xml><?xml version="1.0" encoding="utf-8"?>
<worksheet xmlns="http://schemas.openxmlformats.org/spreadsheetml/2006/main" xmlns:r="http://schemas.openxmlformats.org/officeDocument/2006/relationships">
  <sheetPr codeName="Sheet20">
    <pageSetUpPr fitToPage="1"/>
  </sheetPr>
  <dimension ref="A1:AA39"/>
  <sheetViews>
    <sheetView showRowColHeaders="0" zoomScale="80" zoomScaleNormal="80" workbookViewId="0">
      <pane xSplit="2" ySplit="2" topLeftCell="C4" activePane="bottomRight" state="frozen"/>
      <selection pane="topRight" activeCell="C1" sqref="C1"/>
      <selection pane="bottomLeft" activeCell="A3" sqref="A3"/>
      <selection pane="bottomRight" activeCell="A23" sqref="A23"/>
    </sheetView>
  </sheetViews>
  <sheetFormatPr defaultRowHeight="15"/>
  <cols>
    <col min="1" max="1" width="9.140625" style="28"/>
    <col min="2" max="2" width="35.28515625" style="28" customWidth="1"/>
    <col min="3" max="16384" width="9.140625" style="28"/>
  </cols>
  <sheetData>
    <row r="1" spans="1:14">
      <c r="C1" s="28">
        <v>1</v>
      </c>
      <c r="D1" s="28">
        <v>2</v>
      </c>
      <c r="E1" s="28">
        <v>3</v>
      </c>
      <c r="F1" s="28">
        <v>4</v>
      </c>
      <c r="G1" s="28">
        <v>6</v>
      </c>
      <c r="H1" s="28">
        <v>5</v>
      </c>
      <c r="I1" s="28">
        <v>7</v>
      </c>
      <c r="J1" s="28">
        <v>8</v>
      </c>
      <c r="K1" s="28">
        <v>9</v>
      </c>
      <c r="L1" s="28">
        <v>10</v>
      </c>
      <c r="M1" s="28">
        <v>11</v>
      </c>
      <c r="N1" s="28">
        <v>12</v>
      </c>
    </row>
    <row r="2" spans="1:14">
      <c r="B2" s="505" t="s">
        <v>968</v>
      </c>
      <c r="C2" s="404" t="s">
        <v>334</v>
      </c>
      <c r="D2" s="404" t="s">
        <v>335</v>
      </c>
      <c r="E2" s="404" t="s">
        <v>332</v>
      </c>
      <c r="F2" s="404" t="s">
        <v>333</v>
      </c>
      <c r="G2" s="404" t="s">
        <v>2252</v>
      </c>
      <c r="H2" s="404" t="s">
        <v>336</v>
      </c>
      <c r="I2" s="404" t="s">
        <v>337</v>
      </c>
      <c r="J2" s="404" t="s">
        <v>338</v>
      </c>
      <c r="K2" s="404" t="s">
        <v>339</v>
      </c>
      <c r="L2" s="404" t="s">
        <v>342</v>
      </c>
      <c r="M2" s="404" t="s">
        <v>340</v>
      </c>
      <c r="N2" s="404" t="s">
        <v>341</v>
      </c>
    </row>
    <row r="3" spans="1:14" ht="36">
      <c r="A3" s="28" t="s">
        <v>969</v>
      </c>
      <c r="B3" s="506" t="s">
        <v>357</v>
      </c>
      <c r="C3" s="28">
        <v>0</v>
      </c>
      <c r="D3" s="28">
        <v>1</v>
      </c>
      <c r="E3" s="28">
        <v>0</v>
      </c>
      <c r="F3" s="28">
        <v>0</v>
      </c>
      <c r="G3" s="28">
        <v>0</v>
      </c>
      <c r="H3" s="28">
        <v>2</v>
      </c>
      <c r="I3" s="28">
        <v>1</v>
      </c>
      <c r="J3" s="28">
        <v>0</v>
      </c>
      <c r="K3" s="28">
        <v>1</v>
      </c>
      <c r="L3" s="28">
        <v>2</v>
      </c>
      <c r="M3" s="28">
        <v>1</v>
      </c>
      <c r="N3" s="28">
        <v>1</v>
      </c>
    </row>
    <row r="4" spans="1:14" ht="48">
      <c r="A4" s="28" t="s">
        <v>970</v>
      </c>
      <c r="B4" s="506" t="s">
        <v>358</v>
      </c>
      <c r="C4" s="28">
        <v>1</v>
      </c>
      <c r="D4" s="28">
        <v>2</v>
      </c>
      <c r="E4" s="28">
        <v>2</v>
      </c>
      <c r="F4" s="28">
        <v>0</v>
      </c>
      <c r="G4" s="28">
        <v>0</v>
      </c>
      <c r="H4" s="28">
        <v>2</v>
      </c>
      <c r="I4" s="28">
        <v>0</v>
      </c>
      <c r="J4" s="28">
        <v>2</v>
      </c>
      <c r="K4" s="28">
        <v>1</v>
      </c>
      <c r="L4" s="28">
        <v>2</v>
      </c>
      <c r="M4" s="28">
        <v>0</v>
      </c>
      <c r="N4" s="28">
        <v>1</v>
      </c>
    </row>
    <row r="5" spans="1:14" ht="48">
      <c r="A5" s="28" t="s">
        <v>971</v>
      </c>
      <c r="B5" s="506" t="s">
        <v>359</v>
      </c>
      <c r="C5" s="28">
        <v>1</v>
      </c>
      <c r="D5" s="28">
        <v>1</v>
      </c>
      <c r="E5" s="28">
        <v>2</v>
      </c>
      <c r="F5" s="28">
        <v>0</v>
      </c>
      <c r="G5" s="28">
        <v>0</v>
      </c>
      <c r="H5" s="28">
        <v>0</v>
      </c>
      <c r="I5" s="28">
        <v>0</v>
      </c>
      <c r="J5" s="28">
        <v>1</v>
      </c>
      <c r="K5" s="28">
        <v>0</v>
      </c>
      <c r="L5" s="28">
        <v>2</v>
      </c>
      <c r="M5" s="28">
        <v>1</v>
      </c>
      <c r="N5" s="28">
        <v>0</v>
      </c>
    </row>
    <row r="6" spans="1:14" ht="36">
      <c r="A6" s="28" t="s">
        <v>972</v>
      </c>
      <c r="B6" s="507" t="s">
        <v>360</v>
      </c>
      <c r="C6" s="28">
        <v>0</v>
      </c>
      <c r="D6" s="28">
        <v>2</v>
      </c>
      <c r="E6" s="28">
        <v>2</v>
      </c>
      <c r="F6" s="28">
        <v>0</v>
      </c>
      <c r="G6" s="28">
        <v>0</v>
      </c>
      <c r="H6" s="28">
        <v>2</v>
      </c>
      <c r="I6" s="28">
        <v>0</v>
      </c>
      <c r="J6" s="28">
        <v>2</v>
      </c>
      <c r="K6" s="28">
        <v>0</v>
      </c>
      <c r="L6" s="28">
        <v>2</v>
      </c>
      <c r="M6" s="28">
        <v>0</v>
      </c>
      <c r="N6" s="28">
        <v>2</v>
      </c>
    </row>
    <row r="7" spans="1:14" ht="24">
      <c r="A7" s="28" t="s">
        <v>973</v>
      </c>
      <c r="B7" s="506" t="s">
        <v>362</v>
      </c>
      <c r="C7" s="28">
        <v>0</v>
      </c>
      <c r="D7" s="28">
        <v>1</v>
      </c>
      <c r="E7" s="28">
        <v>1</v>
      </c>
      <c r="F7" s="28">
        <v>0</v>
      </c>
      <c r="G7" s="28">
        <v>0</v>
      </c>
      <c r="H7" s="28">
        <v>1</v>
      </c>
      <c r="I7" s="28">
        <v>0</v>
      </c>
      <c r="J7" s="28">
        <v>0</v>
      </c>
      <c r="K7" s="28">
        <v>0</v>
      </c>
      <c r="L7" s="28">
        <v>1</v>
      </c>
      <c r="M7" s="28">
        <v>0</v>
      </c>
      <c r="N7" s="28">
        <v>0</v>
      </c>
    </row>
    <row r="8" spans="1:14" ht="36">
      <c r="A8" s="28" t="s">
        <v>974</v>
      </c>
      <c r="B8" s="506" t="s">
        <v>363</v>
      </c>
      <c r="C8" s="28">
        <v>1</v>
      </c>
      <c r="D8" s="28">
        <v>2</v>
      </c>
      <c r="E8" s="28">
        <v>2</v>
      </c>
      <c r="F8" s="28">
        <v>0</v>
      </c>
      <c r="G8" s="28">
        <v>0</v>
      </c>
      <c r="H8" s="28">
        <v>1</v>
      </c>
      <c r="I8" s="28">
        <v>1</v>
      </c>
      <c r="J8" s="28">
        <v>1</v>
      </c>
      <c r="K8" s="28">
        <v>0</v>
      </c>
      <c r="L8" s="28">
        <v>2</v>
      </c>
      <c r="M8" s="28">
        <v>1</v>
      </c>
      <c r="N8" s="28">
        <v>0</v>
      </c>
    </row>
    <row r="9" spans="1:14" ht="36">
      <c r="A9" s="28" t="s">
        <v>975</v>
      </c>
      <c r="B9" s="506" t="s">
        <v>364</v>
      </c>
      <c r="C9" s="28">
        <v>0</v>
      </c>
      <c r="D9" s="28">
        <v>1</v>
      </c>
      <c r="E9" s="28">
        <v>0</v>
      </c>
      <c r="F9" s="28">
        <v>0</v>
      </c>
      <c r="G9" s="28">
        <v>0</v>
      </c>
      <c r="H9" s="28">
        <v>1</v>
      </c>
      <c r="I9" s="28">
        <v>1</v>
      </c>
      <c r="J9" s="28">
        <v>1</v>
      </c>
      <c r="K9" s="28">
        <v>0</v>
      </c>
      <c r="L9" s="28">
        <v>1</v>
      </c>
      <c r="M9" s="28">
        <v>0</v>
      </c>
      <c r="N9" s="28">
        <v>0</v>
      </c>
    </row>
    <row r="10" spans="1:14" ht="36">
      <c r="A10" s="28" t="s">
        <v>976</v>
      </c>
      <c r="B10" s="506" t="s">
        <v>365</v>
      </c>
      <c r="C10" s="28">
        <v>1</v>
      </c>
      <c r="D10" s="28">
        <v>1</v>
      </c>
      <c r="E10" s="28">
        <v>1</v>
      </c>
      <c r="F10" s="28">
        <v>0</v>
      </c>
      <c r="G10" s="28">
        <v>0</v>
      </c>
      <c r="H10" s="28">
        <v>1</v>
      </c>
      <c r="I10" s="28">
        <v>0</v>
      </c>
      <c r="J10" s="28">
        <v>0</v>
      </c>
      <c r="K10" s="28">
        <v>0</v>
      </c>
      <c r="L10" s="28">
        <v>1</v>
      </c>
      <c r="M10" s="28">
        <v>1</v>
      </c>
      <c r="N10" s="28">
        <v>0</v>
      </c>
    </row>
    <row r="11" spans="1:14" ht="36">
      <c r="A11" s="28" t="s">
        <v>977</v>
      </c>
      <c r="B11" s="506" t="s">
        <v>366</v>
      </c>
      <c r="C11" s="28">
        <v>2</v>
      </c>
      <c r="D11" s="28">
        <v>1</v>
      </c>
      <c r="E11" s="28">
        <v>2</v>
      </c>
      <c r="F11" s="28">
        <v>0</v>
      </c>
      <c r="G11" s="28">
        <v>0</v>
      </c>
      <c r="H11" s="28">
        <v>1</v>
      </c>
      <c r="I11" s="28">
        <v>1</v>
      </c>
      <c r="J11" s="28">
        <v>1</v>
      </c>
      <c r="K11" s="28">
        <v>0</v>
      </c>
      <c r="L11" s="28">
        <v>2</v>
      </c>
      <c r="M11" s="28">
        <v>0</v>
      </c>
      <c r="N11" s="28">
        <v>1</v>
      </c>
    </row>
    <row r="12" spans="1:14" ht="24">
      <c r="A12" s="28" t="s">
        <v>978</v>
      </c>
      <c r="B12" s="506" t="s">
        <v>367</v>
      </c>
      <c r="C12" s="28">
        <v>0</v>
      </c>
      <c r="D12" s="28">
        <v>3</v>
      </c>
      <c r="E12" s="28">
        <v>1</v>
      </c>
      <c r="F12" s="28">
        <v>0</v>
      </c>
      <c r="G12" s="28">
        <v>1</v>
      </c>
      <c r="H12" s="28">
        <v>3</v>
      </c>
      <c r="I12" s="28">
        <v>1</v>
      </c>
      <c r="J12" s="28">
        <v>0</v>
      </c>
      <c r="K12" s="28">
        <v>1</v>
      </c>
      <c r="L12" s="28">
        <v>3</v>
      </c>
      <c r="M12" s="28">
        <v>2</v>
      </c>
      <c r="N12" s="28">
        <v>3</v>
      </c>
    </row>
    <row r="13" spans="1:14" ht="48">
      <c r="A13" s="28" t="s">
        <v>979</v>
      </c>
      <c r="B13" s="506" t="s">
        <v>368</v>
      </c>
      <c r="C13" s="28">
        <v>1</v>
      </c>
      <c r="D13" s="28">
        <v>1</v>
      </c>
      <c r="E13" s="28">
        <v>2</v>
      </c>
      <c r="F13" s="28">
        <v>1</v>
      </c>
      <c r="G13" s="28">
        <v>0</v>
      </c>
      <c r="H13" s="28">
        <v>2</v>
      </c>
      <c r="I13" s="28">
        <v>1</v>
      </c>
      <c r="J13" s="28">
        <v>1</v>
      </c>
      <c r="K13" s="28">
        <v>0</v>
      </c>
      <c r="L13" s="28">
        <v>2</v>
      </c>
      <c r="M13" s="28">
        <v>2</v>
      </c>
      <c r="N13" s="28">
        <v>1</v>
      </c>
    </row>
    <row r="14" spans="1:14" ht="24">
      <c r="A14" s="28" t="s">
        <v>980</v>
      </c>
      <c r="B14" s="506" t="s">
        <v>369</v>
      </c>
      <c r="C14" s="28">
        <v>0</v>
      </c>
      <c r="D14" s="28">
        <v>1</v>
      </c>
      <c r="E14" s="28">
        <v>0</v>
      </c>
      <c r="F14" s="28">
        <v>1</v>
      </c>
      <c r="G14" s="28">
        <v>1</v>
      </c>
      <c r="H14" s="28">
        <v>1</v>
      </c>
      <c r="I14" s="28">
        <v>0</v>
      </c>
      <c r="J14" s="28">
        <v>0</v>
      </c>
      <c r="K14" s="28">
        <v>0</v>
      </c>
      <c r="L14" s="28">
        <v>0</v>
      </c>
      <c r="M14" s="28">
        <v>0</v>
      </c>
      <c r="N14" s="28">
        <v>1</v>
      </c>
    </row>
    <row r="15" spans="1:14" ht="36">
      <c r="A15" s="28" t="s">
        <v>981</v>
      </c>
      <c r="B15" s="506" t="s">
        <v>371</v>
      </c>
      <c r="C15" s="28">
        <v>0</v>
      </c>
      <c r="D15" s="28">
        <v>1</v>
      </c>
      <c r="E15" s="28">
        <v>0</v>
      </c>
      <c r="F15" s="28">
        <v>0</v>
      </c>
      <c r="G15" s="28">
        <v>0</v>
      </c>
      <c r="H15" s="28">
        <v>1</v>
      </c>
      <c r="I15" s="28">
        <v>0</v>
      </c>
      <c r="J15" s="28">
        <v>0</v>
      </c>
      <c r="K15" s="28">
        <v>0</v>
      </c>
      <c r="L15" s="28">
        <v>1</v>
      </c>
      <c r="M15" s="28">
        <v>0</v>
      </c>
      <c r="N15" s="28">
        <v>0</v>
      </c>
    </row>
    <row r="16" spans="1:14" ht="36">
      <c r="A16" s="28" t="s">
        <v>982</v>
      </c>
      <c r="B16" s="506" t="s">
        <v>372</v>
      </c>
      <c r="C16" s="28">
        <v>1</v>
      </c>
      <c r="D16" s="28">
        <v>1</v>
      </c>
      <c r="E16" s="28">
        <v>1</v>
      </c>
      <c r="F16" s="28">
        <v>0</v>
      </c>
      <c r="G16" s="28">
        <v>1</v>
      </c>
      <c r="H16" s="28">
        <v>1</v>
      </c>
      <c r="I16" s="28">
        <v>1</v>
      </c>
      <c r="J16" s="28">
        <v>1</v>
      </c>
      <c r="K16" s="28">
        <v>1</v>
      </c>
      <c r="L16" s="28">
        <v>1</v>
      </c>
      <c r="M16" s="28">
        <v>2</v>
      </c>
      <c r="N16" s="28">
        <v>1</v>
      </c>
    </row>
    <row r="17" spans="1:14" ht="36">
      <c r="A17" s="28" t="s">
        <v>983</v>
      </c>
      <c r="B17" s="506" t="s">
        <v>374</v>
      </c>
      <c r="C17" s="28">
        <v>1</v>
      </c>
      <c r="D17" s="28">
        <v>1</v>
      </c>
      <c r="E17" s="28">
        <v>2</v>
      </c>
      <c r="F17" s="28">
        <v>1</v>
      </c>
      <c r="G17" s="28">
        <v>2</v>
      </c>
      <c r="H17" s="28">
        <v>1</v>
      </c>
      <c r="I17" s="28">
        <v>2</v>
      </c>
      <c r="J17" s="28">
        <v>1</v>
      </c>
      <c r="K17" s="28">
        <v>1</v>
      </c>
      <c r="L17" s="28">
        <v>1</v>
      </c>
      <c r="M17" s="28">
        <v>2</v>
      </c>
      <c r="N17" s="28">
        <v>1</v>
      </c>
    </row>
    <row r="18" spans="1:14" ht="24">
      <c r="A18" s="28" t="s">
        <v>984</v>
      </c>
      <c r="B18" s="506" t="s">
        <v>376</v>
      </c>
      <c r="C18" s="28">
        <v>2</v>
      </c>
      <c r="D18" s="28">
        <v>1</v>
      </c>
      <c r="E18" s="28">
        <v>1</v>
      </c>
      <c r="F18" s="28">
        <v>0</v>
      </c>
      <c r="G18" s="28">
        <v>2</v>
      </c>
      <c r="H18" s="28">
        <v>1</v>
      </c>
      <c r="I18" s="28">
        <v>2</v>
      </c>
      <c r="J18" s="28">
        <v>1</v>
      </c>
      <c r="K18" s="28">
        <v>0</v>
      </c>
      <c r="L18" s="28">
        <v>0</v>
      </c>
      <c r="M18" s="28">
        <v>0</v>
      </c>
      <c r="N18" s="28">
        <v>0</v>
      </c>
    </row>
    <row r="19" spans="1:14" ht="24">
      <c r="A19" s="28" t="s">
        <v>985</v>
      </c>
      <c r="B19" s="507" t="s">
        <v>377</v>
      </c>
      <c r="C19" s="28">
        <v>0</v>
      </c>
      <c r="D19" s="28">
        <v>2</v>
      </c>
      <c r="E19" s="28">
        <v>1</v>
      </c>
      <c r="F19" s="28">
        <v>0</v>
      </c>
      <c r="G19" s="28">
        <v>1</v>
      </c>
      <c r="H19" s="28">
        <v>1</v>
      </c>
      <c r="I19" s="28">
        <v>0</v>
      </c>
      <c r="J19" s="28">
        <v>1</v>
      </c>
      <c r="K19" s="28">
        <v>0</v>
      </c>
      <c r="L19" s="28">
        <v>2</v>
      </c>
      <c r="M19" s="28">
        <v>1</v>
      </c>
      <c r="N19" s="28">
        <v>0</v>
      </c>
    </row>
    <row r="20" spans="1:14" ht="36">
      <c r="A20" s="28" t="s">
        <v>986</v>
      </c>
      <c r="B20" s="506" t="s">
        <v>378</v>
      </c>
      <c r="C20" s="28">
        <v>1</v>
      </c>
      <c r="D20" s="28">
        <v>2</v>
      </c>
      <c r="E20" s="28">
        <v>2</v>
      </c>
      <c r="F20" s="28">
        <v>0</v>
      </c>
      <c r="G20" s="28">
        <v>1</v>
      </c>
      <c r="H20" s="28">
        <v>2</v>
      </c>
      <c r="I20" s="28">
        <v>2</v>
      </c>
      <c r="J20" s="28">
        <v>2</v>
      </c>
      <c r="K20" s="28">
        <v>0</v>
      </c>
      <c r="L20" s="28">
        <v>2</v>
      </c>
      <c r="M20" s="28">
        <v>2</v>
      </c>
      <c r="N20" s="28">
        <v>1</v>
      </c>
    </row>
    <row r="21" spans="1:14" ht="36">
      <c r="A21" s="28" t="s">
        <v>987</v>
      </c>
      <c r="B21" s="506" t="s">
        <v>379</v>
      </c>
      <c r="C21" s="28">
        <v>0</v>
      </c>
      <c r="D21" s="28">
        <v>2</v>
      </c>
      <c r="E21" s="28">
        <v>2</v>
      </c>
      <c r="F21" s="28">
        <v>0</v>
      </c>
      <c r="G21" s="28">
        <v>2</v>
      </c>
      <c r="H21" s="28">
        <v>2</v>
      </c>
      <c r="I21" s="28">
        <v>0</v>
      </c>
      <c r="J21" s="28">
        <v>0</v>
      </c>
      <c r="K21" s="28">
        <v>0</v>
      </c>
      <c r="L21" s="28">
        <v>0</v>
      </c>
      <c r="M21" s="28">
        <v>1</v>
      </c>
      <c r="N21" s="28">
        <v>2</v>
      </c>
    </row>
    <row r="22" spans="1:14" ht="24">
      <c r="A22" s="28" t="s">
        <v>988</v>
      </c>
      <c r="B22" s="506" t="s">
        <v>380</v>
      </c>
      <c r="C22" s="28">
        <v>1</v>
      </c>
      <c r="D22" s="28">
        <v>2</v>
      </c>
      <c r="E22" s="28">
        <v>1</v>
      </c>
      <c r="F22" s="28">
        <v>0</v>
      </c>
      <c r="G22" s="28">
        <v>1</v>
      </c>
      <c r="H22" s="28">
        <v>0</v>
      </c>
      <c r="I22" s="28">
        <v>1</v>
      </c>
      <c r="J22" s="28">
        <v>2</v>
      </c>
      <c r="K22" s="28">
        <v>0</v>
      </c>
      <c r="L22" s="28">
        <v>2</v>
      </c>
      <c r="M22" s="28">
        <v>2</v>
      </c>
      <c r="N22" s="28">
        <v>0</v>
      </c>
    </row>
    <row r="23" spans="1:14" ht="48">
      <c r="A23" s="28" t="s">
        <v>989</v>
      </c>
      <c r="B23" s="506" t="s">
        <v>382</v>
      </c>
      <c r="C23" s="28">
        <v>1</v>
      </c>
      <c r="D23" s="28">
        <v>2</v>
      </c>
      <c r="E23" s="755">
        <v>2</v>
      </c>
      <c r="F23" s="28">
        <v>0</v>
      </c>
      <c r="G23" s="28">
        <v>1</v>
      </c>
      <c r="H23" s="28">
        <v>1</v>
      </c>
      <c r="I23" s="28">
        <v>1</v>
      </c>
      <c r="J23" s="28">
        <v>1</v>
      </c>
      <c r="K23" s="28">
        <v>0</v>
      </c>
      <c r="L23" s="28">
        <v>2</v>
      </c>
      <c r="M23" s="755">
        <v>1</v>
      </c>
      <c r="N23" s="28">
        <v>0</v>
      </c>
    </row>
    <row r="24" spans="1:14" ht="36">
      <c r="A24" s="28" t="s">
        <v>990</v>
      </c>
      <c r="B24" s="506" t="s">
        <v>383</v>
      </c>
      <c r="C24" s="28">
        <v>0</v>
      </c>
      <c r="D24" s="28">
        <v>1</v>
      </c>
      <c r="E24" s="755">
        <v>2</v>
      </c>
      <c r="F24" s="28">
        <v>0</v>
      </c>
      <c r="G24" s="28">
        <v>1</v>
      </c>
      <c r="H24" s="28">
        <v>1</v>
      </c>
      <c r="I24" s="28">
        <v>0</v>
      </c>
      <c r="J24" s="28">
        <v>1</v>
      </c>
      <c r="K24" s="28">
        <v>0</v>
      </c>
      <c r="L24" s="28">
        <v>2</v>
      </c>
      <c r="M24" s="755">
        <v>1</v>
      </c>
      <c r="N24" s="28">
        <v>1</v>
      </c>
    </row>
    <row r="25" spans="1:14" ht="36">
      <c r="A25" s="28" t="s">
        <v>991</v>
      </c>
      <c r="B25" s="506" t="s">
        <v>384</v>
      </c>
      <c r="C25" s="28">
        <v>0</v>
      </c>
      <c r="D25" s="28">
        <v>0</v>
      </c>
      <c r="E25" s="28">
        <v>2</v>
      </c>
      <c r="F25" s="28">
        <v>0</v>
      </c>
      <c r="G25" s="28">
        <v>0</v>
      </c>
      <c r="H25" s="28">
        <v>0</v>
      </c>
      <c r="I25" s="28">
        <v>0</v>
      </c>
      <c r="J25" s="28">
        <v>0</v>
      </c>
      <c r="K25" s="28">
        <v>0</v>
      </c>
      <c r="L25" s="28">
        <v>1</v>
      </c>
      <c r="M25" s="28">
        <v>0</v>
      </c>
      <c r="N25" s="28">
        <v>2</v>
      </c>
    </row>
    <row r="26" spans="1:14" ht="24">
      <c r="A26" s="28" t="s">
        <v>992</v>
      </c>
      <c r="B26" s="506" t="s">
        <v>386</v>
      </c>
      <c r="C26" s="28">
        <v>1</v>
      </c>
      <c r="D26" s="28">
        <v>2</v>
      </c>
      <c r="E26" s="28">
        <v>3</v>
      </c>
      <c r="F26" s="28">
        <v>1</v>
      </c>
      <c r="G26" s="28">
        <v>1</v>
      </c>
      <c r="H26" s="28">
        <v>2</v>
      </c>
      <c r="I26" s="28">
        <v>1</v>
      </c>
      <c r="J26" s="28">
        <v>1</v>
      </c>
      <c r="K26" s="28">
        <v>1</v>
      </c>
      <c r="L26" s="28">
        <v>3</v>
      </c>
      <c r="M26" s="28">
        <v>1</v>
      </c>
      <c r="N26" s="28">
        <v>1</v>
      </c>
    </row>
    <row r="27" spans="1:14" ht="48">
      <c r="A27" s="28" t="s">
        <v>993</v>
      </c>
      <c r="B27" s="506" t="s">
        <v>387</v>
      </c>
      <c r="C27" s="28">
        <v>0</v>
      </c>
      <c r="D27" s="28">
        <v>0</v>
      </c>
      <c r="E27" s="28">
        <v>2</v>
      </c>
      <c r="F27" s="28">
        <v>0</v>
      </c>
      <c r="G27" s="28">
        <v>0</v>
      </c>
      <c r="H27" s="28">
        <v>2</v>
      </c>
      <c r="I27" s="28">
        <v>1</v>
      </c>
      <c r="J27" s="28">
        <v>0</v>
      </c>
      <c r="K27" s="28">
        <v>1</v>
      </c>
      <c r="L27" s="28">
        <v>2</v>
      </c>
      <c r="M27" s="28">
        <v>1</v>
      </c>
      <c r="N27" s="28">
        <v>2</v>
      </c>
    </row>
    <row r="28" spans="1:14" ht="36">
      <c r="A28" s="28" t="s">
        <v>994</v>
      </c>
      <c r="B28" s="506" t="s">
        <v>388</v>
      </c>
      <c r="C28" s="28">
        <v>0</v>
      </c>
      <c r="D28" s="28">
        <v>1</v>
      </c>
      <c r="E28" s="28">
        <v>1</v>
      </c>
      <c r="F28" s="28">
        <v>0</v>
      </c>
      <c r="G28" s="28">
        <v>1</v>
      </c>
      <c r="H28" s="28">
        <v>0</v>
      </c>
      <c r="I28" s="28">
        <v>1</v>
      </c>
      <c r="J28" s="28">
        <v>0</v>
      </c>
      <c r="K28" s="28">
        <v>0</v>
      </c>
      <c r="L28" s="28">
        <v>1</v>
      </c>
      <c r="M28" s="28">
        <v>1</v>
      </c>
      <c r="N28" s="28">
        <v>1</v>
      </c>
    </row>
    <row r="29" spans="1:14" ht="60">
      <c r="A29" s="28" t="s">
        <v>995</v>
      </c>
      <c r="B29" s="506" t="s">
        <v>389</v>
      </c>
      <c r="C29" s="28">
        <v>0</v>
      </c>
      <c r="D29" s="28">
        <v>1</v>
      </c>
      <c r="E29" s="28">
        <v>2</v>
      </c>
      <c r="F29" s="28">
        <v>1</v>
      </c>
      <c r="G29" s="28">
        <v>0</v>
      </c>
      <c r="H29" s="28">
        <v>0</v>
      </c>
      <c r="I29" s="28">
        <v>0</v>
      </c>
      <c r="J29" s="28">
        <v>0</v>
      </c>
      <c r="K29" s="28">
        <v>0</v>
      </c>
      <c r="L29" s="28">
        <v>1</v>
      </c>
      <c r="M29" s="28">
        <v>0</v>
      </c>
      <c r="N29" s="28">
        <v>0</v>
      </c>
    </row>
    <row r="30" spans="1:14" ht="36">
      <c r="A30" s="28" t="s">
        <v>996</v>
      </c>
      <c r="B30" s="507" t="s">
        <v>391</v>
      </c>
      <c r="C30" s="28">
        <v>1.5</v>
      </c>
      <c r="D30" s="28">
        <v>1.5510476190476192</v>
      </c>
      <c r="E30" s="28">
        <v>2.3319999999999999</v>
      </c>
      <c r="F30" s="28">
        <v>1.5</v>
      </c>
      <c r="G30" s="28">
        <v>1.6506410256410255</v>
      </c>
      <c r="H30" s="28">
        <v>1.4060912698412698</v>
      </c>
      <c r="I30" s="28">
        <v>2.8444444444444446</v>
      </c>
      <c r="J30" s="28">
        <v>1.0684931506849316</v>
      </c>
      <c r="K30" s="28">
        <v>10</v>
      </c>
      <c r="L30" s="28">
        <v>7.0303030303030294</v>
      </c>
      <c r="M30" s="28">
        <v>1.1523809523809523</v>
      </c>
      <c r="N30" s="28">
        <v>2.81</v>
      </c>
    </row>
    <row r="31" spans="1:14" ht="36">
      <c r="A31" s="28" t="s">
        <v>998</v>
      </c>
      <c r="B31" s="506" t="s">
        <v>392</v>
      </c>
      <c r="C31" s="28">
        <v>3</v>
      </c>
      <c r="D31" s="28">
        <v>3</v>
      </c>
      <c r="E31" s="28">
        <v>3</v>
      </c>
      <c r="F31" s="28">
        <v>1</v>
      </c>
      <c r="G31" s="28">
        <v>3</v>
      </c>
      <c r="H31" s="28">
        <v>3</v>
      </c>
      <c r="I31" s="28">
        <v>3</v>
      </c>
      <c r="J31" s="28">
        <v>3</v>
      </c>
      <c r="K31" s="28">
        <v>2</v>
      </c>
      <c r="L31" s="28">
        <v>3</v>
      </c>
      <c r="M31" s="28">
        <v>2</v>
      </c>
      <c r="N31" s="28">
        <v>3</v>
      </c>
    </row>
    <row r="32" spans="1:14" ht="48">
      <c r="A32" s="28" t="s">
        <v>999</v>
      </c>
      <c r="B32" s="506" t="s">
        <v>394</v>
      </c>
      <c r="C32" s="28">
        <v>0</v>
      </c>
      <c r="D32" s="28">
        <v>1</v>
      </c>
      <c r="E32" s="28">
        <v>2</v>
      </c>
      <c r="F32" s="28">
        <v>0</v>
      </c>
      <c r="G32" s="28">
        <v>2</v>
      </c>
      <c r="H32" s="28">
        <v>1</v>
      </c>
      <c r="I32" s="28">
        <v>1</v>
      </c>
      <c r="J32" s="28">
        <v>0</v>
      </c>
      <c r="K32" s="28">
        <v>0</v>
      </c>
      <c r="L32" s="28">
        <v>2</v>
      </c>
      <c r="M32" s="28">
        <v>0</v>
      </c>
      <c r="N32" s="28">
        <v>0</v>
      </c>
    </row>
    <row r="33" spans="1:27" ht="36">
      <c r="A33" s="28" t="s">
        <v>1000</v>
      </c>
      <c r="B33" s="506" t="s">
        <v>395</v>
      </c>
      <c r="C33" s="28">
        <v>0</v>
      </c>
      <c r="D33" s="28">
        <v>1</v>
      </c>
      <c r="E33" s="28">
        <v>1</v>
      </c>
      <c r="F33" s="28">
        <v>0</v>
      </c>
      <c r="G33" s="28">
        <v>0</v>
      </c>
      <c r="H33" s="28">
        <v>0</v>
      </c>
      <c r="I33" s="28">
        <v>0</v>
      </c>
      <c r="J33" s="28">
        <v>0</v>
      </c>
      <c r="K33" s="28">
        <v>0</v>
      </c>
      <c r="L33" s="28">
        <v>1</v>
      </c>
      <c r="M33" s="28">
        <v>0</v>
      </c>
      <c r="N33" s="28">
        <v>0</v>
      </c>
    </row>
    <row r="34" spans="1:27" ht="36">
      <c r="A34" s="28" t="s">
        <v>1001</v>
      </c>
      <c r="B34" s="506" t="s">
        <v>396</v>
      </c>
      <c r="C34" s="28">
        <v>0</v>
      </c>
      <c r="D34" s="28">
        <v>0</v>
      </c>
      <c r="E34" s="28">
        <v>1</v>
      </c>
      <c r="F34" s="28">
        <v>0</v>
      </c>
      <c r="G34" s="28">
        <v>0</v>
      </c>
      <c r="H34" s="28">
        <v>0</v>
      </c>
      <c r="I34" s="28">
        <v>0</v>
      </c>
      <c r="J34" s="28">
        <v>0</v>
      </c>
      <c r="K34" s="28">
        <v>0</v>
      </c>
      <c r="L34" s="28">
        <v>1</v>
      </c>
      <c r="M34" s="28">
        <v>0</v>
      </c>
      <c r="N34" s="28">
        <v>0</v>
      </c>
    </row>
    <row r="35" spans="1:27" ht="24">
      <c r="A35" s="28" t="s">
        <v>1002</v>
      </c>
      <c r="B35" s="506" t="s">
        <v>397</v>
      </c>
      <c r="C35" s="28">
        <v>36.183115510977956</v>
      </c>
      <c r="D35" s="28">
        <v>87.025259081448382</v>
      </c>
      <c r="E35" s="28">
        <v>157</v>
      </c>
      <c r="F35" s="28">
        <v>150</v>
      </c>
      <c r="G35" s="28">
        <v>68</v>
      </c>
      <c r="H35" s="28">
        <v>50</v>
      </c>
      <c r="I35" s="28">
        <v>107.62331838565022</v>
      </c>
      <c r="J35" s="28">
        <v>49</v>
      </c>
      <c r="K35" s="28">
        <v>14.000000000000002</v>
      </c>
      <c r="L35" s="28">
        <v>68.181818181818173</v>
      </c>
      <c r="M35" s="28">
        <v>85</v>
      </c>
      <c r="N35" s="28">
        <v>75</v>
      </c>
      <c r="P35" s="28">
        <f>100*C35</f>
        <v>3618.3115510977955</v>
      </c>
      <c r="Q35" s="28">
        <f t="shared" ref="Q35:AA35" si="0">100*D35</f>
        <v>8702.5259081448385</v>
      </c>
      <c r="R35" s="28">
        <f t="shared" si="0"/>
        <v>15700</v>
      </c>
      <c r="S35" s="28">
        <f t="shared" si="0"/>
        <v>15000</v>
      </c>
      <c r="T35" s="28">
        <f t="shared" si="0"/>
        <v>6800</v>
      </c>
      <c r="U35" s="28">
        <f t="shared" si="0"/>
        <v>5000</v>
      </c>
      <c r="V35" s="28">
        <f t="shared" si="0"/>
        <v>10762.331838565022</v>
      </c>
      <c r="W35" s="28">
        <f t="shared" si="0"/>
        <v>4900</v>
      </c>
      <c r="X35" s="28">
        <f t="shared" si="0"/>
        <v>1400.0000000000002</v>
      </c>
      <c r="Y35" s="28">
        <f t="shared" si="0"/>
        <v>6818.1818181818171</v>
      </c>
      <c r="Z35" s="28">
        <f t="shared" si="0"/>
        <v>8500</v>
      </c>
      <c r="AA35" s="28">
        <f t="shared" si="0"/>
        <v>7500</v>
      </c>
    </row>
    <row r="36" spans="1:27" ht="24">
      <c r="A36" s="28" t="s">
        <v>1003</v>
      </c>
      <c r="B36" s="506" t="s">
        <v>399</v>
      </c>
      <c r="C36" s="28">
        <v>0</v>
      </c>
      <c r="D36" s="28">
        <v>1</v>
      </c>
      <c r="E36" s="28">
        <v>1</v>
      </c>
      <c r="F36" s="28">
        <v>0</v>
      </c>
      <c r="G36" s="28">
        <v>1</v>
      </c>
      <c r="H36" s="28">
        <v>1</v>
      </c>
      <c r="I36" s="28">
        <v>0</v>
      </c>
      <c r="J36" s="28">
        <v>0</v>
      </c>
      <c r="K36" s="28">
        <v>2</v>
      </c>
      <c r="L36" s="28">
        <v>1</v>
      </c>
      <c r="M36" s="28">
        <v>0</v>
      </c>
      <c r="N36" s="28">
        <v>2</v>
      </c>
    </row>
    <row r="37" spans="1:27" ht="24">
      <c r="A37" s="28" t="s">
        <v>1004</v>
      </c>
      <c r="B37" s="506" t="s">
        <v>400</v>
      </c>
      <c r="C37" s="28">
        <v>0</v>
      </c>
      <c r="D37" s="28">
        <v>0</v>
      </c>
      <c r="E37" s="28">
        <v>1</v>
      </c>
      <c r="F37" s="28">
        <v>0</v>
      </c>
      <c r="G37" s="28">
        <v>0</v>
      </c>
      <c r="H37" s="28">
        <v>0</v>
      </c>
      <c r="I37" s="28">
        <v>0</v>
      </c>
      <c r="J37" s="28">
        <v>0</v>
      </c>
      <c r="K37" s="28">
        <v>0</v>
      </c>
      <c r="L37" s="28">
        <v>0</v>
      </c>
      <c r="M37" s="28">
        <v>1</v>
      </c>
      <c r="N37" s="28">
        <v>0</v>
      </c>
    </row>
    <row r="38" spans="1:27" ht="24">
      <c r="A38" s="28" t="s">
        <v>1005</v>
      </c>
      <c r="B38" s="506" t="s">
        <v>401</v>
      </c>
      <c r="C38" s="28">
        <v>0</v>
      </c>
      <c r="D38" s="28">
        <v>1</v>
      </c>
      <c r="E38" s="28">
        <v>1</v>
      </c>
      <c r="F38" s="28">
        <v>1</v>
      </c>
      <c r="G38" s="28">
        <v>1</v>
      </c>
      <c r="H38" s="28">
        <v>1</v>
      </c>
      <c r="I38" s="28">
        <v>0</v>
      </c>
      <c r="J38" s="28">
        <v>1</v>
      </c>
      <c r="K38" s="28">
        <v>1</v>
      </c>
      <c r="L38" s="28">
        <v>1</v>
      </c>
      <c r="M38" s="28">
        <v>1</v>
      </c>
      <c r="N38" s="28">
        <v>1</v>
      </c>
    </row>
    <row r="39" spans="1:27" ht="24">
      <c r="A39" s="28" t="s">
        <v>1006</v>
      </c>
      <c r="B39" s="506" t="s">
        <v>402</v>
      </c>
      <c r="C39" s="28">
        <v>0</v>
      </c>
      <c r="D39" s="28">
        <v>1</v>
      </c>
      <c r="E39" s="28">
        <v>2</v>
      </c>
      <c r="F39" s="28">
        <v>1</v>
      </c>
      <c r="G39" s="28">
        <v>0</v>
      </c>
      <c r="H39" s="28">
        <v>1</v>
      </c>
      <c r="I39" s="28">
        <v>0</v>
      </c>
      <c r="J39" s="28">
        <v>0</v>
      </c>
      <c r="K39" s="28">
        <v>0</v>
      </c>
      <c r="L39" s="28">
        <v>1</v>
      </c>
      <c r="M39" s="28">
        <v>1</v>
      </c>
      <c r="N39" s="28">
        <v>1</v>
      </c>
    </row>
  </sheetData>
  <pageMargins left="0.55118110236220474" right="0.55118110236220474" top="0.59055118110236227" bottom="0.78740157480314965" header="0.51181102362204722" footer="0.51181102362204722"/>
  <pageSetup paperSize="9" scale="39" orientation="landscape" r:id="rId1"/>
  <headerFooter alignWithMargins="0">
    <oddHeader>&amp;RResultados del Modelo de Reciclaje Inclusivo</oddHeader>
  </headerFooter>
</worksheet>
</file>

<file path=xl/worksheets/sheet44.xml><?xml version="1.0" encoding="utf-8"?>
<worksheet xmlns="http://schemas.openxmlformats.org/spreadsheetml/2006/main" xmlns:r="http://schemas.openxmlformats.org/officeDocument/2006/relationships">
  <sheetPr codeName="Sheet28">
    <tabColor rgb="FFFFC000"/>
    <pageSetUpPr fitToPage="1"/>
  </sheetPr>
  <dimension ref="A1:N39"/>
  <sheetViews>
    <sheetView showRowColHeaders="0" zoomScale="80" zoomScaleNormal="80" workbookViewId="0">
      <pane xSplit="2" ySplit="2" topLeftCell="C23" activePane="bottomRight" state="frozen"/>
      <selection pane="topRight" activeCell="C1" sqref="C1"/>
      <selection pane="bottomLeft" activeCell="A3" sqref="A3"/>
      <selection pane="bottomRight" activeCell="E23" sqref="E23:E24"/>
    </sheetView>
  </sheetViews>
  <sheetFormatPr defaultRowHeight="15"/>
  <cols>
    <col min="1" max="1" width="9.140625" style="28"/>
    <col min="2" max="2" width="35.28515625" style="28" customWidth="1"/>
    <col min="3" max="16384" width="9.140625" style="28"/>
  </cols>
  <sheetData>
    <row r="1" spans="1:14">
      <c r="C1" s="28">
        <v>1</v>
      </c>
      <c r="D1" s="28">
        <v>2</v>
      </c>
      <c r="E1" s="28">
        <v>3</v>
      </c>
      <c r="F1" s="28">
        <v>4</v>
      </c>
      <c r="G1" s="28">
        <v>6</v>
      </c>
      <c r="H1" s="28">
        <v>5</v>
      </c>
      <c r="I1" s="28">
        <v>7</v>
      </c>
      <c r="J1" s="28">
        <v>8</v>
      </c>
      <c r="K1" s="28">
        <v>9</v>
      </c>
      <c r="L1" s="28">
        <v>10</v>
      </c>
      <c r="M1" s="28">
        <v>11</v>
      </c>
      <c r="N1" s="28">
        <v>12</v>
      </c>
    </row>
    <row r="2" spans="1:14" ht="43.5" customHeight="1">
      <c r="B2" s="505" t="s">
        <v>968</v>
      </c>
      <c r="C2" s="404" t="s">
        <v>334</v>
      </c>
      <c r="D2" s="404" t="s">
        <v>335</v>
      </c>
      <c r="E2" s="404" t="s">
        <v>332</v>
      </c>
      <c r="F2" s="404" t="s">
        <v>333</v>
      </c>
      <c r="G2" s="404" t="s">
        <v>2252</v>
      </c>
      <c r="H2" s="404" t="s">
        <v>336</v>
      </c>
      <c r="I2" s="404" t="s">
        <v>337</v>
      </c>
      <c r="J2" s="404" t="s">
        <v>338</v>
      </c>
      <c r="K2" s="404" t="s">
        <v>339</v>
      </c>
      <c r="L2" s="404" t="s">
        <v>342</v>
      </c>
      <c r="M2" s="404" t="s">
        <v>340</v>
      </c>
      <c r="N2" s="752" t="s">
        <v>2702</v>
      </c>
    </row>
    <row r="3" spans="1:14" ht="64.5" customHeight="1">
      <c r="A3" s="28" t="s">
        <v>1007</v>
      </c>
      <c r="B3" s="506" t="s">
        <v>357</v>
      </c>
      <c r="C3" s="534" t="s">
        <v>2696</v>
      </c>
      <c r="D3" s="28" t="s">
        <v>2446</v>
      </c>
      <c r="E3" s="28" t="s">
        <v>1008</v>
      </c>
      <c r="F3" s="28" t="s">
        <v>1009</v>
      </c>
      <c r="G3" s="28" t="s">
        <v>810</v>
      </c>
      <c r="H3" s="28" t="s">
        <v>2447</v>
      </c>
      <c r="I3" s="28" t="s">
        <v>2448</v>
      </c>
      <c r="J3" s="28" t="s">
        <v>1010</v>
      </c>
      <c r="K3" s="28" t="s">
        <v>1011</v>
      </c>
      <c r="L3" s="28" t="s">
        <v>2449</v>
      </c>
      <c r="M3" s="28" t="s">
        <v>1012</v>
      </c>
      <c r="N3" s="28" t="s">
        <v>1013</v>
      </c>
    </row>
    <row r="4" spans="1:14" ht="48">
      <c r="A4" s="28" t="s">
        <v>1014</v>
      </c>
      <c r="B4" s="506" t="s">
        <v>358</v>
      </c>
      <c r="C4" s="28" t="s">
        <v>1015</v>
      </c>
      <c r="D4" s="28" t="s">
        <v>2450</v>
      </c>
      <c r="E4" s="28" t="s">
        <v>1016</v>
      </c>
      <c r="F4" s="28" t="s">
        <v>1017</v>
      </c>
      <c r="G4" s="28" t="s">
        <v>811</v>
      </c>
      <c r="H4" s="28" t="s">
        <v>1018</v>
      </c>
      <c r="I4" s="28" t="s">
        <v>2451</v>
      </c>
      <c r="J4" s="28" t="s">
        <v>1019</v>
      </c>
      <c r="K4" s="28" t="s">
        <v>1020</v>
      </c>
      <c r="L4" s="28" t="s">
        <v>2452</v>
      </c>
      <c r="M4" s="28" t="s">
        <v>2453</v>
      </c>
      <c r="N4" s="28" t="s">
        <v>2659</v>
      </c>
    </row>
    <row r="5" spans="1:14" ht="48">
      <c r="A5" s="28" t="s">
        <v>1021</v>
      </c>
      <c r="B5" s="506" t="s">
        <v>359</v>
      </c>
      <c r="C5" s="28" t="s">
        <v>1022</v>
      </c>
      <c r="D5" s="28" t="s">
        <v>1023</v>
      </c>
      <c r="E5" s="28" t="s">
        <v>1024</v>
      </c>
      <c r="F5" s="28" t="s">
        <v>1025</v>
      </c>
      <c r="G5" s="28" t="s">
        <v>1027</v>
      </c>
      <c r="H5" s="28" t="s">
        <v>1026</v>
      </c>
      <c r="I5" s="28" t="s">
        <v>1028</v>
      </c>
      <c r="J5" s="28" t="s">
        <v>1029</v>
      </c>
      <c r="K5" s="28" t="s">
        <v>1030</v>
      </c>
      <c r="L5" s="28" t="s">
        <v>2454</v>
      </c>
      <c r="M5" s="28" t="s">
        <v>2455</v>
      </c>
      <c r="N5" s="28" t="s">
        <v>1031</v>
      </c>
    </row>
    <row r="6" spans="1:14" ht="36">
      <c r="A6" s="28" t="s">
        <v>1032</v>
      </c>
      <c r="B6" s="507" t="s">
        <v>360</v>
      </c>
      <c r="C6" s="28" t="s">
        <v>1033</v>
      </c>
      <c r="D6" s="28" t="s">
        <v>2456</v>
      </c>
      <c r="E6" s="28" t="s">
        <v>1034</v>
      </c>
      <c r="F6" s="28" t="s">
        <v>1035</v>
      </c>
      <c r="G6" s="28" t="s">
        <v>1037</v>
      </c>
      <c r="H6" s="28" t="s">
        <v>1036</v>
      </c>
      <c r="I6" s="28" t="s">
        <v>2457</v>
      </c>
      <c r="J6" s="28" t="s">
        <v>2458</v>
      </c>
      <c r="K6" s="28" t="s">
        <v>2660</v>
      </c>
      <c r="L6" s="28" t="s">
        <v>1038</v>
      </c>
      <c r="M6" s="28" t="s">
        <v>2459</v>
      </c>
      <c r="N6" s="28" t="s">
        <v>1039</v>
      </c>
    </row>
    <row r="7" spans="1:14" ht="24">
      <c r="A7" s="28" t="s">
        <v>1040</v>
      </c>
      <c r="B7" s="506" t="s">
        <v>362</v>
      </c>
      <c r="C7" s="28" t="s">
        <v>1041</v>
      </c>
      <c r="D7" s="28" t="s">
        <v>1042</v>
      </c>
      <c r="E7" s="28" t="s">
        <v>2661</v>
      </c>
      <c r="F7" s="28" t="s">
        <v>1043</v>
      </c>
      <c r="G7" s="28" t="s">
        <v>1045</v>
      </c>
      <c r="H7" s="28" t="s">
        <v>1044</v>
      </c>
      <c r="I7" s="28" t="s">
        <v>1046</v>
      </c>
      <c r="J7" s="28" t="s">
        <v>1047</v>
      </c>
      <c r="K7" s="28" t="s">
        <v>2460</v>
      </c>
      <c r="L7" s="28" t="s">
        <v>1048</v>
      </c>
      <c r="M7" s="28" t="s">
        <v>2461</v>
      </c>
      <c r="N7" s="28" t="s">
        <v>1049</v>
      </c>
    </row>
    <row r="8" spans="1:14" ht="36">
      <c r="A8" s="28" t="s">
        <v>1050</v>
      </c>
      <c r="B8" s="506" t="s">
        <v>363</v>
      </c>
      <c r="C8" s="28" t="s">
        <v>1051</v>
      </c>
      <c r="D8" s="28" t="s">
        <v>1052</v>
      </c>
      <c r="E8" s="28" t="s">
        <v>1053</v>
      </c>
      <c r="F8" s="28" t="s">
        <v>1054</v>
      </c>
      <c r="G8" s="28" t="s">
        <v>1056</v>
      </c>
      <c r="H8" s="28" t="s">
        <v>1055</v>
      </c>
      <c r="I8" s="28" t="s">
        <v>2462</v>
      </c>
      <c r="J8" s="28" t="s">
        <v>2463</v>
      </c>
      <c r="K8" s="28" t="s">
        <v>1057</v>
      </c>
      <c r="L8" s="28" t="s">
        <v>1058</v>
      </c>
      <c r="M8" s="28" t="s">
        <v>2464</v>
      </c>
      <c r="N8" s="28" t="s">
        <v>1059</v>
      </c>
    </row>
    <row r="9" spans="1:14" ht="36">
      <c r="A9" s="28" t="s">
        <v>1060</v>
      </c>
      <c r="B9" s="506" t="s">
        <v>364</v>
      </c>
      <c r="C9" s="28" t="s">
        <v>1061</v>
      </c>
      <c r="D9" s="28" t="s">
        <v>2465</v>
      </c>
      <c r="E9" s="28" t="s">
        <v>1062</v>
      </c>
      <c r="F9" s="28" t="s">
        <v>1063</v>
      </c>
      <c r="G9" s="28" t="s">
        <v>780</v>
      </c>
      <c r="H9" s="28" t="s">
        <v>1064</v>
      </c>
      <c r="I9" s="28" t="s">
        <v>1065</v>
      </c>
      <c r="J9" s="28" t="s">
        <v>1066</v>
      </c>
      <c r="K9" s="28" t="s">
        <v>1067</v>
      </c>
      <c r="L9" s="28" t="s">
        <v>1068</v>
      </c>
      <c r="M9" s="28" t="s">
        <v>2466</v>
      </c>
      <c r="N9" s="28" t="s">
        <v>1069</v>
      </c>
    </row>
    <row r="10" spans="1:14" ht="36">
      <c r="A10" s="28" t="s">
        <v>1070</v>
      </c>
      <c r="B10" s="506" t="s">
        <v>365</v>
      </c>
      <c r="C10" s="28" t="s">
        <v>1071</v>
      </c>
      <c r="D10" s="28" t="s">
        <v>2467</v>
      </c>
      <c r="E10" s="28" t="s">
        <v>1072</v>
      </c>
      <c r="F10" s="28" t="s">
        <v>1073</v>
      </c>
      <c r="G10" s="28" t="s">
        <v>1075</v>
      </c>
      <c r="H10" s="28" t="s">
        <v>1074</v>
      </c>
      <c r="I10" s="28" t="s">
        <v>1076</v>
      </c>
      <c r="J10" s="28" t="s">
        <v>1077</v>
      </c>
      <c r="K10" s="28" t="s">
        <v>1078</v>
      </c>
      <c r="L10" s="28" t="s">
        <v>2468</v>
      </c>
      <c r="M10" s="28" t="s">
        <v>2469</v>
      </c>
      <c r="N10" s="28" t="s">
        <v>1079</v>
      </c>
    </row>
    <row r="11" spans="1:14" ht="36">
      <c r="A11" s="28" t="s">
        <v>1080</v>
      </c>
      <c r="B11" s="506" t="s">
        <v>366</v>
      </c>
      <c r="C11" s="28" t="s">
        <v>1081</v>
      </c>
      <c r="D11" s="28" t="s">
        <v>1082</v>
      </c>
      <c r="E11" s="28" t="s">
        <v>1083</v>
      </c>
      <c r="F11" s="28" t="s">
        <v>1084</v>
      </c>
      <c r="G11" s="28" t="s">
        <v>1086</v>
      </c>
      <c r="H11" s="28" t="s">
        <v>1085</v>
      </c>
      <c r="I11" s="28" t="s">
        <v>2470</v>
      </c>
      <c r="J11" s="28" t="s">
        <v>1087</v>
      </c>
      <c r="K11" s="28" t="s">
        <v>1088</v>
      </c>
      <c r="L11" s="28" t="s">
        <v>1089</v>
      </c>
      <c r="M11" s="28" t="s">
        <v>2471</v>
      </c>
      <c r="N11" s="28" t="s">
        <v>1090</v>
      </c>
    </row>
    <row r="12" spans="1:14" ht="24">
      <c r="A12" s="28" t="s">
        <v>1091</v>
      </c>
      <c r="B12" s="506" t="s">
        <v>367</v>
      </c>
      <c r="C12" s="28" t="s">
        <v>1092</v>
      </c>
      <c r="D12" s="28" t="s">
        <v>1093</v>
      </c>
      <c r="E12" s="28" t="s">
        <v>1094</v>
      </c>
      <c r="F12" s="28" t="s">
        <v>1095</v>
      </c>
      <c r="G12" s="28" t="s">
        <v>1097</v>
      </c>
      <c r="H12" s="28" t="s">
        <v>1096</v>
      </c>
      <c r="I12" s="28" t="s">
        <v>1098</v>
      </c>
      <c r="J12" s="28" t="s">
        <v>1099</v>
      </c>
      <c r="K12" s="28" t="s">
        <v>2472</v>
      </c>
      <c r="L12" s="28" t="s">
        <v>2473</v>
      </c>
      <c r="M12" s="28" t="s">
        <v>2474</v>
      </c>
      <c r="N12" s="28" t="s">
        <v>1100</v>
      </c>
    </row>
    <row r="13" spans="1:14" ht="48">
      <c r="A13" s="28" t="s">
        <v>1101</v>
      </c>
      <c r="B13" s="506" t="s">
        <v>368</v>
      </c>
      <c r="C13" s="28" t="s">
        <v>1102</v>
      </c>
      <c r="D13" s="28" t="s">
        <v>1103</v>
      </c>
      <c r="E13" s="28" t="s">
        <v>1104</v>
      </c>
      <c r="F13" s="28" t="s">
        <v>1105</v>
      </c>
      <c r="G13" s="28" t="s">
        <v>1106</v>
      </c>
      <c r="H13" s="28" t="s">
        <v>2475</v>
      </c>
      <c r="I13" s="28" t="s">
        <v>1107</v>
      </c>
      <c r="J13" s="28" t="s">
        <v>1108</v>
      </c>
      <c r="K13" s="28" t="s">
        <v>1109</v>
      </c>
      <c r="L13" s="28" t="s">
        <v>1110</v>
      </c>
      <c r="M13" s="28" t="s">
        <v>2476</v>
      </c>
      <c r="N13" s="28" t="s">
        <v>1111</v>
      </c>
    </row>
    <row r="14" spans="1:14" ht="24">
      <c r="A14" s="28" t="s">
        <v>1112</v>
      </c>
      <c r="B14" s="506" t="s">
        <v>369</v>
      </c>
      <c r="C14" s="28" t="s">
        <v>1113</v>
      </c>
      <c r="D14" s="28" t="s">
        <v>1114</v>
      </c>
      <c r="E14" s="28" t="s">
        <v>1115</v>
      </c>
      <c r="F14" s="28" t="s">
        <v>1116</v>
      </c>
      <c r="G14" s="28" t="s">
        <v>2477</v>
      </c>
      <c r="H14" s="28" t="s">
        <v>1117</v>
      </c>
      <c r="I14" s="28" t="s">
        <v>1118</v>
      </c>
      <c r="J14" s="28" t="s">
        <v>1119</v>
      </c>
      <c r="K14" s="28" t="s">
        <v>1120</v>
      </c>
      <c r="L14" s="28" t="s">
        <v>2478</v>
      </c>
      <c r="M14" s="28" t="s">
        <v>2479</v>
      </c>
      <c r="N14" s="28" t="s">
        <v>1121</v>
      </c>
    </row>
    <row r="15" spans="1:14" ht="36">
      <c r="A15" s="28" t="s">
        <v>1122</v>
      </c>
      <c r="B15" s="506" t="s">
        <v>371</v>
      </c>
      <c r="C15" s="28" t="s">
        <v>1123</v>
      </c>
      <c r="D15" s="28" t="s">
        <v>2480</v>
      </c>
      <c r="E15" s="28" t="s">
        <v>1124</v>
      </c>
      <c r="F15" s="28" t="s">
        <v>1125</v>
      </c>
      <c r="G15" s="28" t="s">
        <v>1127</v>
      </c>
      <c r="H15" s="28" t="s">
        <v>1126</v>
      </c>
      <c r="I15" s="28" t="s">
        <v>2481</v>
      </c>
      <c r="J15" s="28" t="s">
        <v>2482</v>
      </c>
      <c r="K15" s="28" t="s">
        <v>2483</v>
      </c>
      <c r="L15" s="28" t="s">
        <v>1128</v>
      </c>
      <c r="M15" s="28" t="s">
        <v>2484</v>
      </c>
      <c r="N15" s="28" t="s">
        <v>2662</v>
      </c>
    </row>
    <row r="16" spans="1:14" ht="36">
      <c r="A16" s="28" t="s">
        <v>1129</v>
      </c>
      <c r="B16" s="506" t="s">
        <v>372</v>
      </c>
      <c r="C16" s="28" t="s">
        <v>1130</v>
      </c>
      <c r="D16" s="28" t="s">
        <v>2485</v>
      </c>
      <c r="E16" s="28" t="s">
        <v>2486</v>
      </c>
      <c r="F16" s="28" t="s">
        <v>1131</v>
      </c>
      <c r="G16" s="28" t="s">
        <v>1133</v>
      </c>
      <c r="H16" s="28" t="s">
        <v>1132</v>
      </c>
      <c r="I16" s="28" t="s">
        <v>1134</v>
      </c>
      <c r="J16" s="28" t="s">
        <v>2487</v>
      </c>
      <c r="K16" s="28" t="s">
        <v>1135</v>
      </c>
      <c r="L16" s="28" t="s">
        <v>1136</v>
      </c>
      <c r="M16" s="28" t="s">
        <v>1137</v>
      </c>
      <c r="N16" s="28" t="s">
        <v>1138</v>
      </c>
    </row>
    <row r="17" spans="1:14" ht="36">
      <c r="A17" s="28" t="s">
        <v>1139</v>
      </c>
      <c r="B17" s="506" t="s">
        <v>374</v>
      </c>
      <c r="C17" s="28" t="s">
        <v>1140</v>
      </c>
      <c r="D17" s="28" t="s">
        <v>2488</v>
      </c>
      <c r="E17" s="28" t="s">
        <v>1141</v>
      </c>
      <c r="F17" s="28" t="s">
        <v>1142</v>
      </c>
      <c r="G17" s="28" t="s">
        <v>1144</v>
      </c>
      <c r="H17" s="28" t="s">
        <v>1143</v>
      </c>
      <c r="I17" s="28" t="s">
        <v>1145</v>
      </c>
      <c r="J17" s="28" t="s">
        <v>1146</v>
      </c>
      <c r="K17" s="28" t="s">
        <v>1147</v>
      </c>
      <c r="L17" s="28" t="s">
        <v>1148</v>
      </c>
      <c r="M17" s="28" t="s">
        <v>1149</v>
      </c>
      <c r="N17" s="28" t="s">
        <v>1150</v>
      </c>
    </row>
    <row r="18" spans="1:14" ht="24">
      <c r="A18" s="28" t="s">
        <v>1151</v>
      </c>
      <c r="B18" s="506" t="s">
        <v>376</v>
      </c>
      <c r="C18" s="28" t="s">
        <v>1152</v>
      </c>
      <c r="D18" s="28" t="s">
        <v>2489</v>
      </c>
      <c r="E18" s="28" t="s">
        <v>1153</v>
      </c>
      <c r="F18" s="28" t="s">
        <v>1154</v>
      </c>
      <c r="G18" s="28" t="s">
        <v>1155</v>
      </c>
      <c r="H18" s="28" t="s">
        <v>2490</v>
      </c>
      <c r="I18" s="28" t="s">
        <v>2491</v>
      </c>
      <c r="J18" s="28" t="s">
        <v>2492</v>
      </c>
      <c r="K18" s="28" t="s">
        <v>1156</v>
      </c>
      <c r="L18" s="28" t="s">
        <v>1157</v>
      </c>
      <c r="M18" s="28" t="s">
        <v>2493</v>
      </c>
      <c r="N18" s="28" t="s">
        <v>1158</v>
      </c>
    </row>
    <row r="19" spans="1:14" ht="24">
      <c r="A19" s="28" t="s">
        <v>1159</v>
      </c>
      <c r="B19" s="507" t="s">
        <v>377</v>
      </c>
      <c r="C19" s="28" t="s">
        <v>1160</v>
      </c>
      <c r="D19" s="28" t="s">
        <v>2494</v>
      </c>
      <c r="E19" s="28" t="s">
        <v>1161</v>
      </c>
      <c r="F19" s="28" t="s">
        <v>1162</v>
      </c>
      <c r="G19" s="28" t="s">
        <v>1164</v>
      </c>
      <c r="H19" s="28" t="s">
        <v>1163</v>
      </c>
      <c r="I19" s="28" t="s">
        <v>2495</v>
      </c>
      <c r="J19" s="28" t="s">
        <v>1165</v>
      </c>
      <c r="K19" s="28" t="s">
        <v>1166</v>
      </c>
      <c r="L19" s="28" t="s">
        <v>1167</v>
      </c>
      <c r="M19" s="28" t="s">
        <v>2496</v>
      </c>
      <c r="N19" s="28" t="s">
        <v>1168</v>
      </c>
    </row>
    <row r="20" spans="1:14" ht="36">
      <c r="A20" s="28" t="s">
        <v>1169</v>
      </c>
      <c r="B20" s="506" t="s">
        <v>378</v>
      </c>
      <c r="C20" s="28" t="s">
        <v>1170</v>
      </c>
      <c r="D20" s="28" t="s">
        <v>2497</v>
      </c>
      <c r="E20" s="28" t="s">
        <v>1171</v>
      </c>
      <c r="F20" s="28" t="s">
        <v>1162</v>
      </c>
      <c r="G20" s="28" t="s">
        <v>2663</v>
      </c>
      <c r="H20" s="28" t="s">
        <v>1172</v>
      </c>
      <c r="I20" s="28" t="s">
        <v>1173</v>
      </c>
      <c r="J20" s="28" t="s">
        <v>1174</v>
      </c>
      <c r="K20" s="28" t="s">
        <v>1175</v>
      </c>
      <c r="L20" s="28" t="s">
        <v>2498</v>
      </c>
      <c r="M20" s="28" t="s">
        <v>2499</v>
      </c>
      <c r="N20" s="28" t="s">
        <v>1176</v>
      </c>
    </row>
    <row r="21" spans="1:14" ht="36">
      <c r="A21" s="28" t="s">
        <v>1177</v>
      </c>
      <c r="B21" s="506" t="s">
        <v>379</v>
      </c>
      <c r="C21" s="28" t="s">
        <v>1178</v>
      </c>
      <c r="D21" s="28" t="s">
        <v>2500</v>
      </c>
      <c r="E21" s="28" t="s">
        <v>1179</v>
      </c>
      <c r="F21" s="28" t="s">
        <v>1180</v>
      </c>
      <c r="G21" s="28" t="s">
        <v>1182</v>
      </c>
      <c r="H21" s="28" t="s">
        <v>1181</v>
      </c>
      <c r="I21" s="28" t="s">
        <v>1183</v>
      </c>
      <c r="J21" s="28" t="s">
        <v>1184</v>
      </c>
      <c r="K21" s="28" t="s">
        <v>1185</v>
      </c>
      <c r="L21" s="28" t="s">
        <v>2501</v>
      </c>
      <c r="M21" s="28" t="s">
        <v>1186</v>
      </c>
      <c r="N21" s="28" t="s">
        <v>2664</v>
      </c>
    </row>
    <row r="22" spans="1:14" ht="24">
      <c r="A22" s="28" t="s">
        <v>1187</v>
      </c>
      <c r="B22" s="506" t="s">
        <v>380</v>
      </c>
      <c r="C22" s="28" t="s">
        <v>1188</v>
      </c>
      <c r="D22" s="28" t="s">
        <v>2502</v>
      </c>
      <c r="E22" s="28" t="s">
        <v>1189</v>
      </c>
      <c r="F22" s="28" t="s">
        <v>1190</v>
      </c>
      <c r="G22" s="28" t="s">
        <v>2503</v>
      </c>
      <c r="H22" s="28" t="s">
        <v>1191</v>
      </c>
      <c r="I22" s="28" t="s">
        <v>1192</v>
      </c>
      <c r="J22" s="28" t="s">
        <v>2504</v>
      </c>
      <c r="K22" s="28" t="s">
        <v>1193</v>
      </c>
      <c r="L22" s="28" t="s">
        <v>2505</v>
      </c>
      <c r="M22" s="28" t="s">
        <v>2506</v>
      </c>
      <c r="N22" s="28" t="s">
        <v>2665</v>
      </c>
    </row>
    <row r="23" spans="1:14" ht="54" customHeight="1">
      <c r="A23" s="28" t="s">
        <v>1194</v>
      </c>
      <c r="B23" s="506" t="s">
        <v>382</v>
      </c>
      <c r="C23" s="28" t="s">
        <v>1195</v>
      </c>
      <c r="D23" s="28" t="s">
        <v>1196</v>
      </c>
      <c r="E23" s="756" t="s">
        <v>2706</v>
      </c>
      <c r="F23" s="28" t="s">
        <v>1197</v>
      </c>
      <c r="G23" s="28" t="s">
        <v>1199</v>
      </c>
      <c r="H23" s="28" t="s">
        <v>1198</v>
      </c>
      <c r="I23" s="28" t="s">
        <v>1200</v>
      </c>
      <c r="J23" s="28" t="s">
        <v>1201</v>
      </c>
      <c r="K23" s="28" t="s">
        <v>1202</v>
      </c>
      <c r="L23" s="28" t="s">
        <v>1203</v>
      </c>
      <c r="M23" s="753" t="s">
        <v>2704</v>
      </c>
      <c r="N23" s="28" t="s">
        <v>1204</v>
      </c>
    </row>
    <row r="24" spans="1:14" ht="54" customHeight="1">
      <c r="A24" s="28" t="s">
        <v>1205</v>
      </c>
      <c r="B24" s="506" t="s">
        <v>383</v>
      </c>
      <c r="C24" s="28" t="s">
        <v>1206</v>
      </c>
      <c r="D24" s="28" t="s">
        <v>1207</v>
      </c>
      <c r="E24" s="756" t="s">
        <v>2707</v>
      </c>
      <c r="F24" s="28" t="s">
        <v>1208</v>
      </c>
      <c r="G24" s="28" t="s">
        <v>1210</v>
      </c>
      <c r="H24" s="28" t="s">
        <v>1209</v>
      </c>
      <c r="I24" s="28" t="s">
        <v>1211</v>
      </c>
      <c r="J24" s="28" t="s">
        <v>2507</v>
      </c>
      <c r="K24" s="28" t="s">
        <v>1212</v>
      </c>
      <c r="L24" s="28" t="s">
        <v>1213</v>
      </c>
      <c r="M24" s="753" t="s">
        <v>2705</v>
      </c>
      <c r="N24" s="28" t="s">
        <v>1214</v>
      </c>
    </row>
    <row r="25" spans="1:14" ht="36">
      <c r="A25" s="28" t="s">
        <v>1215</v>
      </c>
      <c r="B25" s="506" t="s">
        <v>384</v>
      </c>
      <c r="C25" s="28" t="s">
        <v>1216</v>
      </c>
      <c r="D25" s="28" t="s">
        <v>2508</v>
      </c>
      <c r="E25" s="28" t="s">
        <v>1217</v>
      </c>
      <c r="F25" s="28" t="s">
        <v>1218</v>
      </c>
      <c r="G25" s="28" t="s">
        <v>1220</v>
      </c>
      <c r="H25" s="28" t="s">
        <v>1219</v>
      </c>
      <c r="I25" s="28" t="s">
        <v>1221</v>
      </c>
      <c r="J25" s="28" t="s">
        <v>2509</v>
      </c>
      <c r="K25" s="28" t="s">
        <v>1222</v>
      </c>
      <c r="L25" s="28" t="s">
        <v>1223</v>
      </c>
      <c r="M25" s="28" t="s">
        <v>2510</v>
      </c>
      <c r="N25" s="28" t="s">
        <v>1224</v>
      </c>
    </row>
    <row r="26" spans="1:14" ht="24">
      <c r="A26" s="28" t="s">
        <v>1225</v>
      </c>
      <c r="B26" s="506" t="s">
        <v>386</v>
      </c>
      <c r="C26" s="28" t="s">
        <v>1226</v>
      </c>
      <c r="D26" s="28" t="s">
        <v>2511</v>
      </c>
      <c r="E26" s="28" t="s">
        <v>1227</v>
      </c>
      <c r="F26" s="28" t="s">
        <v>1228</v>
      </c>
      <c r="G26" s="28" t="s">
        <v>1230</v>
      </c>
      <c r="H26" s="28" t="s">
        <v>1229</v>
      </c>
      <c r="I26" s="28" t="s">
        <v>1231</v>
      </c>
      <c r="J26" s="28" t="s">
        <v>1232</v>
      </c>
      <c r="K26" s="28" t="s">
        <v>1233</v>
      </c>
      <c r="L26" s="28" t="s">
        <v>1234</v>
      </c>
      <c r="M26" s="28" t="s">
        <v>1235</v>
      </c>
      <c r="N26" s="28" t="s">
        <v>1236</v>
      </c>
    </row>
    <row r="27" spans="1:14" ht="48">
      <c r="A27" s="28" t="s">
        <v>1237</v>
      </c>
      <c r="B27" s="506" t="s">
        <v>387</v>
      </c>
      <c r="C27" s="28" t="s">
        <v>1238</v>
      </c>
      <c r="D27" s="28" t="s">
        <v>2512</v>
      </c>
      <c r="E27" s="28" t="s">
        <v>1239</v>
      </c>
      <c r="F27" s="28" t="s">
        <v>1240</v>
      </c>
      <c r="G27" s="28" t="s">
        <v>1242</v>
      </c>
      <c r="H27" s="28" t="s">
        <v>1241</v>
      </c>
      <c r="I27" s="28" t="s">
        <v>1243</v>
      </c>
      <c r="J27" s="28" t="s">
        <v>1244</v>
      </c>
      <c r="K27" s="28" t="s">
        <v>1245</v>
      </c>
      <c r="L27" s="28" t="s">
        <v>2513</v>
      </c>
      <c r="M27" s="28" t="s">
        <v>2514</v>
      </c>
      <c r="N27" s="28" t="s">
        <v>1246</v>
      </c>
    </row>
    <row r="28" spans="1:14" ht="36">
      <c r="A28" s="28" t="s">
        <v>1247</v>
      </c>
      <c r="B28" s="506" t="s">
        <v>388</v>
      </c>
      <c r="C28" s="28" t="s">
        <v>1248</v>
      </c>
      <c r="D28" s="28" t="s">
        <v>2515</v>
      </c>
      <c r="E28" s="28" t="s">
        <v>1249</v>
      </c>
      <c r="F28" s="28" t="s">
        <v>1250</v>
      </c>
      <c r="G28" s="28" t="s">
        <v>1252</v>
      </c>
      <c r="H28" s="28" t="s">
        <v>1251</v>
      </c>
      <c r="I28" s="28" t="s">
        <v>1253</v>
      </c>
      <c r="J28" s="28" t="s">
        <v>1254</v>
      </c>
      <c r="K28" s="28" t="s">
        <v>1255</v>
      </c>
      <c r="L28" s="28" t="s">
        <v>1256</v>
      </c>
      <c r="M28" s="28" t="s">
        <v>1257</v>
      </c>
      <c r="N28" s="28" t="s">
        <v>1258</v>
      </c>
    </row>
    <row r="29" spans="1:14" ht="60">
      <c r="A29" s="28" t="s">
        <v>1259</v>
      </c>
      <c r="B29" s="506" t="s">
        <v>389</v>
      </c>
      <c r="C29" s="28" t="s">
        <v>1260</v>
      </c>
      <c r="D29" s="28" t="s">
        <v>2516</v>
      </c>
      <c r="E29" s="28" t="s">
        <v>1261</v>
      </c>
      <c r="F29" s="28" t="s">
        <v>1262</v>
      </c>
      <c r="G29" s="28" t="s">
        <v>1264</v>
      </c>
      <c r="H29" s="28" t="s">
        <v>1263</v>
      </c>
      <c r="I29" s="28" t="s">
        <v>1265</v>
      </c>
      <c r="J29" s="28" t="s">
        <v>2517</v>
      </c>
      <c r="K29" s="28" t="s">
        <v>1266</v>
      </c>
      <c r="L29" s="28" t="s">
        <v>1267</v>
      </c>
      <c r="M29" s="28" t="s">
        <v>1268</v>
      </c>
      <c r="N29" s="28" t="s">
        <v>1269</v>
      </c>
    </row>
    <row r="30" spans="1:14" ht="409.5">
      <c r="A30" s="28" t="s">
        <v>1270</v>
      </c>
      <c r="B30" s="507" t="s">
        <v>391</v>
      </c>
      <c r="C30" s="28" t="s">
        <v>1271</v>
      </c>
      <c r="D30" s="534" t="s">
        <v>2701</v>
      </c>
      <c r="E30" s="28" t="s">
        <v>1272</v>
      </c>
      <c r="F30" s="28" t="s">
        <v>1273</v>
      </c>
      <c r="G30" s="28" t="s">
        <v>1275</v>
      </c>
      <c r="H30" s="28" t="s">
        <v>1274</v>
      </c>
      <c r="I30" s="28" t="s">
        <v>1276</v>
      </c>
      <c r="J30" s="28" t="s">
        <v>1277</v>
      </c>
      <c r="K30" s="28" t="s">
        <v>1278</v>
      </c>
      <c r="L30" s="28" t="s">
        <v>1279</v>
      </c>
      <c r="M30" s="28" t="s">
        <v>1280</v>
      </c>
      <c r="N30" s="28" t="s">
        <v>1281</v>
      </c>
    </row>
    <row r="31" spans="1:14" ht="36">
      <c r="A31" s="28" t="s">
        <v>1282</v>
      </c>
      <c r="B31" s="506" t="s">
        <v>392</v>
      </c>
      <c r="C31" s="28" t="s">
        <v>1283</v>
      </c>
      <c r="D31" s="28" t="s">
        <v>1284</v>
      </c>
      <c r="E31" s="28" t="s">
        <v>1285</v>
      </c>
      <c r="F31" s="28" t="s">
        <v>1286</v>
      </c>
      <c r="G31" s="28" t="s">
        <v>1288</v>
      </c>
      <c r="H31" s="28" t="s">
        <v>1287</v>
      </c>
      <c r="I31" s="28" t="s">
        <v>2666</v>
      </c>
      <c r="J31" s="28" t="s">
        <v>2518</v>
      </c>
      <c r="K31" s="28" t="s">
        <v>1289</v>
      </c>
      <c r="L31" s="28" t="s">
        <v>1290</v>
      </c>
      <c r="M31" s="28" t="s">
        <v>1291</v>
      </c>
      <c r="N31" s="28" t="s">
        <v>1292</v>
      </c>
    </row>
    <row r="32" spans="1:14" ht="48">
      <c r="A32" s="28" t="s">
        <v>1293</v>
      </c>
      <c r="B32" s="506" t="s">
        <v>394</v>
      </c>
      <c r="C32" s="28" t="s">
        <v>1294</v>
      </c>
      <c r="D32" s="28" t="s">
        <v>1295</v>
      </c>
      <c r="E32" s="28" t="s">
        <v>1296</v>
      </c>
      <c r="F32" s="28" t="s">
        <v>2667</v>
      </c>
      <c r="G32" s="28" t="s">
        <v>1298</v>
      </c>
      <c r="H32" s="28" t="s">
        <v>1297</v>
      </c>
      <c r="I32" s="28" t="s">
        <v>2519</v>
      </c>
      <c r="J32" s="28" t="s">
        <v>1299</v>
      </c>
      <c r="K32" s="28" t="s">
        <v>1300</v>
      </c>
      <c r="L32" s="28" t="s">
        <v>1301</v>
      </c>
      <c r="M32" s="28" t="s">
        <v>2520</v>
      </c>
      <c r="N32" s="28" t="s">
        <v>1302</v>
      </c>
    </row>
    <row r="33" spans="1:14" ht="36">
      <c r="A33" s="28" t="s">
        <v>1303</v>
      </c>
      <c r="B33" s="506" t="s">
        <v>395</v>
      </c>
      <c r="C33" s="28" t="s">
        <v>2668</v>
      </c>
      <c r="D33" s="28" t="s">
        <v>1304</v>
      </c>
      <c r="E33" s="28" t="s">
        <v>1305</v>
      </c>
      <c r="F33" s="28" t="s">
        <v>1306</v>
      </c>
      <c r="G33" s="28" t="s">
        <v>1308</v>
      </c>
      <c r="H33" s="28" t="s">
        <v>1307</v>
      </c>
      <c r="I33" s="28" t="s">
        <v>2521</v>
      </c>
      <c r="J33" s="28" t="s">
        <v>1309</v>
      </c>
      <c r="K33" s="28" t="s">
        <v>1310</v>
      </c>
      <c r="L33" s="28" t="s">
        <v>2522</v>
      </c>
      <c r="M33" s="28" t="s">
        <v>2523</v>
      </c>
      <c r="N33" s="28" t="s">
        <v>1311</v>
      </c>
    </row>
    <row r="34" spans="1:14" ht="36">
      <c r="A34" s="28" t="s">
        <v>1312</v>
      </c>
      <c r="B34" s="506" t="s">
        <v>396</v>
      </c>
      <c r="C34" s="28" t="s">
        <v>1313</v>
      </c>
      <c r="D34" s="28" t="s">
        <v>1314</v>
      </c>
      <c r="E34" s="28" t="s">
        <v>1315</v>
      </c>
      <c r="F34" s="28" t="s">
        <v>1316</v>
      </c>
      <c r="G34" s="28" t="s">
        <v>1318</v>
      </c>
      <c r="H34" s="28" t="s">
        <v>1317</v>
      </c>
      <c r="I34" s="28" t="s">
        <v>2524</v>
      </c>
      <c r="J34" s="28" t="s">
        <v>1319</v>
      </c>
      <c r="K34" s="28" t="s">
        <v>1320</v>
      </c>
      <c r="L34" s="28" t="s">
        <v>2525</v>
      </c>
      <c r="M34" s="28" t="s">
        <v>2526</v>
      </c>
      <c r="N34" s="28" t="s">
        <v>1321</v>
      </c>
    </row>
    <row r="35" spans="1:14" ht="24">
      <c r="A35" s="28" t="s">
        <v>1322</v>
      </c>
      <c r="B35" s="506" t="s">
        <v>397</v>
      </c>
      <c r="C35" s="28" t="s">
        <v>1323</v>
      </c>
      <c r="D35" s="28" t="s">
        <v>2527</v>
      </c>
      <c r="E35" s="28" t="s">
        <v>1324</v>
      </c>
      <c r="F35" s="28" t="s">
        <v>1325</v>
      </c>
      <c r="G35" s="28" t="s">
        <v>1327</v>
      </c>
      <c r="H35" s="28" t="s">
        <v>1326</v>
      </c>
      <c r="I35" s="28" t="s">
        <v>1328</v>
      </c>
      <c r="J35" s="28" t="s">
        <v>2528</v>
      </c>
      <c r="K35" s="28" t="s">
        <v>1329</v>
      </c>
      <c r="L35" s="28" t="s">
        <v>2529</v>
      </c>
      <c r="M35" s="28" t="s">
        <v>1330</v>
      </c>
      <c r="N35" s="28" t="s">
        <v>1331</v>
      </c>
    </row>
    <row r="36" spans="1:14" ht="24">
      <c r="A36" s="28" t="s">
        <v>1332</v>
      </c>
      <c r="B36" s="506" t="s">
        <v>399</v>
      </c>
      <c r="C36" s="28" t="s">
        <v>1333</v>
      </c>
      <c r="D36" s="28" t="s">
        <v>1334</v>
      </c>
      <c r="E36" s="28" t="s">
        <v>1335</v>
      </c>
      <c r="F36" s="28" t="s">
        <v>1336</v>
      </c>
      <c r="G36" s="28" t="s">
        <v>1338</v>
      </c>
      <c r="H36" s="28" t="s">
        <v>1337</v>
      </c>
      <c r="I36" s="28" t="s">
        <v>2530</v>
      </c>
      <c r="J36" s="28" t="s">
        <v>1339</v>
      </c>
      <c r="K36" s="28" t="s">
        <v>1340</v>
      </c>
      <c r="L36" s="28" t="s">
        <v>2531</v>
      </c>
      <c r="M36" s="28" t="s">
        <v>1341</v>
      </c>
      <c r="N36" s="28" t="s">
        <v>1342</v>
      </c>
    </row>
    <row r="37" spans="1:14" ht="24">
      <c r="A37" s="28" t="s">
        <v>1343</v>
      </c>
      <c r="B37" s="506" t="s">
        <v>400</v>
      </c>
      <c r="C37" s="28" t="s">
        <v>1344</v>
      </c>
      <c r="D37" s="28" t="s">
        <v>2532</v>
      </c>
      <c r="E37" s="28" t="s">
        <v>1345</v>
      </c>
      <c r="F37" s="28" t="s">
        <v>1346</v>
      </c>
      <c r="G37" s="28" t="s">
        <v>1348</v>
      </c>
      <c r="H37" s="28" t="s">
        <v>1347</v>
      </c>
      <c r="I37" s="28" t="s">
        <v>2533</v>
      </c>
      <c r="J37" s="28" t="s">
        <v>1349</v>
      </c>
      <c r="K37" s="28" t="s">
        <v>1350</v>
      </c>
      <c r="L37" s="28" t="s">
        <v>1351</v>
      </c>
      <c r="M37" s="28" t="s">
        <v>1352</v>
      </c>
      <c r="N37" s="28" t="s">
        <v>1353</v>
      </c>
    </row>
    <row r="38" spans="1:14" ht="24">
      <c r="A38" s="28" t="s">
        <v>1354</v>
      </c>
      <c r="B38" s="506" t="s">
        <v>401</v>
      </c>
      <c r="C38" s="28" t="s">
        <v>2534</v>
      </c>
      <c r="D38" s="28" t="s">
        <v>2535</v>
      </c>
      <c r="E38" s="28" t="s">
        <v>1355</v>
      </c>
      <c r="F38" s="28" t="s">
        <v>1356</v>
      </c>
      <c r="G38" s="28" t="s">
        <v>1358</v>
      </c>
      <c r="H38" s="28" t="s">
        <v>1357</v>
      </c>
      <c r="I38" s="28" t="s">
        <v>1359</v>
      </c>
      <c r="J38" s="28" t="s">
        <v>2536</v>
      </c>
      <c r="K38" s="28" t="s">
        <v>1360</v>
      </c>
      <c r="L38" s="28" t="s">
        <v>1361</v>
      </c>
      <c r="M38" s="28" t="s">
        <v>2537</v>
      </c>
      <c r="N38" s="28" t="s">
        <v>1362</v>
      </c>
    </row>
    <row r="39" spans="1:14" ht="24">
      <c r="A39" s="28" t="s">
        <v>1363</v>
      </c>
      <c r="B39" s="506" t="s">
        <v>402</v>
      </c>
      <c r="C39" s="28" t="s">
        <v>1364</v>
      </c>
      <c r="D39" s="28" t="s">
        <v>2538</v>
      </c>
      <c r="E39" s="28" t="s">
        <v>1365</v>
      </c>
      <c r="F39" s="28" t="s">
        <v>1366</v>
      </c>
      <c r="G39" s="28" t="s">
        <v>1368</v>
      </c>
      <c r="H39" s="28" t="s">
        <v>1367</v>
      </c>
      <c r="I39" s="28" t="s">
        <v>1369</v>
      </c>
      <c r="J39" s="28" t="s">
        <v>1370</v>
      </c>
      <c r="K39" s="28" t="s">
        <v>1371</v>
      </c>
      <c r="L39" s="28" t="s">
        <v>2539</v>
      </c>
      <c r="M39" s="28" t="s">
        <v>2540</v>
      </c>
      <c r="N39" s="28" t="s">
        <v>1372</v>
      </c>
    </row>
  </sheetData>
  <pageMargins left="0.55118110236220474" right="0.55118110236220474" top="0.59055118110236227" bottom="0.78740157480314965" header="0.51181102362204722" footer="0.51181102362204722"/>
  <pageSetup paperSize="9" scale="13" orientation="landscape" r:id="rId1"/>
  <headerFooter alignWithMargins="0">
    <oddHeader>&amp;RResultados del Modelo de Reciclaje Inclusivo</oddHeader>
  </headerFooter>
</worksheet>
</file>

<file path=xl/worksheets/sheet45.xml><?xml version="1.0" encoding="utf-8"?>
<worksheet xmlns="http://schemas.openxmlformats.org/spreadsheetml/2006/main" xmlns:r="http://schemas.openxmlformats.org/officeDocument/2006/relationships">
  <sheetPr codeName="Sheet32">
    <tabColor rgb="FFFFC000"/>
    <pageSetUpPr fitToPage="1"/>
  </sheetPr>
  <dimension ref="A1:N39"/>
  <sheetViews>
    <sheetView showRowColHeaders="0" zoomScale="80" zoomScaleNormal="80" workbookViewId="0">
      <pane xSplit="2" ySplit="2" topLeftCell="C6" activePane="bottomRight" state="frozen"/>
      <selection pane="topRight" activeCell="C1" sqref="C1"/>
      <selection pane="bottomLeft" activeCell="A3" sqref="A3"/>
      <selection pane="bottomRight" activeCell="F23" sqref="F23:F24"/>
    </sheetView>
  </sheetViews>
  <sheetFormatPr defaultRowHeight="15"/>
  <cols>
    <col min="1" max="1" width="9.140625" style="28"/>
    <col min="2" max="2" width="35.28515625" style="28" customWidth="1"/>
    <col min="3" max="16384" width="9.140625" style="28"/>
  </cols>
  <sheetData>
    <row r="1" spans="1:14">
      <c r="C1" s="28">
        <v>1</v>
      </c>
      <c r="D1" s="28">
        <v>2</v>
      </c>
      <c r="E1" s="28">
        <v>3</v>
      </c>
      <c r="F1" s="28">
        <v>4</v>
      </c>
      <c r="G1" s="28">
        <v>6</v>
      </c>
      <c r="H1" s="28">
        <v>5</v>
      </c>
      <c r="I1" s="28">
        <v>7</v>
      </c>
      <c r="J1" s="28">
        <v>8</v>
      </c>
      <c r="K1" s="28">
        <v>9</v>
      </c>
      <c r="L1" s="28">
        <v>10</v>
      </c>
      <c r="M1" s="28">
        <v>11</v>
      </c>
      <c r="N1" s="28">
        <v>12</v>
      </c>
    </row>
    <row r="2" spans="1:14">
      <c r="B2" s="505" t="s">
        <v>968</v>
      </c>
      <c r="C2" s="404" t="s">
        <v>334</v>
      </c>
      <c r="D2" s="404" t="s">
        <v>335</v>
      </c>
      <c r="E2" s="404" t="s">
        <v>332</v>
      </c>
      <c r="F2" s="404" t="s">
        <v>333</v>
      </c>
      <c r="G2" s="404" t="s">
        <v>2252</v>
      </c>
      <c r="H2" s="404" t="s">
        <v>336</v>
      </c>
      <c r="I2" s="404" t="s">
        <v>337</v>
      </c>
      <c r="J2" s="404" t="s">
        <v>338</v>
      </c>
      <c r="K2" s="404" t="s">
        <v>339</v>
      </c>
      <c r="L2" s="404" t="s">
        <v>342</v>
      </c>
      <c r="M2" s="404" t="s">
        <v>340</v>
      </c>
      <c r="N2" s="404" t="s">
        <v>341</v>
      </c>
    </row>
    <row r="3" spans="1:14" ht="39.75" customHeight="1">
      <c r="A3" s="28" t="s">
        <v>1373</v>
      </c>
      <c r="B3" s="506" t="s">
        <v>357</v>
      </c>
      <c r="C3" s="28" t="s">
        <v>1374</v>
      </c>
      <c r="D3" s="28" t="s">
        <v>1375</v>
      </c>
      <c r="E3" s="28" t="s">
        <v>1376</v>
      </c>
      <c r="F3" s="28" t="s">
        <v>1377</v>
      </c>
      <c r="G3" s="28" t="s">
        <v>479</v>
      </c>
      <c r="H3" s="28" t="s">
        <v>1378</v>
      </c>
      <c r="I3" s="28" t="s">
        <v>1379</v>
      </c>
      <c r="J3" s="28" t="s">
        <v>1380</v>
      </c>
      <c r="K3" s="28" t="s">
        <v>1381</v>
      </c>
      <c r="L3" s="28" t="s">
        <v>1382</v>
      </c>
      <c r="M3" s="28" t="s">
        <v>1383</v>
      </c>
      <c r="N3" s="752" t="s">
        <v>2703</v>
      </c>
    </row>
    <row r="4" spans="1:14" ht="48">
      <c r="A4" s="28" t="s">
        <v>1384</v>
      </c>
      <c r="B4" s="506" t="s">
        <v>358</v>
      </c>
      <c r="C4" s="28" t="s">
        <v>1385</v>
      </c>
      <c r="D4" s="28" t="s">
        <v>1386</v>
      </c>
      <c r="E4" s="28" t="s">
        <v>1387</v>
      </c>
      <c r="F4" s="28" t="s">
        <v>1388</v>
      </c>
      <c r="G4" s="28" t="s">
        <v>480</v>
      </c>
      <c r="H4" s="28" t="s">
        <v>1389</v>
      </c>
      <c r="I4" s="28" t="s">
        <v>1390</v>
      </c>
      <c r="J4" s="28" t="s">
        <v>1391</v>
      </c>
      <c r="K4" s="28" t="s">
        <v>1392</v>
      </c>
      <c r="L4" s="28" t="s">
        <v>1393</v>
      </c>
      <c r="M4" s="28" t="s">
        <v>2541</v>
      </c>
      <c r="N4" s="28" t="s">
        <v>1394</v>
      </c>
    </row>
    <row r="5" spans="1:14" ht="48">
      <c r="A5" s="28" t="s">
        <v>1395</v>
      </c>
      <c r="B5" s="506" t="s">
        <v>359</v>
      </c>
      <c r="C5" s="28" t="s">
        <v>2542</v>
      </c>
      <c r="D5" s="28" t="s">
        <v>2543</v>
      </c>
      <c r="E5" s="28" t="s">
        <v>2544</v>
      </c>
      <c r="F5" s="28" t="s">
        <v>1396</v>
      </c>
      <c r="G5" s="28" t="s">
        <v>1398</v>
      </c>
      <c r="H5" s="28" t="s">
        <v>1397</v>
      </c>
      <c r="I5" s="28" t="s">
        <v>2545</v>
      </c>
      <c r="J5" s="28" t="s">
        <v>1399</v>
      </c>
      <c r="K5" s="28" t="s">
        <v>1400</v>
      </c>
      <c r="L5" s="28" t="s">
        <v>2546</v>
      </c>
      <c r="M5" s="28" t="s">
        <v>1401</v>
      </c>
      <c r="N5" s="28" t="s">
        <v>1402</v>
      </c>
    </row>
    <row r="6" spans="1:14" ht="36">
      <c r="A6" s="28" t="s">
        <v>1403</v>
      </c>
      <c r="B6" s="507" t="s">
        <v>360</v>
      </c>
      <c r="C6" s="28" t="s">
        <v>1404</v>
      </c>
      <c r="D6" s="28" t="s">
        <v>2547</v>
      </c>
      <c r="E6" s="28" t="s">
        <v>2548</v>
      </c>
      <c r="F6" s="28" t="s">
        <v>1405</v>
      </c>
      <c r="G6" s="28" t="s">
        <v>1407</v>
      </c>
      <c r="H6" s="28" t="s">
        <v>1406</v>
      </c>
      <c r="I6" s="28" t="s">
        <v>2549</v>
      </c>
      <c r="J6" s="28" t="s">
        <v>1408</v>
      </c>
      <c r="K6" s="28" t="s">
        <v>1409</v>
      </c>
      <c r="L6" s="28" t="s">
        <v>1410</v>
      </c>
      <c r="M6" s="28" t="s">
        <v>2550</v>
      </c>
      <c r="N6" s="28" t="s">
        <v>1411</v>
      </c>
    </row>
    <row r="7" spans="1:14" ht="24">
      <c r="A7" s="28" t="s">
        <v>1412</v>
      </c>
      <c r="B7" s="506" t="s">
        <v>362</v>
      </c>
      <c r="C7" s="28" t="s">
        <v>1413</v>
      </c>
      <c r="D7" s="28" t="s">
        <v>1414</v>
      </c>
      <c r="E7" s="28" t="s">
        <v>2551</v>
      </c>
      <c r="F7" s="28" t="s">
        <v>1415</v>
      </c>
      <c r="G7" s="28" t="s">
        <v>1417</v>
      </c>
      <c r="H7" s="28" t="s">
        <v>1416</v>
      </c>
      <c r="I7" s="28" t="s">
        <v>1418</v>
      </c>
      <c r="J7" s="28" t="s">
        <v>1419</v>
      </c>
      <c r="K7" s="28" t="s">
        <v>1420</v>
      </c>
      <c r="L7" s="28" t="s">
        <v>1421</v>
      </c>
      <c r="M7" s="28" t="s">
        <v>1422</v>
      </c>
      <c r="N7" s="28" t="s">
        <v>1423</v>
      </c>
    </row>
    <row r="8" spans="1:14" ht="36">
      <c r="A8" s="28" t="s">
        <v>1424</v>
      </c>
      <c r="B8" s="506" t="s">
        <v>363</v>
      </c>
      <c r="C8" s="28" t="s">
        <v>2552</v>
      </c>
      <c r="D8" s="28" t="s">
        <v>1425</v>
      </c>
      <c r="E8" s="28" t="s">
        <v>2553</v>
      </c>
      <c r="F8" s="28" t="s">
        <v>1426</v>
      </c>
      <c r="G8" s="28" t="s">
        <v>1427</v>
      </c>
      <c r="H8" s="28" t="s">
        <v>2554</v>
      </c>
      <c r="I8" s="28" t="s">
        <v>1428</v>
      </c>
      <c r="J8" s="28" t="s">
        <v>1429</v>
      </c>
      <c r="K8" s="28" t="s">
        <v>1430</v>
      </c>
      <c r="L8" s="28" t="s">
        <v>2555</v>
      </c>
      <c r="M8" s="28" t="s">
        <v>1431</v>
      </c>
      <c r="N8" s="28" t="s">
        <v>1432</v>
      </c>
    </row>
    <row r="9" spans="1:14" ht="36">
      <c r="A9" s="28" t="s">
        <v>1433</v>
      </c>
      <c r="B9" s="506" t="s">
        <v>364</v>
      </c>
      <c r="C9" s="28" t="s">
        <v>2556</v>
      </c>
      <c r="D9" s="28" t="s">
        <v>2557</v>
      </c>
      <c r="E9" s="28" t="s">
        <v>2558</v>
      </c>
      <c r="F9" s="28" t="s">
        <v>1434</v>
      </c>
      <c r="G9" s="28" t="s">
        <v>485</v>
      </c>
      <c r="H9" s="28" t="s">
        <v>1435</v>
      </c>
      <c r="I9" s="28" t="s">
        <v>1436</v>
      </c>
      <c r="J9" s="28" t="s">
        <v>1437</v>
      </c>
      <c r="K9" s="28" t="s">
        <v>1438</v>
      </c>
      <c r="L9" s="28" t="s">
        <v>1439</v>
      </c>
      <c r="M9" s="28" t="s">
        <v>2559</v>
      </c>
      <c r="N9" s="28" t="s">
        <v>1440</v>
      </c>
    </row>
    <row r="10" spans="1:14" ht="36">
      <c r="A10" s="28" t="s">
        <v>1441</v>
      </c>
      <c r="B10" s="506" t="s">
        <v>365</v>
      </c>
      <c r="C10" s="28" t="s">
        <v>1442</v>
      </c>
      <c r="D10" s="28" t="s">
        <v>2560</v>
      </c>
      <c r="E10" s="28" t="s">
        <v>2561</v>
      </c>
      <c r="F10" s="28" t="s">
        <v>1443</v>
      </c>
      <c r="G10" s="28" t="s">
        <v>1444</v>
      </c>
      <c r="H10" s="28" t="s">
        <v>2562</v>
      </c>
      <c r="I10" s="28" t="s">
        <v>2563</v>
      </c>
      <c r="J10" s="28" t="s">
        <v>1445</v>
      </c>
      <c r="K10" s="28" t="s">
        <v>1446</v>
      </c>
      <c r="L10" s="28" t="s">
        <v>2564</v>
      </c>
      <c r="M10" s="28" t="s">
        <v>2565</v>
      </c>
      <c r="N10" s="28" t="s">
        <v>1447</v>
      </c>
    </row>
    <row r="11" spans="1:14" ht="36">
      <c r="A11" s="28" t="s">
        <v>1448</v>
      </c>
      <c r="B11" s="506" t="s">
        <v>366</v>
      </c>
      <c r="C11" s="28" t="s">
        <v>1449</v>
      </c>
      <c r="D11" s="28" t="s">
        <v>1450</v>
      </c>
      <c r="E11" s="28" t="s">
        <v>1451</v>
      </c>
      <c r="F11" s="28" t="s">
        <v>1452</v>
      </c>
      <c r="G11" s="28" t="s">
        <v>1453</v>
      </c>
      <c r="H11" s="28" t="s">
        <v>2566</v>
      </c>
      <c r="I11" s="28" t="s">
        <v>1454</v>
      </c>
      <c r="J11" s="28" t="s">
        <v>1455</v>
      </c>
      <c r="K11" s="28" t="s">
        <v>1456</v>
      </c>
      <c r="L11" s="28" t="s">
        <v>1457</v>
      </c>
      <c r="M11" s="28" t="s">
        <v>2567</v>
      </c>
      <c r="N11" s="28" t="s">
        <v>1458</v>
      </c>
    </row>
    <row r="12" spans="1:14" ht="24">
      <c r="A12" s="28" t="s">
        <v>1459</v>
      </c>
      <c r="B12" s="506" t="s">
        <v>367</v>
      </c>
      <c r="C12" s="28" t="s">
        <v>1460</v>
      </c>
      <c r="D12" s="28" t="s">
        <v>1461</v>
      </c>
      <c r="E12" s="28" t="s">
        <v>2568</v>
      </c>
      <c r="F12" s="28" t="s">
        <v>1462</v>
      </c>
      <c r="G12" s="28" t="s">
        <v>1464</v>
      </c>
      <c r="H12" s="28" t="s">
        <v>1463</v>
      </c>
      <c r="I12" s="28" t="s">
        <v>2569</v>
      </c>
      <c r="J12" s="28" t="s">
        <v>2570</v>
      </c>
      <c r="K12" s="28" t="s">
        <v>1465</v>
      </c>
      <c r="L12" s="28" t="s">
        <v>1466</v>
      </c>
      <c r="M12" s="28" t="s">
        <v>2550</v>
      </c>
      <c r="N12" s="28" t="s">
        <v>1467</v>
      </c>
    </row>
    <row r="13" spans="1:14" ht="48">
      <c r="A13" s="28" t="s">
        <v>1468</v>
      </c>
      <c r="B13" s="506" t="s">
        <v>368</v>
      </c>
      <c r="C13" s="28" t="s">
        <v>1469</v>
      </c>
      <c r="D13" s="28" t="s">
        <v>2571</v>
      </c>
      <c r="E13" s="28" t="s">
        <v>2572</v>
      </c>
      <c r="F13" s="28" t="s">
        <v>1470</v>
      </c>
      <c r="G13" s="28" t="s">
        <v>1472</v>
      </c>
      <c r="H13" s="28" t="s">
        <v>1471</v>
      </c>
      <c r="I13" s="28" t="s">
        <v>1473</v>
      </c>
      <c r="J13" s="28" t="s">
        <v>2573</v>
      </c>
      <c r="K13" s="28" t="s">
        <v>1474</v>
      </c>
      <c r="L13" s="28" t="s">
        <v>1475</v>
      </c>
      <c r="M13" s="28" t="s">
        <v>2574</v>
      </c>
      <c r="N13" s="28" t="s">
        <v>1476</v>
      </c>
    </row>
    <row r="14" spans="1:14" ht="24">
      <c r="A14" s="28" t="s">
        <v>1477</v>
      </c>
      <c r="B14" s="506" t="s">
        <v>369</v>
      </c>
      <c r="C14" s="28" t="s">
        <v>1478</v>
      </c>
      <c r="D14" s="28" t="s">
        <v>2575</v>
      </c>
      <c r="E14" s="28" t="s">
        <v>1479</v>
      </c>
      <c r="F14" s="28" t="s">
        <v>1480</v>
      </c>
      <c r="G14" s="28" t="s">
        <v>1482</v>
      </c>
      <c r="H14" s="28" t="s">
        <v>1481</v>
      </c>
      <c r="I14" s="28" t="s">
        <v>2576</v>
      </c>
      <c r="J14" s="28" t="s">
        <v>1483</v>
      </c>
      <c r="K14" s="28" t="s">
        <v>1484</v>
      </c>
      <c r="L14" s="28" t="s">
        <v>2577</v>
      </c>
      <c r="M14" s="28" t="s">
        <v>2578</v>
      </c>
      <c r="N14" s="28" t="s">
        <v>1485</v>
      </c>
    </row>
    <row r="15" spans="1:14" ht="36">
      <c r="A15" s="28" t="s">
        <v>1486</v>
      </c>
      <c r="B15" s="506" t="s">
        <v>371</v>
      </c>
      <c r="C15" s="28" t="s">
        <v>1487</v>
      </c>
      <c r="D15" s="28" t="s">
        <v>1488</v>
      </c>
      <c r="E15" s="28" t="s">
        <v>1489</v>
      </c>
      <c r="F15" s="28" t="s">
        <v>1490</v>
      </c>
      <c r="G15" s="28" t="s">
        <v>1492</v>
      </c>
      <c r="H15" s="28" t="s">
        <v>1491</v>
      </c>
      <c r="I15" s="28" t="s">
        <v>2579</v>
      </c>
      <c r="J15" s="28" t="s">
        <v>2580</v>
      </c>
      <c r="K15" s="28" t="s">
        <v>1493</v>
      </c>
      <c r="L15" s="28" t="s">
        <v>1494</v>
      </c>
      <c r="M15" s="28" t="s">
        <v>2550</v>
      </c>
      <c r="N15" s="28" t="s">
        <v>1495</v>
      </c>
    </row>
    <row r="16" spans="1:14" ht="36">
      <c r="A16" s="28" t="s">
        <v>1496</v>
      </c>
      <c r="B16" s="506" t="s">
        <v>372</v>
      </c>
      <c r="C16" s="28" t="s">
        <v>1497</v>
      </c>
      <c r="D16" s="28" t="s">
        <v>2581</v>
      </c>
      <c r="E16" s="28" t="s">
        <v>2582</v>
      </c>
      <c r="F16" s="28" t="s">
        <v>1396</v>
      </c>
      <c r="G16" s="28" t="s">
        <v>492</v>
      </c>
      <c r="H16" s="28" t="s">
        <v>1498</v>
      </c>
      <c r="I16" s="28" t="s">
        <v>2583</v>
      </c>
      <c r="J16" s="28" t="s">
        <v>2584</v>
      </c>
      <c r="K16" s="28" t="s">
        <v>1499</v>
      </c>
      <c r="L16" s="28" t="s">
        <v>1500</v>
      </c>
      <c r="M16" s="28" t="s">
        <v>2585</v>
      </c>
      <c r="N16" s="28" t="s">
        <v>1501</v>
      </c>
    </row>
    <row r="17" spans="1:14" ht="36">
      <c r="A17" s="28" t="s">
        <v>1502</v>
      </c>
      <c r="B17" s="506" t="s">
        <v>374</v>
      </c>
      <c r="C17" s="28" t="s">
        <v>1503</v>
      </c>
      <c r="D17" s="28" t="s">
        <v>1504</v>
      </c>
      <c r="E17" s="28" t="s">
        <v>1505</v>
      </c>
      <c r="F17" s="28" t="s">
        <v>1506</v>
      </c>
      <c r="G17" s="28" t="s">
        <v>493</v>
      </c>
      <c r="H17" s="28" t="s">
        <v>1507</v>
      </c>
      <c r="I17" s="28" t="s">
        <v>2586</v>
      </c>
      <c r="J17" s="28" t="s">
        <v>1508</v>
      </c>
      <c r="K17" s="28" t="s">
        <v>1509</v>
      </c>
      <c r="L17" s="28" t="s">
        <v>1510</v>
      </c>
      <c r="M17" s="28" t="s">
        <v>1511</v>
      </c>
      <c r="N17" s="28" t="s">
        <v>1512</v>
      </c>
    </row>
    <row r="18" spans="1:14" ht="24">
      <c r="A18" s="28" t="s">
        <v>1513</v>
      </c>
      <c r="B18" s="506" t="s">
        <v>376</v>
      </c>
      <c r="C18" s="28" t="s">
        <v>1514</v>
      </c>
      <c r="D18" s="28" t="s">
        <v>2587</v>
      </c>
      <c r="E18" s="28" t="s">
        <v>2588</v>
      </c>
      <c r="F18" s="28" t="s">
        <v>1515</v>
      </c>
      <c r="G18" s="28" t="s">
        <v>1516</v>
      </c>
      <c r="H18" s="28" t="s">
        <v>2589</v>
      </c>
      <c r="I18" s="28" t="s">
        <v>1517</v>
      </c>
      <c r="J18" s="28" t="s">
        <v>2590</v>
      </c>
      <c r="K18" s="28" t="s">
        <v>1518</v>
      </c>
      <c r="L18" s="28" t="s">
        <v>1519</v>
      </c>
      <c r="M18" s="28" t="s">
        <v>2591</v>
      </c>
      <c r="N18" s="28" t="s">
        <v>1520</v>
      </c>
    </row>
    <row r="19" spans="1:14" ht="24">
      <c r="A19" s="28" t="s">
        <v>1521</v>
      </c>
      <c r="B19" s="507" t="s">
        <v>377</v>
      </c>
      <c r="C19" s="28" t="s">
        <v>1522</v>
      </c>
      <c r="D19" s="28" t="s">
        <v>1523</v>
      </c>
      <c r="E19" s="28" t="s">
        <v>2592</v>
      </c>
      <c r="F19" s="28" t="s">
        <v>1515</v>
      </c>
      <c r="G19" s="28" t="s">
        <v>1525</v>
      </c>
      <c r="H19" s="28" t="s">
        <v>1524</v>
      </c>
      <c r="I19" s="28" t="s">
        <v>1526</v>
      </c>
      <c r="J19" s="28" t="s">
        <v>2593</v>
      </c>
      <c r="K19" s="28" t="s">
        <v>1527</v>
      </c>
      <c r="L19" s="28" t="s">
        <v>1528</v>
      </c>
      <c r="M19" s="28" t="s">
        <v>2594</v>
      </c>
      <c r="N19" s="28" t="s">
        <v>1529</v>
      </c>
    </row>
    <row r="20" spans="1:14" ht="36">
      <c r="A20" s="28" t="s">
        <v>1530</v>
      </c>
      <c r="B20" s="506" t="s">
        <v>378</v>
      </c>
      <c r="C20" s="28" t="s">
        <v>1531</v>
      </c>
      <c r="D20" s="28" t="s">
        <v>1532</v>
      </c>
      <c r="E20" s="28" t="s">
        <v>2595</v>
      </c>
      <c r="F20" s="28" t="s">
        <v>1515</v>
      </c>
      <c r="G20" s="28" t="s">
        <v>1534</v>
      </c>
      <c r="H20" s="28" t="s">
        <v>1533</v>
      </c>
      <c r="I20" s="28" t="s">
        <v>1535</v>
      </c>
      <c r="J20" s="28" t="s">
        <v>2596</v>
      </c>
      <c r="K20" s="28" t="s">
        <v>1536</v>
      </c>
      <c r="L20" s="28" t="s">
        <v>1537</v>
      </c>
      <c r="M20" s="28" t="s">
        <v>1538</v>
      </c>
      <c r="N20" s="28" t="s">
        <v>1539</v>
      </c>
    </row>
    <row r="21" spans="1:14" ht="36">
      <c r="A21" s="28" t="s">
        <v>1540</v>
      </c>
      <c r="B21" s="506" t="s">
        <v>379</v>
      </c>
      <c r="C21" s="28" t="s">
        <v>1541</v>
      </c>
      <c r="D21" s="28" t="s">
        <v>2597</v>
      </c>
      <c r="E21" s="28" t="s">
        <v>2598</v>
      </c>
      <c r="F21" s="28" t="s">
        <v>1542</v>
      </c>
      <c r="G21" s="28" t="s">
        <v>1544</v>
      </c>
      <c r="H21" s="28" t="s">
        <v>1543</v>
      </c>
      <c r="I21" s="28" t="s">
        <v>1545</v>
      </c>
      <c r="J21" s="28" t="s">
        <v>2599</v>
      </c>
      <c r="K21" s="28" t="s">
        <v>1546</v>
      </c>
      <c r="L21" s="28" t="s">
        <v>1547</v>
      </c>
      <c r="M21" s="28" t="s">
        <v>1548</v>
      </c>
      <c r="N21" s="28" t="s">
        <v>1549</v>
      </c>
    </row>
    <row r="22" spans="1:14" ht="24">
      <c r="A22" s="28" t="s">
        <v>1550</v>
      </c>
      <c r="B22" s="506" t="s">
        <v>380</v>
      </c>
      <c r="C22" s="28" t="s">
        <v>1551</v>
      </c>
      <c r="D22" s="28" t="s">
        <v>2600</v>
      </c>
      <c r="E22" s="28" t="s">
        <v>2601</v>
      </c>
      <c r="F22" s="28" t="s">
        <v>1515</v>
      </c>
      <c r="G22" s="28" t="s">
        <v>1552</v>
      </c>
      <c r="H22" s="28" t="s">
        <v>2602</v>
      </c>
      <c r="I22" s="28" t="s">
        <v>1553</v>
      </c>
      <c r="J22" s="28" t="s">
        <v>2603</v>
      </c>
      <c r="K22" s="28" t="s">
        <v>1554</v>
      </c>
      <c r="L22" s="28" t="s">
        <v>2604</v>
      </c>
      <c r="M22" s="28" t="s">
        <v>2605</v>
      </c>
      <c r="N22" s="28" t="s">
        <v>1555</v>
      </c>
    </row>
    <row r="23" spans="1:14" ht="409.5">
      <c r="A23" s="28" t="s">
        <v>1556</v>
      </c>
      <c r="B23" s="506" t="s">
        <v>382</v>
      </c>
      <c r="C23" s="28" t="s">
        <v>1557</v>
      </c>
      <c r="D23" s="28" t="s">
        <v>2606</v>
      </c>
      <c r="E23" s="28" t="s">
        <v>2607</v>
      </c>
      <c r="F23" s="757" t="s">
        <v>2708</v>
      </c>
      <c r="G23" s="28" t="s">
        <v>1559</v>
      </c>
      <c r="H23" s="28" t="s">
        <v>1558</v>
      </c>
      <c r="I23" s="28" t="s">
        <v>1560</v>
      </c>
      <c r="J23" s="28" t="s">
        <v>1561</v>
      </c>
      <c r="K23" s="28" t="s">
        <v>1562</v>
      </c>
      <c r="L23" s="28" t="s">
        <v>1563</v>
      </c>
      <c r="M23" s="754" t="s">
        <v>2608</v>
      </c>
      <c r="N23" s="28" t="s">
        <v>1564</v>
      </c>
    </row>
    <row r="24" spans="1:14" ht="409.5">
      <c r="A24" s="28" t="s">
        <v>1565</v>
      </c>
      <c r="B24" s="506" t="s">
        <v>383</v>
      </c>
      <c r="C24" s="28" t="s">
        <v>1566</v>
      </c>
      <c r="D24" s="28" t="s">
        <v>2609</v>
      </c>
      <c r="E24" s="28" t="s">
        <v>2610</v>
      </c>
      <c r="F24" s="757" t="s">
        <v>2610</v>
      </c>
      <c r="G24" s="28" t="s">
        <v>1568</v>
      </c>
      <c r="H24" s="28" t="s">
        <v>2611</v>
      </c>
      <c r="I24" s="28" t="s">
        <v>2612</v>
      </c>
      <c r="J24" s="28" t="s">
        <v>2613</v>
      </c>
      <c r="K24" s="28" t="s">
        <v>1569</v>
      </c>
      <c r="L24" s="28" t="s">
        <v>1570</v>
      </c>
      <c r="M24" s="754" t="s">
        <v>1571</v>
      </c>
      <c r="N24" s="28" t="s">
        <v>1572</v>
      </c>
    </row>
    <row r="25" spans="1:14" ht="36">
      <c r="A25" s="28" t="s">
        <v>1573</v>
      </c>
      <c r="B25" s="506" t="s">
        <v>384</v>
      </c>
      <c r="C25" s="28" t="s">
        <v>1574</v>
      </c>
      <c r="D25" s="28" t="s">
        <v>2614</v>
      </c>
      <c r="E25" s="28" t="s">
        <v>1575</v>
      </c>
      <c r="F25" s="28" t="s">
        <v>1567</v>
      </c>
      <c r="G25" s="28" t="s">
        <v>1576</v>
      </c>
      <c r="H25" s="28" t="s">
        <v>2615</v>
      </c>
      <c r="I25" s="28" t="s">
        <v>1577</v>
      </c>
      <c r="J25" s="28" t="s">
        <v>2616</v>
      </c>
      <c r="K25" s="28" t="s">
        <v>1578</v>
      </c>
      <c r="L25" s="28" t="s">
        <v>1579</v>
      </c>
      <c r="M25" s="28" t="s">
        <v>1580</v>
      </c>
      <c r="N25" s="28" t="s">
        <v>1581</v>
      </c>
    </row>
    <row r="26" spans="1:14" ht="24">
      <c r="A26" s="28" t="s">
        <v>1582</v>
      </c>
      <c r="B26" s="506" t="s">
        <v>386</v>
      </c>
      <c r="C26" s="28" t="s">
        <v>1583</v>
      </c>
      <c r="D26" s="28" t="s">
        <v>2617</v>
      </c>
      <c r="E26" s="28" t="s">
        <v>2618</v>
      </c>
      <c r="F26" s="28" t="s">
        <v>1584</v>
      </c>
      <c r="G26" s="28" t="s">
        <v>1586</v>
      </c>
      <c r="H26" s="28" t="s">
        <v>1585</v>
      </c>
      <c r="I26" s="28" t="s">
        <v>1587</v>
      </c>
      <c r="J26" s="28" t="s">
        <v>2619</v>
      </c>
      <c r="K26" s="28" t="s">
        <v>1588</v>
      </c>
      <c r="L26" s="28" t="s">
        <v>1589</v>
      </c>
      <c r="M26" s="28" t="s">
        <v>2620</v>
      </c>
      <c r="N26" s="28" t="s">
        <v>1590</v>
      </c>
    </row>
    <row r="27" spans="1:14" ht="48">
      <c r="A27" s="28" t="s">
        <v>1591</v>
      </c>
      <c r="B27" s="506" t="s">
        <v>387</v>
      </c>
      <c r="C27" s="28" t="s">
        <v>1592</v>
      </c>
      <c r="D27" s="28" t="s">
        <v>1593</v>
      </c>
      <c r="E27" s="28" t="s">
        <v>2621</v>
      </c>
      <c r="F27" s="28" t="s">
        <v>1396</v>
      </c>
      <c r="G27" s="28" t="s">
        <v>1595</v>
      </c>
      <c r="H27" s="28" t="s">
        <v>1594</v>
      </c>
      <c r="I27" s="28" t="s">
        <v>2622</v>
      </c>
      <c r="J27" s="28" t="s">
        <v>1596</v>
      </c>
      <c r="K27" s="28" t="s">
        <v>1597</v>
      </c>
      <c r="L27" s="28" t="s">
        <v>1598</v>
      </c>
      <c r="M27" s="28" t="s">
        <v>2623</v>
      </c>
      <c r="N27" s="28" t="s">
        <v>1599</v>
      </c>
    </row>
    <row r="28" spans="1:14" ht="36">
      <c r="A28" s="28" t="s">
        <v>1600</v>
      </c>
      <c r="B28" s="506" t="s">
        <v>388</v>
      </c>
      <c r="C28" s="28" t="s">
        <v>1601</v>
      </c>
      <c r="D28" s="28" t="s">
        <v>1602</v>
      </c>
      <c r="E28" s="28" t="s">
        <v>2624</v>
      </c>
      <c r="F28" s="28" t="s">
        <v>1603</v>
      </c>
      <c r="G28" s="28" t="s">
        <v>1605</v>
      </c>
      <c r="H28" s="28" t="s">
        <v>1604</v>
      </c>
      <c r="I28" s="28" t="s">
        <v>1606</v>
      </c>
      <c r="J28" s="28" t="s">
        <v>2625</v>
      </c>
      <c r="K28" s="28" t="s">
        <v>1607</v>
      </c>
      <c r="L28" s="28" t="s">
        <v>1608</v>
      </c>
      <c r="M28" s="28" t="s">
        <v>2626</v>
      </c>
      <c r="N28" s="28" t="s">
        <v>1609</v>
      </c>
    </row>
    <row r="29" spans="1:14" ht="60">
      <c r="A29" s="28" t="s">
        <v>1610</v>
      </c>
      <c r="B29" s="506" t="s">
        <v>389</v>
      </c>
      <c r="C29" s="28" t="s">
        <v>1611</v>
      </c>
      <c r="D29" s="28" t="s">
        <v>1612</v>
      </c>
      <c r="E29" s="28" t="s">
        <v>2627</v>
      </c>
      <c r="F29" s="28" t="s">
        <v>1603</v>
      </c>
      <c r="G29" s="28" t="s">
        <v>1613</v>
      </c>
      <c r="H29" s="28" t="s">
        <v>2628</v>
      </c>
      <c r="I29" s="28" t="s">
        <v>1614</v>
      </c>
      <c r="J29" s="28" t="s">
        <v>2629</v>
      </c>
      <c r="K29" s="28" t="s">
        <v>1615</v>
      </c>
      <c r="L29" s="28" t="s">
        <v>1616</v>
      </c>
      <c r="M29" s="28" t="s">
        <v>2630</v>
      </c>
      <c r="N29" s="28" t="s">
        <v>1617</v>
      </c>
    </row>
    <row r="30" spans="1:14" ht="36">
      <c r="A30" s="28" t="s">
        <v>1618</v>
      </c>
      <c r="B30" s="507" t="s">
        <v>391</v>
      </c>
      <c r="C30" s="28" t="s">
        <v>1619</v>
      </c>
      <c r="D30" s="28" t="s">
        <v>2631</v>
      </c>
      <c r="E30" s="28" t="s">
        <v>2632</v>
      </c>
      <c r="F30" s="28" t="s">
        <v>1620</v>
      </c>
      <c r="G30" s="28" t="s">
        <v>1622</v>
      </c>
      <c r="H30" s="28" t="s">
        <v>1621</v>
      </c>
      <c r="I30" s="28" t="s">
        <v>1623</v>
      </c>
      <c r="J30" s="28" t="s">
        <v>2633</v>
      </c>
      <c r="K30" s="28" t="s">
        <v>1624</v>
      </c>
      <c r="L30" s="28" t="s">
        <v>1625</v>
      </c>
      <c r="M30" s="28" t="s">
        <v>2634</v>
      </c>
      <c r="N30" s="28" t="s">
        <v>1626</v>
      </c>
    </row>
    <row r="31" spans="1:14" ht="36">
      <c r="A31" s="28" t="s">
        <v>1627</v>
      </c>
      <c r="B31" s="506" t="s">
        <v>392</v>
      </c>
      <c r="C31" s="28" t="s">
        <v>1628</v>
      </c>
      <c r="D31" s="28" t="s">
        <v>2635</v>
      </c>
      <c r="E31" s="28" t="s">
        <v>1629</v>
      </c>
      <c r="F31" s="28" t="s">
        <v>1630</v>
      </c>
      <c r="G31" s="28" t="s">
        <v>1632</v>
      </c>
      <c r="H31" s="28" t="s">
        <v>1631</v>
      </c>
      <c r="I31" s="28" t="s">
        <v>2669</v>
      </c>
      <c r="J31" s="28" t="s">
        <v>2636</v>
      </c>
      <c r="K31" s="28" t="s">
        <v>1633</v>
      </c>
      <c r="L31" s="28" t="s">
        <v>1634</v>
      </c>
      <c r="M31" s="28" t="s">
        <v>1635</v>
      </c>
      <c r="N31" s="28" t="s">
        <v>1636</v>
      </c>
    </row>
    <row r="32" spans="1:14" ht="48">
      <c r="A32" s="28" t="s">
        <v>1637</v>
      </c>
      <c r="B32" s="506" t="s">
        <v>394</v>
      </c>
      <c r="C32" s="28" t="s">
        <v>1638</v>
      </c>
      <c r="D32" s="28" t="s">
        <v>2637</v>
      </c>
      <c r="E32" s="28" t="s">
        <v>1639</v>
      </c>
      <c r="F32" s="28" t="s">
        <v>2670</v>
      </c>
      <c r="G32" s="28" t="s">
        <v>1640</v>
      </c>
      <c r="H32" s="28" t="s">
        <v>2638</v>
      </c>
      <c r="I32" s="28" t="s">
        <v>2639</v>
      </c>
      <c r="J32" s="28" t="s">
        <v>1641</v>
      </c>
      <c r="K32" s="28" t="s">
        <v>1642</v>
      </c>
      <c r="L32" s="28" t="s">
        <v>1643</v>
      </c>
      <c r="M32" s="28" t="s">
        <v>2578</v>
      </c>
      <c r="N32" s="28" t="s">
        <v>1644</v>
      </c>
    </row>
    <row r="33" spans="1:14" ht="36">
      <c r="A33" s="28" t="s">
        <v>1645</v>
      </c>
      <c r="B33" s="506" t="s">
        <v>395</v>
      </c>
      <c r="C33" s="28" t="s">
        <v>1638</v>
      </c>
      <c r="D33" s="28" t="s">
        <v>2640</v>
      </c>
      <c r="E33" s="28" t="s">
        <v>2641</v>
      </c>
      <c r="F33" s="28" t="s">
        <v>1646</v>
      </c>
      <c r="G33" s="28" t="s">
        <v>1647</v>
      </c>
      <c r="H33" s="28" t="s">
        <v>2642</v>
      </c>
      <c r="I33" s="28" t="s">
        <v>1648</v>
      </c>
      <c r="J33" s="28" t="s">
        <v>1649</v>
      </c>
      <c r="K33" s="28" t="s">
        <v>1650</v>
      </c>
      <c r="L33" s="28" t="s">
        <v>1651</v>
      </c>
      <c r="M33" s="28" t="s">
        <v>2578</v>
      </c>
      <c r="N33" s="28" t="s">
        <v>1652</v>
      </c>
    </row>
    <row r="34" spans="1:14" ht="36">
      <c r="A34" s="28" t="s">
        <v>1653</v>
      </c>
      <c r="B34" s="506" t="s">
        <v>396</v>
      </c>
      <c r="C34" s="28" t="s">
        <v>1654</v>
      </c>
      <c r="D34" s="28" t="s">
        <v>1602</v>
      </c>
      <c r="E34" s="28" t="s">
        <v>2643</v>
      </c>
      <c r="F34" s="28" t="s">
        <v>1655</v>
      </c>
      <c r="G34" s="28" t="s">
        <v>507</v>
      </c>
      <c r="H34" s="28" t="s">
        <v>2644</v>
      </c>
      <c r="I34" s="28" t="s">
        <v>1656</v>
      </c>
      <c r="J34" s="28" t="s">
        <v>1649</v>
      </c>
      <c r="K34" s="28" t="s">
        <v>1657</v>
      </c>
      <c r="L34" s="28" t="s">
        <v>2645</v>
      </c>
      <c r="M34" s="28" t="s">
        <v>2646</v>
      </c>
      <c r="N34" s="28" t="s">
        <v>1658</v>
      </c>
    </row>
    <row r="35" spans="1:14" ht="24">
      <c r="A35" s="28" t="s">
        <v>1659</v>
      </c>
      <c r="B35" s="506" t="s">
        <v>397</v>
      </c>
      <c r="C35" s="28" t="s">
        <v>1660</v>
      </c>
      <c r="D35" s="28" t="s">
        <v>2647</v>
      </c>
      <c r="E35" s="28" t="s">
        <v>2648</v>
      </c>
      <c r="F35" s="28" t="s">
        <v>1662</v>
      </c>
      <c r="G35" s="28" t="s">
        <v>1664</v>
      </c>
      <c r="H35" s="28" t="s">
        <v>1663</v>
      </c>
      <c r="I35" s="28" t="s">
        <v>1665</v>
      </c>
      <c r="J35" s="28" t="s">
        <v>2649</v>
      </c>
      <c r="K35" s="28" t="s">
        <v>1666</v>
      </c>
      <c r="L35" s="28" t="s">
        <v>1667</v>
      </c>
      <c r="M35" s="28" t="s">
        <v>1668</v>
      </c>
      <c r="N35" s="28" t="s">
        <v>1669</v>
      </c>
    </row>
    <row r="36" spans="1:14" ht="24">
      <c r="A36" s="28" t="s">
        <v>1670</v>
      </c>
      <c r="B36" s="506" t="s">
        <v>399</v>
      </c>
      <c r="C36" s="28" t="s">
        <v>1671</v>
      </c>
      <c r="D36" s="28" t="s">
        <v>1661</v>
      </c>
      <c r="E36" s="28" t="s">
        <v>2650</v>
      </c>
      <c r="F36" s="28" t="s">
        <v>1672</v>
      </c>
      <c r="G36" s="28" t="s">
        <v>510</v>
      </c>
      <c r="H36" s="28" t="s">
        <v>1663</v>
      </c>
      <c r="I36" s="28" t="s">
        <v>1673</v>
      </c>
      <c r="J36" s="28" t="s">
        <v>2651</v>
      </c>
      <c r="K36" s="28" t="s">
        <v>1674</v>
      </c>
      <c r="L36" s="28" t="s">
        <v>1675</v>
      </c>
      <c r="M36" s="28" t="s">
        <v>2652</v>
      </c>
      <c r="N36" s="28" t="s">
        <v>1676</v>
      </c>
    </row>
    <row r="37" spans="1:14" ht="24">
      <c r="A37" s="28" t="s">
        <v>1677</v>
      </c>
      <c r="B37" s="506" t="s">
        <v>400</v>
      </c>
      <c r="C37" s="28" t="s">
        <v>1678</v>
      </c>
      <c r="D37" s="28" t="s">
        <v>1679</v>
      </c>
      <c r="E37" s="28" t="s">
        <v>2643</v>
      </c>
      <c r="F37" s="28" t="s">
        <v>1680</v>
      </c>
      <c r="G37" s="28" t="s">
        <v>1681</v>
      </c>
      <c r="H37" s="28" t="s">
        <v>1663</v>
      </c>
      <c r="I37" s="28" t="s">
        <v>1682</v>
      </c>
      <c r="J37" s="28" t="s">
        <v>2653</v>
      </c>
      <c r="K37" s="28" t="s">
        <v>1683</v>
      </c>
      <c r="L37" s="28" t="s">
        <v>1684</v>
      </c>
      <c r="M37" s="28" t="s">
        <v>1538</v>
      </c>
      <c r="N37" s="28" t="s">
        <v>1685</v>
      </c>
    </row>
    <row r="38" spans="1:14" ht="24">
      <c r="A38" s="28" t="s">
        <v>1686</v>
      </c>
      <c r="B38" s="506" t="s">
        <v>401</v>
      </c>
      <c r="C38" s="28" t="s">
        <v>2654</v>
      </c>
      <c r="D38" s="28" t="s">
        <v>1687</v>
      </c>
      <c r="E38" s="28" t="s">
        <v>1688</v>
      </c>
      <c r="F38" s="28" t="s">
        <v>1689</v>
      </c>
      <c r="G38" s="28" t="s">
        <v>1690</v>
      </c>
      <c r="H38" s="28" t="s">
        <v>1621</v>
      </c>
      <c r="I38" s="28" t="s">
        <v>1691</v>
      </c>
      <c r="J38" s="28" t="s">
        <v>2655</v>
      </c>
      <c r="K38" s="28" t="s">
        <v>1692</v>
      </c>
      <c r="L38" s="28" t="s">
        <v>1693</v>
      </c>
      <c r="M38" s="28" t="s">
        <v>2656</v>
      </c>
      <c r="N38" s="28" t="s">
        <v>1694</v>
      </c>
    </row>
    <row r="39" spans="1:14" ht="24">
      <c r="A39" s="28" t="s">
        <v>1695</v>
      </c>
      <c r="B39" s="506" t="s">
        <v>402</v>
      </c>
      <c r="C39" s="28" t="s">
        <v>1696</v>
      </c>
      <c r="D39" s="28" t="s">
        <v>1679</v>
      </c>
      <c r="E39" s="28" t="s">
        <v>2643</v>
      </c>
      <c r="F39" s="28" t="s">
        <v>1697</v>
      </c>
      <c r="G39" s="28" t="s">
        <v>1699</v>
      </c>
      <c r="H39" s="28" t="s">
        <v>1698</v>
      </c>
      <c r="I39" s="28" t="s">
        <v>1700</v>
      </c>
      <c r="J39" s="28" t="s">
        <v>2657</v>
      </c>
      <c r="K39" s="28" t="s">
        <v>1701</v>
      </c>
      <c r="L39" s="28" t="s">
        <v>1702</v>
      </c>
      <c r="M39" s="28" t="s">
        <v>1703</v>
      </c>
      <c r="N39" s="28" t="s">
        <v>1704</v>
      </c>
    </row>
  </sheetData>
  <pageMargins left="0.55118110236220474" right="0.55118110236220474" top="0.59055118110236227" bottom="0.78740157480314965" header="0.51181102362204722" footer="0.51181102362204722"/>
  <pageSetup paperSize="9" scale="13" orientation="landscape" r:id="rId1"/>
  <headerFooter alignWithMargins="0">
    <oddHeader>&amp;RResultados del Modelo de Reciclaje Inclusivo</oddHeader>
  </headerFooter>
</worksheet>
</file>

<file path=xl/worksheets/sheet46.xml><?xml version="1.0" encoding="utf-8"?>
<worksheet xmlns="http://schemas.openxmlformats.org/spreadsheetml/2006/main" xmlns:r="http://schemas.openxmlformats.org/officeDocument/2006/relationships">
  <sheetPr codeName="Sheet34">
    <tabColor rgb="FFFF0000"/>
    <pageSetUpPr fitToPage="1"/>
  </sheetPr>
  <dimension ref="A1:P17"/>
  <sheetViews>
    <sheetView showRowColHeaders="0" zoomScale="80" zoomScaleNormal="80" workbookViewId="0">
      <selection activeCell="C3" sqref="C3:N17"/>
    </sheetView>
  </sheetViews>
  <sheetFormatPr defaultRowHeight="15"/>
  <cols>
    <col min="1" max="1" width="9.140625" style="28"/>
    <col min="2" max="2" width="35.28515625" style="28" customWidth="1"/>
    <col min="3" max="16384" width="9.140625" style="28"/>
  </cols>
  <sheetData>
    <row r="1" spans="1:16">
      <c r="A1" s="28" t="s">
        <v>1705</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24.75" thickBot="1">
      <c r="A3" s="28" t="s">
        <v>1707</v>
      </c>
      <c r="B3" s="509" t="s">
        <v>1708</v>
      </c>
      <c r="C3" s="28" t="s">
        <v>1709</v>
      </c>
      <c r="D3" s="28" t="s">
        <v>1710</v>
      </c>
      <c r="E3" s="28" t="s">
        <v>1711</v>
      </c>
      <c r="F3" s="28" t="s">
        <v>1712</v>
      </c>
      <c r="G3" s="28" t="s">
        <v>1714</v>
      </c>
      <c r="H3" s="28" t="s">
        <v>1713</v>
      </c>
      <c r="I3" s="28" t="s">
        <v>1715</v>
      </c>
      <c r="J3" s="28" t="s">
        <v>1716</v>
      </c>
      <c r="K3" s="28" t="s">
        <v>1717</v>
      </c>
      <c r="L3" s="28" t="s">
        <v>1718</v>
      </c>
      <c r="M3" s="28" t="s">
        <v>1719</v>
      </c>
      <c r="N3" s="28" t="s">
        <v>1720</v>
      </c>
      <c r="P3" s="28">
        <v>2</v>
      </c>
    </row>
    <row r="4" spans="1:16" ht="24.75" thickBot="1">
      <c r="A4" s="28" t="s">
        <v>1721</v>
      </c>
      <c r="B4" s="510" t="s">
        <v>1722</v>
      </c>
      <c r="C4" s="28" t="s">
        <v>1723</v>
      </c>
      <c r="D4" s="28">
        <v>0</v>
      </c>
      <c r="E4" s="28" t="s">
        <v>1724</v>
      </c>
      <c r="F4" s="28" t="s">
        <v>1725</v>
      </c>
      <c r="G4" s="28" t="s">
        <v>1727</v>
      </c>
      <c r="H4" s="28" t="s">
        <v>1726</v>
      </c>
      <c r="I4" s="28" t="s">
        <v>1728</v>
      </c>
      <c r="J4" s="28" t="s">
        <v>1729</v>
      </c>
      <c r="K4" s="28" t="s">
        <v>1730</v>
      </c>
      <c r="L4" s="28" t="s">
        <v>1726</v>
      </c>
      <c r="M4" s="28" t="s">
        <v>1731</v>
      </c>
      <c r="N4" s="28" t="s">
        <v>1732</v>
      </c>
      <c r="P4" s="28">
        <v>3</v>
      </c>
    </row>
    <row r="5" spans="1:16" ht="36.75" thickBot="1">
      <c r="A5" s="28" t="s">
        <v>1733</v>
      </c>
      <c r="B5" s="510" t="s">
        <v>1734</v>
      </c>
      <c r="C5" s="28" t="s">
        <v>1723</v>
      </c>
      <c r="D5" s="28" t="s">
        <v>1735</v>
      </c>
      <c r="E5" s="28" t="s">
        <v>1736</v>
      </c>
      <c r="F5" s="28" t="s">
        <v>1737</v>
      </c>
      <c r="G5" s="28" t="s">
        <v>1739</v>
      </c>
      <c r="H5" s="28" t="s">
        <v>1738</v>
      </c>
      <c r="I5" s="28" t="s">
        <v>1740</v>
      </c>
      <c r="J5" s="28" t="s">
        <v>1741</v>
      </c>
      <c r="K5" s="28" t="s">
        <v>1742</v>
      </c>
      <c r="L5" s="28" t="s">
        <v>1738</v>
      </c>
      <c r="M5" s="28" t="s">
        <v>1743</v>
      </c>
      <c r="N5" s="28" t="s">
        <v>1744</v>
      </c>
      <c r="P5" s="28">
        <v>4</v>
      </c>
    </row>
    <row r="6" spans="1:16" ht="36.75" thickBot="1">
      <c r="A6" s="28" t="s">
        <v>1745</v>
      </c>
      <c r="B6" s="510" t="s">
        <v>1746</v>
      </c>
      <c r="C6" s="28" t="s">
        <v>1723</v>
      </c>
      <c r="D6" s="28" t="s">
        <v>2671</v>
      </c>
      <c r="E6" s="28" t="s">
        <v>1747</v>
      </c>
      <c r="F6" s="28" t="s">
        <v>1748</v>
      </c>
      <c r="G6" s="28" t="s">
        <v>1750</v>
      </c>
      <c r="H6" s="28" t="s">
        <v>1749</v>
      </c>
      <c r="I6" s="28" t="s">
        <v>1751</v>
      </c>
      <c r="J6" s="28" t="s">
        <v>1752</v>
      </c>
      <c r="K6" s="28" t="s">
        <v>1753</v>
      </c>
      <c r="L6" s="28" t="s">
        <v>1754</v>
      </c>
      <c r="M6" s="28" t="s">
        <v>1755</v>
      </c>
      <c r="N6" s="28" t="s">
        <v>1756</v>
      </c>
      <c r="P6" s="28">
        <v>5</v>
      </c>
    </row>
    <row r="7" spans="1:16" ht="15.75" thickBot="1">
      <c r="A7" s="28" t="s">
        <v>1757</v>
      </c>
      <c r="B7" s="511" t="s">
        <v>1758</v>
      </c>
      <c r="C7" s="28" t="s">
        <v>670</v>
      </c>
      <c r="D7" s="28" t="s">
        <v>1759</v>
      </c>
      <c r="E7" s="28" t="s">
        <v>1760</v>
      </c>
      <c r="F7" s="28" t="s">
        <v>1761</v>
      </c>
      <c r="G7" s="28" t="s">
        <v>1763</v>
      </c>
      <c r="H7" s="28" t="s">
        <v>1762</v>
      </c>
      <c r="I7" s="28" t="s">
        <v>1764</v>
      </c>
      <c r="J7" s="28" t="s">
        <v>1765</v>
      </c>
      <c r="K7" s="28" t="s">
        <v>1766</v>
      </c>
      <c r="L7" s="28" t="s">
        <v>1767</v>
      </c>
      <c r="M7" s="28" t="s">
        <v>1768</v>
      </c>
      <c r="N7" s="28" t="s">
        <v>1769</v>
      </c>
      <c r="P7" s="28">
        <v>6</v>
      </c>
    </row>
    <row r="8" spans="1:16" ht="36.75" thickBot="1">
      <c r="A8" s="28" t="s">
        <v>1770</v>
      </c>
      <c r="B8" s="512" t="s">
        <v>1771</v>
      </c>
      <c r="C8" s="28" t="s">
        <v>670</v>
      </c>
      <c r="D8" s="28" t="s">
        <v>1772</v>
      </c>
      <c r="E8" s="28" t="s">
        <v>1773</v>
      </c>
      <c r="F8" s="28" t="s">
        <v>1774</v>
      </c>
      <c r="G8" s="28" t="s">
        <v>1776</v>
      </c>
      <c r="H8" s="28" t="s">
        <v>1775</v>
      </c>
      <c r="I8" s="28" t="s">
        <v>1777</v>
      </c>
      <c r="J8" s="28" t="s">
        <v>1778</v>
      </c>
      <c r="K8" s="28" t="s">
        <v>1779</v>
      </c>
      <c r="L8" s="28" t="s">
        <v>1775</v>
      </c>
      <c r="M8" s="28" t="s">
        <v>1780</v>
      </c>
      <c r="N8" s="28" t="s">
        <v>1776</v>
      </c>
      <c r="P8" s="28">
        <v>7</v>
      </c>
    </row>
    <row r="9" spans="1:16" ht="36.75" thickBot="1">
      <c r="A9" s="28" t="s">
        <v>1781</v>
      </c>
      <c r="B9" s="510" t="s">
        <v>1782</v>
      </c>
      <c r="C9" s="28" t="s">
        <v>670</v>
      </c>
      <c r="D9" s="28" t="s">
        <v>1783</v>
      </c>
      <c r="E9" s="28" t="s">
        <v>1784</v>
      </c>
      <c r="F9" s="28" t="s">
        <v>1785</v>
      </c>
      <c r="G9" s="28" t="s">
        <v>1787</v>
      </c>
      <c r="H9" s="28" t="s">
        <v>1786</v>
      </c>
      <c r="I9" s="28" t="s">
        <v>1788</v>
      </c>
      <c r="J9" s="28" t="s">
        <v>1789</v>
      </c>
      <c r="K9" s="28" t="s">
        <v>2672</v>
      </c>
      <c r="L9" s="28" t="s">
        <v>1786</v>
      </c>
      <c r="M9" s="28" t="s">
        <v>1790</v>
      </c>
      <c r="N9" s="28" t="s">
        <v>1791</v>
      </c>
      <c r="P9" s="28">
        <v>8</v>
      </c>
    </row>
    <row r="10" spans="1:16" ht="15.75" thickBot="1">
      <c r="A10" s="28" t="s">
        <v>1792</v>
      </c>
      <c r="B10" s="510" t="s">
        <v>1793</v>
      </c>
      <c r="C10" s="28" t="s">
        <v>670</v>
      </c>
      <c r="D10" s="28" t="s">
        <v>1794</v>
      </c>
      <c r="E10" s="28" t="s">
        <v>1795</v>
      </c>
      <c r="F10" s="28" t="s">
        <v>1796</v>
      </c>
      <c r="G10" s="28" t="s">
        <v>1798</v>
      </c>
      <c r="H10" s="28" t="s">
        <v>1797</v>
      </c>
      <c r="I10" s="28" t="s">
        <v>1799</v>
      </c>
      <c r="J10" s="28" t="s">
        <v>1800</v>
      </c>
      <c r="K10" s="28" t="s">
        <v>1801</v>
      </c>
      <c r="L10" s="28" t="s">
        <v>1802</v>
      </c>
      <c r="M10" s="28" t="s">
        <v>1803</v>
      </c>
      <c r="N10" s="28" t="s">
        <v>1804</v>
      </c>
      <c r="P10" s="28">
        <v>9</v>
      </c>
    </row>
    <row r="11" spans="1:16" ht="36.75" thickBot="1">
      <c r="A11" s="28" t="s">
        <v>1805</v>
      </c>
      <c r="B11" s="510" t="s">
        <v>1806</v>
      </c>
      <c r="C11" s="28" t="s">
        <v>670</v>
      </c>
      <c r="D11" s="28" t="s">
        <v>1807</v>
      </c>
      <c r="E11" s="28" t="s">
        <v>1808</v>
      </c>
      <c r="F11" s="28" t="s">
        <v>1809</v>
      </c>
      <c r="G11" s="28" t="s">
        <v>1810</v>
      </c>
      <c r="H11" s="28" t="s">
        <v>2673</v>
      </c>
      <c r="I11" s="28" t="s">
        <v>1811</v>
      </c>
      <c r="J11" s="28" t="s">
        <v>1812</v>
      </c>
      <c r="K11" s="28" t="s">
        <v>1813</v>
      </c>
      <c r="L11" s="28" t="s">
        <v>1807</v>
      </c>
      <c r="M11" s="28" t="s">
        <v>1814</v>
      </c>
      <c r="N11" s="28" t="s">
        <v>1810</v>
      </c>
      <c r="P11" s="28">
        <v>10</v>
      </c>
    </row>
    <row r="12" spans="1:16" ht="24.75" thickBot="1">
      <c r="A12" s="28" t="s">
        <v>1815</v>
      </c>
      <c r="B12" s="510" t="s">
        <v>1816</v>
      </c>
      <c r="C12" s="28" t="s">
        <v>670</v>
      </c>
      <c r="D12" s="28" t="s">
        <v>1817</v>
      </c>
      <c r="E12" s="28" t="s">
        <v>997</v>
      </c>
      <c r="F12" s="28" t="s">
        <v>997</v>
      </c>
      <c r="G12" s="28" t="s">
        <v>997</v>
      </c>
      <c r="H12" s="28" t="s">
        <v>1818</v>
      </c>
      <c r="I12" s="28" t="s">
        <v>1819</v>
      </c>
      <c r="J12" s="28" t="s">
        <v>1820</v>
      </c>
      <c r="K12" s="28" t="s">
        <v>1821</v>
      </c>
      <c r="L12" s="28" t="s">
        <v>1822</v>
      </c>
      <c r="M12" s="28" t="s">
        <v>1823</v>
      </c>
      <c r="N12" s="28" t="s">
        <v>1824</v>
      </c>
      <c r="P12" s="28">
        <v>11</v>
      </c>
    </row>
    <row r="13" spans="1:16" ht="48.75" thickBot="1">
      <c r="A13" s="28" t="s">
        <v>1825</v>
      </c>
      <c r="B13" s="510" t="s">
        <v>1826</v>
      </c>
      <c r="C13" s="28" t="s">
        <v>670</v>
      </c>
      <c r="D13" s="28" t="s">
        <v>1827</v>
      </c>
      <c r="E13" s="28" t="s">
        <v>997</v>
      </c>
      <c r="F13" s="28" t="s">
        <v>1828</v>
      </c>
      <c r="G13" s="28" t="s">
        <v>1830</v>
      </c>
      <c r="H13" s="28" t="s">
        <v>1829</v>
      </c>
      <c r="I13" s="28" t="s">
        <v>1831</v>
      </c>
      <c r="J13" s="28" t="s">
        <v>1832</v>
      </c>
      <c r="K13" s="28" t="s">
        <v>1833</v>
      </c>
      <c r="L13" s="28" t="s">
        <v>1834</v>
      </c>
      <c r="M13" s="28" t="s">
        <v>1835</v>
      </c>
      <c r="N13" s="28" t="s">
        <v>1836</v>
      </c>
      <c r="P13" s="28">
        <v>12</v>
      </c>
    </row>
    <row r="14" spans="1:16" ht="24.75" thickBot="1">
      <c r="A14" s="28" t="s">
        <v>1837</v>
      </c>
      <c r="B14" s="510" t="s">
        <v>1838</v>
      </c>
      <c r="C14" s="28" t="s">
        <v>670</v>
      </c>
      <c r="D14" s="28" t="s">
        <v>1839</v>
      </c>
      <c r="E14" s="28" t="s">
        <v>997</v>
      </c>
      <c r="F14" s="28" t="s">
        <v>1840</v>
      </c>
      <c r="G14" s="28" t="s">
        <v>1839</v>
      </c>
      <c r="H14" s="28" t="s">
        <v>1839</v>
      </c>
      <c r="I14" s="28" t="s">
        <v>1841</v>
      </c>
      <c r="J14" s="28" t="s">
        <v>997</v>
      </c>
      <c r="K14" s="28" t="s">
        <v>1842</v>
      </c>
      <c r="L14" s="28" t="s">
        <v>1839</v>
      </c>
      <c r="M14" s="28" t="s">
        <v>1843</v>
      </c>
      <c r="N14" s="28" t="s">
        <v>1844</v>
      </c>
      <c r="P14" s="28">
        <v>13</v>
      </c>
    </row>
    <row r="15" spans="1:16" ht="36.75" thickBot="1">
      <c r="A15" s="28" t="s">
        <v>1845</v>
      </c>
      <c r="B15" s="510" t="s">
        <v>1846</v>
      </c>
      <c r="C15" s="28" t="s">
        <v>670</v>
      </c>
      <c r="D15" s="28" t="s">
        <v>1847</v>
      </c>
      <c r="E15" s="28" t="s">
        <v>1848</v>
      </c>
      <c r="F15" s="28" t="s">
        <v>1849</v>
      </c>
      <c r="G15" s="28" t="s">
        <v>1851</v>
      </c>
      <c r="H15" s="28" t="s">
        <v>1850</v>
      </c>
      <c r="I15" s="28" t="s">
        <v>1852</v>
      </c>
      <c r="J15" s="28" t="s">
        <v>1853</v>
      </c>
      <c r="K15" s="28" t="s">
        <v>1851</v>
      </c>
      <c r="L15" s="28" t="s">
        <v>1850</v>
      </c>
      <c r="M15" s="28" t="s">
        <v>1854</v>
      </c>
      <c r="N15" s="28" t="s">
        <v>1851</v>
      </c>
      <c r="P15" s="28">
        <v>14</v>
      </c>
    </row>
    <row r="16" spans="1:16" ht="36">
      <c r="A16" s="28" t="s">
        <v>1855</v>
      </c>
      <c r="B16" s="513" t="s">
        <v>1856</v>
      </c>
      <c r="C16" s="28" t="s">
        <v>670</v>
      </c>
      <c r="D16" s="28" t="s">
        <v>1857</v>
      </c>
      <c r="E16" s="28" t="s">
        <v>1858</v>
      </c>
      <c r="F16" s="28" t="s">
        <v>1859</v>
      </c>
      <c r="G16" s="28" t="s">
        <v>1857</v>
      </c>
      <c r="H16" s="28" t="s">
        <v>1860</v>
      </c>
      <c r="I16" s="28" t="s">
        <v>1861</v>
      </c>
      <c r="J16" s="28" t="s">
        <v>997</v>
      </c>
      <c r="K16" s="28" t="s">
        <v>1862</v>
      </c>
      <c r="L16" s="28" t="s">
        <v>1860</v>
      </c>
      <c r="M16" s="28" t="s">
        <v>1863</v>
      </c>
      <c r="N16" s="28" t="s">
        <v>1857</v>
      </c>
      <c r="P16" s="28">
        <v>15</v>
      </c>
    </row>
    <row r="17" spans="1:16" ht="60">
      <c r="A17" s="28" t="s">
        <v>1864</v>
      </c>
      <c r="B17" s="514" t="s">
        <v>1865</v>
      </c>
      <c r="C17" s="28" t="s">
        <v>670</v>
      </c>
      <c r="D17" s="28" t="s">
        <v>1866</v>
      </c>
      <c r="E17" s="28" t="s">
        <v>1867</v>
      </c>
      <c r="F17" s="28" t="s">
        <v>1868</v>
      </c>
      <c r="G17" s="28" t="s">
        <v>1869</v>
      </c>
      <c r="H17" s="28" t="s">
        <v>2674</v>
      </c>
      <c r="I17" s="28" t="s">
        <v>1870</v>
      </c>
      <c r="J17" s="28" t="s">
        <v>1871</v>
      </c>
      <c r="K17" s="28" t="s">
        <v>1872</v>
      </c>
      <c r="L17" s="28" t="s">
        <v>1873</v>
      </c>
      <c r="M17" s="28" t="s">
        <v>2675</v>
      </c>
      <c r="N17" s="28" t="s">
        <v>1874</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47.xml><?xml version="1.0" encoding="utf-8"?>
<worksheet xmlns="http://schemas.openxmlformats.org/spreadsheetml/2006/main" xmlns:r="http://schemas.openxmlformats.org/officeDocument/2006/relationships">
  <sheetPr codeName="Sheet37">
    <tabColor rgb="FFFF0000"/>
    <pageSetUpPr fitToPage="1"/>
  </sheetPr>
  <dimension ref="A1:P17"/>
  <sheetViews>
    <sheetView showRowColHeaders="0" zoomScale="80" zoomScaleNormal="80" workbookViewId="0">
      <selection activeCell="C3" sqref="C3:N17"/>
    </sheetView>
  </sheetViews>
  <sheetFormatPr defaultRowHeight="15"/>
  <cols>
    <col min="1" max="1" width="9.140625" style="28"/>
    <col min="2" max="2" width="35.28515625" style="28" customWidth="1"/>
    <col min="3" max="16384" width="9.140625" style="28"/>
  </cols>
  <sheetData>
    <row r="1" spans="1:16">
      <c r="A1" s="28" t="s">
        <v>1875</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24.75" thickBot="1">
      <c r="A3" s="28" t="s">
        <v>1876</v>
      </c>
      <c r="B3" s="509" t="s">
        <v>1708</v>
      </c>
      <c r="C3" s="28">
        <v>2014</v>
      </c>
      <c r="D3" s="28">
        <v>2016</v>
      </c>
      <c r="E3" s="28">
        <v>2016</v>
      </c>
      <c r="F3" s="28">
        <v>2016</v>
      </c>
      <c r="G3" s="28">
        <v>2016</v>
      </c>
      <c r="H3" s="28">
        <v>2012</v>
      </c>
      <c r="I3" s="28" t="s">
        <v>1877</v>
      </c>
      <c r="J3" s="28">
        <v>2014</v>
      </c>
      <c r="K3" s="28">
        <v>2007</v>
      </c>
      <c r="L3" s="28">
        <v>2014</v>
      </c>
      <c r="M3" s="28" t="s">
        <v>1878</v>
      </c>
      <c r="N3" s="28">
        <v>2016</v>
      </c>
      <c r="P3" s="28">
        <v>2</v>
      </c>
    </row>
    <row r="4" spans="1:16" ht="24.75" thickBot="1">
      <c r="A4" s="28" t="s">
        <v>1879</v>
      </c>
      <c r="B4" s="510" t="s">
        <v>1722</v>
      </c>
      <c r="C4" s="28" t="s">
        <v>1723</v>
      </c>
      <c r="D4" s="28">
        <v>2016</v>
      </c>
      <c r="E4" s="28">
        <v>2016</v>
      </c>
      <c r="F4" s="28">
        <v>2016</v>
      </c>
      <c r="G4" s="28">
        <v>2016</v>
      </c>
      <c r="H4" s="28">
        <v>2014</v>
      </c>
      <c r="I4" s="28">
        <v>2016</v>
      </c>
      <c r="J4" s="28">
        <v>2016</v>
      </c>
      <c r="K4" s="28" t="s">
        <v>670</v>
      </c>
      <c r="L4" s="28">
        <v>2014</v>
      </c>
      <c r="M4" s="28" t="s">
        <v>670</v>
      </c>
      <c r="N4" s="28">
        <v>2016</v>
      </c>
      <c r="P4" s="28">
        <v>3</v>
      </c>
    </row>
    <row r="5" spans="1:16" ht="36.75" thickBot="1">
      <c r="A5" s="28" t="s">
        <v>1880</v>
      </c>
      <c r="B5" s="510" t="s">
        <v>1734</v>
      </c>
      <c r="C5" s="28" t="s">
        <v>1723</v>
      </c>
      <c r="D5" s="28">
        <v>2016</v>
      </c>
      <c r="E5" s="28">
        <v>2016</v>
      </c>
      <c r="F5" s="28">
        <v>2016</v>
      </c>
      <c r="G5" s="28">
        <v>2016</v>
      </c>
      <c r="H5" s="28">
        <v>2014</v>
      </c>
      <c r="I5" s="28">
        <v>2016</v>
      </c>
      <c r="J5" s="28">
        <v>2016</v>
      </c>
      <c r="K5" s="28" t="s">
        <v>670</v>
      </c>
      <c r="L5" s="28">
        <v>2014</v>
      </c>
      <c r="M5" s="28">
        <v>2016</v>
      </c>
      <c r="N5" s="28">
        <v>2016</v>
      </c>
      <c r="P5" s="28">
        <v>4</v>
      </c>
    </row>
    <row r="6" spans="1:16" ht="36.75" thickBot="1">
      <c r="A6" s="28" t="s">
        <v>1881</v>
      </c>
      <c r="B6" s="510" t="s">
        <v>1746</v>
      </c>
      <c r="C6" s="28" t="s">
        <v>1723</v>
      </c>
      <c r="D6" s="28">
        <v>2016</v>
      </c>
      <c r="E6" s="28">
        <v>2016</v>
      </c>
      <c r="F6" s="28">
        <v>2016</v>
      </c>
      <c r="G6" s="28">
        <v>2016</v>
      </c>
      <c r="H6" s="28">
        <v>2014</v>
      </c>
      <c r="I6" s="28" t="s">
        <v>1882</v>
      </c>
      <c r="J6" s="28">
        <v>2016</v>
      </c>
      <c r="K6" s="28">
        <v>2016</v>
      </c>
      <c r="L6" s="28">
        <v>2014</v>
      </c>
      <c r="M6" s="28">
        <v>2016</v>
      </c>
      <c r="N6" s="28">
        <v>2016</v>
      </c>
      <c r="P6" s="28">
        <v>5</v>
      </c>
    </row>
    <row r="7" spans="1:16" ht="15.75" thickBot="1">
      <c r="A7" s="28" t="s">
        <v>1883</v>
      </c>
      <c r="B7" s="511" t="s">
        <v>1758</v>
      </c>
      <c r="C7" s="28">
        <v>2014</v>
      </c>
      <c r="D7" s="28">
        <v>2015</v>
      </c>
      <c r="E7" s="28">
        <v>2015</v>
      </c>
      <c r="F7" s="28">
        <v>2016</v>
      </c>
      <c r="G7" s="28">
        <v>2014</v>
      </c>
      <c r="H7" s="28">
        <v>2014</v>
      </c>
      <c r="I7" s="28">
        <v>2012</v>
      </c>
      <c r="J7" s="28" t="s">
        <v>1884</v>
      </c>
      <c r="K7" s="28">
        <v>2013</v>
      </c>
      <c r="L7" s="28">
        <v>2012</v>
      </c>
      <c r="M7" s="28">
        <v>2014</v>
      </c>
      <c r="N7" s="28">
        <v>2015</v>
      </c>
      <c r="P7" s="28">
        <v>6</v>
      </c>
    </row>
    <row r="8" spans="1:16" ht="36.75" thickBot="1">
      <c r="A8" s="28" t="s">
        <v>1885</v>
      </c>
      <c r="B8" s="512" t="s">
        <v>1771</v>
      </c>
      <c r="C8" s="28">
        <v>2016</v>
      </c>
      <c r="D8" s="28">
        <v>2016</v>
      </c>
      <c r="E8" s="28">
        <v>2016</v>
      </c>
      <c r="F8" s="28">
        <v>2016</v>
      </c>
      <c r="G8" s="28">
        <v>2012</v>
      </c>
      <c r="H8" s="28">
        <v>2014</v>
      </c>
      <c r="I8" s="28">
        <v>2015</v>
      </c>
      <c r="J8" s="28">
        <v>2010</v>
      </c>
      <c r="K8" s="28">
        <v>2016</v>
      </c>
      <c r="L8" s="28">
        <v>2010</v>
      </c>
      <c r="M8" s="28">
        <v>2016</v>
      </c>
      <c r="N8" s="28">
        <v>2014</v>
      </c>
      <c r="P8" s="28">
        <v>7</v>
      </c>
    </row>
    <row r="9" spans="1:16" ht="36.75" thickBot="1">
      <c r="A9" s="28" t="s">
        <v>1886</v>
      </c>
      <c r="B9" s="510" t="s">
        <v>1782</v>
      </c>
      <c r="C9" s="28">
        <v>2014</v>
      </c>
      <c r="D9" s="28">
        <v>2016</v>
      </c>
      <c r="E9" s="28">
        <v>2016</v>
      </c>
      <c r="F9" s="28">
        <v>2016</v>
      </c>
      <c r="G9" s="28">
        <v>2015</v>
      </c>
      <c r="H9" s="28">
        <v>2014</v>
      </c>
      <c r="I9" s="28">
        <v>2016</v>
      </c>
      <c r="J9" s="28">
        <v>2016</v>
      </c>
      <c r="K9" s="28" t="s">
        <v>670</v>
      </c>
      <c r="L9" s="28">
        <v>2014</v>
      </c>
      <c r="M9" s="28">
        <v>2016</v>
      </c>
      <c r="N9" s="28">
        <v>2015</v>
      </c>
      <c r="P9" s="28">
        <v>8</v>
      </c>
    </row>
    <row r="10" spans="1:16" ht="15.75" thickBot="1">
      <c r="A10" s="28" t="s">
        <v>1887</v>
      </c>
      <c r="B10" s="510" t="s">
        <v>1793</v>
      </c>
      <c r="C10" s="28">
        <v>2014</v>
      </c>
      <c r="D10" s="28">
        <v>2016</v>
      </c>
      <c r="E10" s="28">
        <v>2016</v>
      </c>
      <c r="F10" s="28">
        <v>2016</v>
      </c>
      <c r="G10" s="28">
        <v>2015</v>
      </c>
      <c r="H10" s="28">
        <v>2007</v>
      </c>
      <c r="I10" s="28">
        <v>2016</v>
      </c>
      <c r="J10" s="28">
        <v>2015</v>
      </c>
      <c r="K10" s="28">
        <v>2014</v>
      </c>
      <c r="L10" s="28">
        <v>2014</v>
      </c>
      <c r="M10" s="28">
        <v>2016</v>
      </c>
      <c r="N10" s="28">
        <v>2014</v>
      </c>
      <c r="P10" s="28">
        <v>9</v>
      </c>
    </row>
    <row r="11" spans="1:16" ht="36.75" thickBot="1">
      <c r="A11" s="28" t="s">
        <v>1888</v>
      </c>
      <c r="B11" s="510" t="s">
        <v>1806</v>
      </c>
      <c r="C11" s="28" t="s">
        <v>670</v>
      </c>
      <c r="D11" s="28">
        <v>2015</v>
      </c>
      <c r="E11" s="28">
        <v>2015</v>
      </c>
      <c r="F11" s="28">
        <v>2016</v>
      </c>
      <c r="G11" s="28">
        <v>2015</v>
      </c>
      <c r="H11" s="28">
        <v>2014</v>
      </c>
      <c r="I11" s="28">
        <v>2015</v>
      </c>
      <c r="J11" s="28">
        <v>2015</v>
      </c>
      <c r="K11" s="28" t="s">
        <v>670</v>
      </c>
      <c r="L11" s="28">
        <v>2014</v>
      </c>
      <c r="M11" s="28">
        <v>2016</v>
      </c>
      <c r="N11" s="28">
        <v>2015</v>
      </c>
      <c r="P11" s="28">
        <v>10</v>
      </c>
    </row>
    <row r="12" spans="1:16" ht="24.75" thickBot="1">
      <c r="A12" s="28" t="s">
        <v>1889</v>
      </c>
      <c r="B12" s="510" t="s">
        <v>1816</v>
      </c>
      <c r="C12" s="28" t="s">
        <v>2676</v>
      </c>
      <c r="D12" s="28">
        <v>2015</v>
      </c>
      <c r="E12" s="28" t="s">
        <v>997</v>
      </c>
      <c r="F12" s="28" t="s">
        <v>997</v>
      </c>
      <c r="G12" s="28" t="s">
        <v>997</v>
      </c>
      <c r="H12" s="28">
        <v>2007</v>
      </c>
      <c r="I12" s="28">
        <v>2016</v>
      </c>
      <c r="J12" s="28">
        <v>2015</v>
      </c>
      <c r="K12" s="28">
        <v>2014</v>
      </c>
      <c r="L12" s="28">
        <v>2011</v>
      </c>
      <c r="M12" s="28">
        <v>2016</v>
      </c>
      <c r="N12" s="28">
        <v>2014</v>
      </c>
      <c r="P12" s="28">
        <v>11</v>
      </c>
    </row>
    <row r="13" spans="1:16" ht="48.75" thickBot="1">
      <c r="A13" s="28" t="s">
        <v>1890</v>
      </c>
      <c r="B13" s="510" t="s">
        <v>1826</v>
      </c>
      <c r="C13" s="28" t="s">
        <v>1891</v>
      </c>
      <c r="D13" s="28">
        <v>2016</v>
      </c>
      <c r="E13" s="28" t="s">
        <v>997</v>
      </c>
      <c r="F13" s="28">
        <v>2016</v>
      </c>
      <c r="G13" s="28">
        <v>2015</v>
      </c>
      <c r="H13" s="28">
        <v>2014</v>
      </c>
      <c r="I13" s="28">
        <v>2015</v>
      </c>
      <c r="J13" s="28">
        <v>2010</v>
      </c>
      <c r="K13" s="28">
        <v>2013</v>
      </c>
      <c r="L13" s="28">
        <v>2010</v>
      </c>
      <c r="M13" s="28">
        <v>2016</v>
      </c>
      <c r="N13" s="28">
        <v>2013</v>
      </c>
      <c r="P13" s="28">
        <v>12</v>
      </c>
    </row>
    <row r="14" spans="1:16" ht="24.75" thickBot="1">
      <c r="A14" s="28" t="s">
        <v>1892</v>
      </c>
      <c r="B14" s="510" t="s">
        <v>1838</v>
      </c>
      <c r="C14" s="28">
        <v>2016</v>
      </c>
      <c r="D14" s="28" t="s">
        <v>1893</v>
      </c>
      <c r="E14" s="28" t="s">
        <v>997</v>
      </c>
      <c r="F14" s="28">
        <v>2016</v>
      </c>
      <c r="G14" s="28">
        <v>2015</v>
      </c>
      <c r="H14" s="28">
        <v>2014</v>
      </c>
      <c r="I14" s="28">
        <v>2014</v>
      </c>
      <c r="J14" s="28" t="s">
        <v>997</v>
      </c>
      <c r="K14" s="28">
        <v>2013</v>
      </c>
      <c r="L14" s="28">
        <v>2014</v>
      </c>
      <c r="M14" s="28">
        <v>2016</v>
      </c>
      <c r="N14" s="28">
        <v>2014</v>
      </c>
      <c r="P14" s="28">
        <v>13</v>
      </c>
    </row>
    <row r="15" spans="1:16" ht="36.75" thickBot="1">
      <c r="A15" s="28" t="s">
        <v>1894</v>
      </c>
      <c r="B15" s="510" t="s">
        <v>1846</v>
      </c>
      <c r="C15" s="28" t="s">
        <v>1723</v>
      </c>
      <c r="D15" s="28">
        <v>2016</v>
      </c>
      <c r="E15" s="28">
        <v>2016</v>
      </c>
      <c r="F15" s="28">
        <v>2016</v>
      </c>
      <c r="G15" s="28">
        <v>2015</v>
      </c>
      <c r="H15" s="28">
        <v>2014</v>
      </c>
      <c r="I15" s="28">
        <v>2016</v>
      </c>
      <c r="J15" s="28">
        <v>2016</v>
      </c>
      <c r="K15" s="28">
        <v>2014</v>
      </c>
      <c r="L15" s="28">
        <v>2012</v>
      </c>
      <c r="M15" s="28">
        <v>2016</v>
      </c>
      <c r="N15" s="28" t="s">
        <v>1895</v>
      </c>
      <c r="P15" s="28">
        <v>14</v>
      </c>
    </row>
    <row r="16" spans="1:16" ht="36">
      <c r="A16" s="28" t="s">
        <v>1896</v>
      </c>
      <c r="B16" s="513" t="s">
        <v>1856</v>
      </c>
      <c r="C16" s="28" t="s">
        <v>1723</v>
      </c>
      <c r="D16" s="28">
        <v>2016</v>
      </c>
      <c r="E16" s="28" t="s">
        <v>997</v>
      </c>
      <c r="F16" s="28">
        <v>2016</v>
      </c>
      <c r="G16" s="28">
        <v>2015</v>
      </c>
      <c r="H16" s="28">
        <v>2014</v>
      </c>
      <c r="I16" s="28">
        <v>2016</v>
      </c>
      <c r="J16" s="28" t="s">
        <v>997</v>
      </c>
      <c r="K16" s="28" t="s">
        <v>670</v>
      </c>
      <c r="L16" s="28">
        <v>1995</v>
      </c>
      <c r="M16" s="28">
        <v>2016</v>
      </c>
      <c r="N16" s="28">
        <v>2014</v>
      </c>
      <c r="P16" s="28">
        <v>15</v>
      </c>
    </row>
    <row r="17" spans="1:16" ht="60">
      <c r="A17" s="28" t="s">
        <v>1897</v>
      </c>
      <c r="B17" s="514" t="s">
        <v>1865</v>
      </c>
      <c r="C17" s="28" t="s">
        <v>1723</v>
      </c>
      <c r="D17" s="28" t="s">
        <v>1898</v>
      </c>
      <c r="E17" s="28" t="s">
        <v>997</v>
      </c>
      <c r="F17" s="28">
        <v>2016</v>
      </c>
      <c r="G17" s="28">
        <v>2016</v>
      </c>
      <c r="H17" s="28">
        <v>2014</v>
      </c>
      <c r="I17" s="28">
        <v>2005</v>
      </c>
      <c r="J17" s="28">
        <v>2015</v>
      </c>
      <c r="K17" s="28">
        <v>2014</v>
      </c>
      <c r="L17" s="28">
        <v>2014</v>
      </c>
      <c r="M17" s="28">
        <v>2014</v>
      </c>
      <c r="N17" s="28" t="s">
        <v>1895</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48.xml><?xml version="1.0" encoding="utf-8"?>
<worksheet xmlns="http://schemas.openxmlformats.org/spreadsheetml/2006/main" xmlns:r="http://schemas.openxmlformats.org/officeDocument/2006/relationships">
  <sheetPr codeName="Sheet38">
    <tabColor rgb="FFFF0000"/>
    <pageSetUpPr fitToPage="1"/>
  </sheetPr>
  <dimension ref="A1:P17"/>
  <sheetViews>
    <sheetView showRowColHeaders="0" zoomScale="80" zoomScaleNormal="80" workbookViewId="0">
      <selection activeCell="C3" sqref="C3:N17"/>
    </sheetView>
  </sheetViews>
  <sheetFormatPr defaultRowHeight="15"/>
  <cols>
    <col min="1" max="1" width="9.140625" style="28"/>
    <col min="2" max="2" width="35.28515625" style="28" customWidth="1"/>
    <col min="3" max="16384" width="9.140625" style="28"/>
  </cols>
  <sheetData>
    <row r="1" spans="1:16">
      <c r="A1" s="28" t="s">
        <v>1899</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24.75" thickBot="1">
      <c r="A3" s="28" t="s">
        <v>969</v>
      </c>
      <c r="B3" s="509" t="s">
        <v>1708</v>
      </c>
      <c r="C3" s="28" t="s">
        <v>1900</v>
      </c>
      <c r="D3" s="28" t="s">
        <v>1901</v>
      </c>
      <c r="E3" s="28" t="s">
        <v>1902</v>
      </c>
      <c r="F3" s="28" t="s">
        <v>1903</v>
      </c>
      <c r="G3" s="28" t="s">
        <v>1905</v>
      </c>
      <c r="H3" s="28" t="s">
        <v>1904</v>
      </c>
      <c r="I3" s="28" t="s">
        <v>1906</v>
      </c>
      <c r="J3" s="28" t="s">
        <v>1907</v>
      </c>
      <c r="K3" s="28" t="s">
        <v>1908</v>
      </c>
      <c r="L3" s="28" t="s">
        <v>1909</v>
      </c>
      <c r="M3" s="28" t="s">
        <v>1910</v>
      </c>
      <c r="N3" s="28" t="s">
        <v>1911</v>
      </c>
      <c r="P3" s="28">
        <v>2</v>
      </c>
    </row>
    <row r="4" spans="1:16" ht="24.75" thickBot="1">
      <c r="A4" s="28" t="s">
        <v>970</v>
      </c>
      <c r="B4" s="510" t="s">
        <v>1722</v>
      </c>
      <c r="C4" s="28" t="s">
        <v>1723</v>
      </c>
      <c r="D4" s="28" t="s">
        <v>1912</v>
      </c>
      <c r="E4" s="28" t="s">
        <v>670</v>
      </c>
      <c r="F4" s="28" t="s">
        <v>1913</v>
      </c>
      <c r="G4" s="28" t="s">
        <v>1914</v>
      </c>
      <c r="H4" s="28" t="s">
        <v>1904</v>
      </c>
      <c r="I4" s="28" t="s">
        <v>1915</v>
      </c>
      <c r="J4" s="28" t="s">
        <v>1916</v>
      </c>
      <c r="K4" s="28" t="s">
        <v>1917</v>
      </c>
      <c r="L4" s="28" t="s">
        <v>1909</v>
      </c>
      <c r="M4" s="28" t="s">
        <v>670</v>
      </c>
      <c r="N4" s="28" t="s">
        <v>1918</v>
      </c>
      <c r="P4" s="28">
        <v>3</v>
      </c>
    </row>
    <row r="5" spans="1:16" ht="36.75" thickBot="1">
      <c r="A5" s="28" t="s">
        <v>971</v>
      </c>
      <c r="B5" s="510" t="s">
        <v>1734</v>
      </c>
      <c r="C5" s="28" t="s">
        <v>1723</v>
      </c>
      <c r="D5" s="28" t="s">
        <v>1912</v>
      </c>
      <c r="E5" s="28" t="s">
        <v>1902</v>
      </c>
      <c r="F5" s="28" t="s">
        <v>1919</v>
      </c>
      <c r="G5" s="28" t="s">
        <v>1920</v>
      </c>
      <c r="H5" s="28" t="s">
        <v>1904</v>
      </c>
      <c r="I5" s="28" t="s">
        <v>1921</v>
      </c>
      <c r="J5" s="28" t="s">
        <v>1922</v>
      </c>
      <c r="K5" s="28" t="s">
        <v>1917</v>
      </c>
      <c r="L5" s="28" t="s">
        <v>1909</v>
      </c>
      <c r="M5" s="28" t="s">
        <v>1923</v>
      </c>
      <c r="N5" s="28" t="s">
        <v>1924</v>
      </c>
      <c r="P5" s="28">
        <v>4</v>
      </c>
    </row>
    <row r="6" spans="1:16" ht="36.75" thickBot="1">
      <c r="A6" s="28" t="s">
        <v>972</v>
      </c>
      <c r="B6" s="510" t="s">
        <v>1746</v>
      </c>
      <c r="C6" s="28" t="s">
        <v>1723</v>
      </c>
      <c r="D6" s="28" t="s">
        <v>1925</v>
      </c>
      <c r="E6" s="28" t="s">
        <v>1902</v>
      </c>
      <c r="F6" s="28" t="s">
        <v>1926</v>
      </c>
      <c r="G6" s="28" t="s">
        <v>1927</v>
      </c>
      <c r="H6" s="28" t="s">
        <v>1904</v>
      </c>
      <c r="I6" s="28" t="s">
        <v>1928</v>
      </c>
      <c r="J6" s="28" t="s">
        <v>1929</v>
      </c>
      <c r="K6" s="28" t="s">
        <v>1930</v>
      </c>
      <c r="L6" s="28" t="s">
        <v>1909</v>
      </c>
      <c r="M6" s="28" t="s">
        <v>2401</v>
      </c>
      <c r="N6" s="28" t="s">
        <v>1931</v>
      </c>
      <c r="P6" s="28">
        <v>5</v>
      </c>
    </row>
    <row r="7" spans="1:16" ht="15.75" thickBot="1">
      <c r="A7" s="28" t="s">
        <v>973</v>
      </c>
      <c r="B7" s="511" t="s">
        <v>1758</v>
      </c>
      <c r="C7" s="28" t="s">
        <v>2402</v>
      </c>
      <c r="D7" s="28" t="s">
        <v>1933</v>
      </c>
      <c r="E7" s="28" t="s">
        <v>1934</v>
      </c>
      <c r="F7" s="28" t="s">
        <v>1935</v>
      </c>
      <c r="G7" s="28" t="s">
        <v>1936</v>
      </c>
      <c r="H7" s="28" t="s">
        <v>1904</v>
      </c>
      <c r="I7" s="28" t="s">
        <v>1937</v>
      </c>
      <c r="J7" s="28" t="s">
        <v>1938</v>
      </c>
      <c r="K7" s="28" t="s">
        <v>1939</v>
      </c>
      <c r="L7" s="28" t="s">
        <v>1909</v>
      </c>
      <c r="M7" s="28" t="s">
        <v>1940</v>
      </c>
      <c r="N7" s="28" t="s">
        <v>1941</v>
      </c>
      <c r="P7" s="28">
        <v>6</v>
      </c>
    </row>
    <row r="8" spans="1:16" ht="36.75" thickBot="1">
      <c r="A8" s="28" t="s">
        <v>974</v>
      </c>
      <c r="B8" s="512" t="s">
        <v>1771</v>
      </c>
      <c r="C8" s="28" t="s">
        <v>1932</v>
      </c>
      <c r="D8" s="28" t="s">
        <v>1942</v>
      </c>
      <c r="E8" s="28" t="s">
        <v>1943</v>
      </c>
      <c r="F8" s="28" t="s">
        <v>1944</v>
      </c>
      <c r="G8" s="28" t="s">
        <v>1945</v>
      </c>
      <c r="H8" s="28" t="s">
        <v>1904</v>
      </c>
      <c r="I8" s="28" t="s">
        <v>1946</v>
      </c>
      <c r="J8" s="28" t="s">
        <v>1947</v>
      </c>
      <c r="K8" s="28" t="s">
        <v>1948</v>
      </c>
      <c r="L8" s="28" t="s">
        <v>1949</v>
      </c>
      <c r="M8" s="28" t="s">
        <v>2401</v>
      </c>
      <c r="N8" s="28" t="s">
        <v>1950</v>
      </c>
      <c r="P8" s="28">
        <v>7</v>
      </c>
    </row>
    <row r="9" spans="1:16" ht="36.75" thickBot="1">
      <c r="A9" s="28" t="s">
        <v>975</v>
      </c>
      <c r="B9" s="510" t="s">
        <v>1782</v>
      </c>
      <c r="C9" s="28" t="s">
        <v>1723</v>
      </c>
      <c r="D9" s="28" t="s">
        <v>1951</v>
      </c>
      <c r="E9" s="28" t="s">
        <v>1952</v>
      </c>
      <c r="F9" s="28" t="s">
        <v>1953</v>
      </c>
      <c r="G9" s="28" t="s">
        <v>1954</v>
      </c>
      <c r="H9" s="28" t="s">
        <v>1904</v>
      </c>
      <c r="I9" s="28" t="s">
        <v>1955</v>
      </c>
      <c r="J9" s="28" t="s">
        <v>1956</v>
      </c>
      <c r="K9" s="28" t="s">
        <v>670</v>
      </c>
      <c r="L9" s="28" t="s">
        <v>1909</v>
      </c>
      <c r="M9" s="28" t="s">
        <v>2401</v>
      </c>
      <c r="N9" s="28" t="s">
        <v>1957</v>
      </c>
      <c r="P9" s="28">
        <v>8</v>
      </c>
    </row>
    <row r="10" spans="1:16" ht="15.75" thickBot="1">
      <c r="A10" s="28" t="s">
        <v>976</v>
      </c>
      <c r="B10" s="510" t="s">
        <v>1793</v>
      </c>
      <c r="C10" s="28" t="s">
        <v>1723</v>
      </c>
      <c r="D10" s="28" t="s">
        <v>1958</v>
      </c>
      <c r="E10" s="28" t="s">
        <v>1959</v>
      </c>
      <c r="F10" s="28" t="s">
        <v>1960</v>
      </c>
      <c r="G10" s="28" t="s">
        <v>1962</v>
      </c>
      <c r="H10" s="28" t="s">
        <v>1961</v>
      </c>
      <c r="I10" s="28" t="s">
        <v>1963</v>
      </c>
      <c r="J10" s="28" t="s">
        <v>1964</v>
      </c>
      <c r="K10" s="28" t="s">
        <v>1965</v>
      </c>
      <c r="L10" s="28" t="s">
        <v>1909</v>
      </c>
      <c r="M10" s="28" t="s">
        <v>2403</v>
      </c>
      <c r="N10" s="28" t="s">
        <v>1966</v>
      </c>
      <c r="P10" s="28">
        <v>9</v>
      </c>
    </row>
    <row r="11" spans="1:16" ht="36.75" thickBot="1">
      <c r="A11" s="28" t="s">
        <v>977</v>
      </c>
      <c r="B11" s="510" t="s">
        <v>1806</v>
      </c>
      <c r="C11" s="28" t="s">
        <v>1723</v>
      </c>
      <c r="D11" s="28" t="s">
        <v>1967</v>
      </c>
      <c r="E11" s="28" t="s">
        <v>1968</v>
      </c>
      <c r="F11" s="28" t="s">
        <v>1969</v>
      </c>
      <c r="G11" s="28" t="s">
        <v>1971</v>
      </c>
      <c r="H11" s="28" t="s">
        <v>1970</v>
      </c>
      <c r="I11" s="28" t="s">
        <v>1972</v>
      </c>
      <c r="J11" s="28" t="s">
        <v>1973</v>
      </c>
      <c r="K11" s="28" t="s">
        <v>670</v>
      </c>
      <c r="L11" s="28" t="s">
        <v>1909</v>
      </c>
      <c r="M11" s="28" t="s">
        <v>2401</v>
      </c>
      <c r="N11" s="28" t="s">
        <v>1974</v>
      </c>
      <c r="P11" s="28">
        <v>10</v>
      </c>
    </row>
    <row r="12" spans="1:16" ht="24.75" thickBot="1">
      <c r="A12" s="28" t="s">
        <v>978</v>
      </c>
      <c r="B12" s="510" t="s">
        <v>1816</v>
      </c>
      <c r="C12" s="28" t="s">
        <v>2404</v>
      </c>
      <c r="D12" s="28" t="s">
        <v>1975</v>
      </c>
      <c r="E12" s="28" t="s">
        <v>997</v>
      </c>
      <c r="F12" s="28" t="s">
        <v>2405</v>
      </c>
      <c r="G12" s="28" t="s">
        <v>997</v>
      </c>
      <c r="H12" s="28" t="s">
        <v>1976</v>
      </c>
      <c r="I12" s="28" t="s">
        <v>1977</v>
      </c>
      <c r="J12" s="28" t="s">
        <v>1978</v>
      </c>
      <c r="K12" s="28" t="s">
        <v>1965</v>
      </c>
      <c r="L12" s="28" t="s">
        <v>1979</v>
      </c>
      <c r="M12" s="28" t="s">
        <v>2401</v>
      </c>
      <c r="N12" s="28" t="s">
        <v>1980</v>
      </c>
      <c r="P12" s="28">
        <v>11</v>
      </c>
    </row>
    <row r="13" spans="1:16" ht="48.75" thickBot="1">
      <c r="A13" s="28" t="s">
        <v>979</v>
      </c>
      <c r="B13" s="510" t="s">
        <v>1826</v>
      </c>
      <c r="C13" s="28" t="s">
        <v>1981</v>
      </c>
      <c r="D13" s="28" t="s">
        <v>1982</v>
      </c>
      <c r="E13" s="28" t="s">
        <v>997</v>
      </c>
      <c r="F13" s="28" t="s">
        <v>1983</v>
      </c>
      <c r="G13" s="28" t="s">
        <v>1971</v>
      </c>
      <c r="H13" s="28" t="s">
        <v>1904</v>
      </c>
      <c r="I13" s="28" t="s">
        <v>1984</v>
      </c>
      <c r="J13" s="28" t="s">
        <v>1947</v>
      </c>
      <c r="K13" s="28" t="s">
        <v>1965</v>
      </c>
      <c r="L13" s="28" t="s">
        <v>1909</v>
      </c>
      <c r="M13" s="28" t="s">
        <v>2401</v>
      </c>
      <c r="N13" s="28" t="s">
        <v>1985</v>
      </c>
      <c r="P13" s="28">
        <v>12</v>
      </c>
    </row>
    <row r="14" spans="1:16" ht="24.75" thickBot="1">
      <c r="A14" s="28" t="s">
        <v>980</v>
      </c>
      <c r="B14" s="510" t="s">
        <v>1838</v>
      </c>
      <c r="C14" s="28" t="s">
        <v>1723</v>
      </c>
      <c r="D14" s="28" t="s">
        <v>1893</v>
      </c>
      <c r="E14" s="28" t="s">
        <v>997</v>
      </c>
      <c r="F14" s="28" t="s">
        <v>1986</v>
      </c>
      <c r="G14" s="28" t="s">
        <v>1971</v>
      </c>
      <c r="H14" s="28" t="s">
        <v>1904</v>
      </c>
      <c r="I14" s="28" t="s">
        <v>1987</v>
      </c>
      <c r="J14" s="28" t="s">
        <v>997</v>
      </c>
      <c r="K14" s="28" t="s">
        <v>1988</v>
      </c>
      <c r="L14" s="28" t="s">
        <v>1989</v>
      </c>
      <c r="M14" s="28" t="s">
        <v>2401</v>
      </c>
      <c r="N14" s="28" t="s">
        <v>1990</v>
      </c>
      <c r="P14" s="28">
        <v>13</v>
      </c>
    </row>
    <row r="15" spans="1:16" ht="36.75" thickBot="1">
      <c r="A15" s="28" t="s">
        <v>981</v>
      </c>
      <c r="B15" s="510" t="s">
        <v>1846</v>
      </c>
      <c r="C15" s="28" t="s">
        <v>1723</v>
      </c>
      <c r="D15" s="28" t="s">
        <v>1997</v>
      </c>
      <c r="E15" s="28" t="s">
        <v>1991</v>
      </c>
      <c r="F15" s="28" t="s">
        <v>1992</v>
      </c>
      <c r="G15" s="28" t="s">
        <v>1971</v>
      </c>
      <c r="H15" s="28" t="s">
        <v>1904</v>
      </c>
      <c r="I15" s="28" t="s">
        <v>1993</v>
      </c>
      <c r="J15" s="28" t="s">
        <v>1994</v>
      </c>
      <c r="K15" s="28" t="s">
        <v>1995</v>
      </c>
      <c r="L15" s="28" t="s">
        <v>1909</v>
      </c>
      <c r="M15" s="28" t="s">
        <v>2401</v>
      </c>
      <c r="N15" s="28" t="s">
        <v>1996</v>
      </c>
      <c r="P15" s="28">
        <v>14</v>
      </c>
    </row>
    <row r="16" spans="1:16" ht="36">
      <c r="A16" s="28" t="s">
        <v>982</v>
      </c>
      <c r="B16" s="513" t="s">
        <v>1856</v>
      </c>
      <c r="C16" s="28" t="s">
        <v>1723</v>
      </c>
      <c r="D16" s="28" t="s">
        <v>1997</v>
      </c>
      <c r="E16" s="28" t="s">
        <v>997</v>
      </c>
      <c r="F16" s="28" t="s">
        <v>1986</v>
      </c>
      <c r="G16" s="28" t="s">
        <v>1998</v>
      </c>
      <c r="H16" s="28" t="s">
        <v>1904</v>
      </c>
      <c r="I16" s="28" t="s">
        <v>1999</v>
      </c>
      <c r="J16" s="28" t="s">
        <v>997</v>
      </c>
      <c r="K16" s="28" t="s">
        <v>670</v>
      </c>
      <c r="L16" s="28" t="s">
        <v>2000</v>
      </c>
      <c r="M16" s="28" t="s">
        <v>2401</v>
      </c>
      <c r="N16" s="28" t="s">
        <v>2001</v>
      </c>
      <c r="P16" s="28">
        <v>15</v>
      </c>
    </row>
    <row r="17" spans="1:16" ht="60">
      <c r="A17" s="28" t="s">
        <v>983</v>
      </c>
      <c r="B17" s="514" t="s">
        <v>1865</v>
      </c>
      <c r="C17" s="28" t="s">
        <v>1723</v>
      </c>
      <c r="D17" s="28" t="s">
        <v>1997</v>
      </c>
      <c r="E17" s="28" t="s">
        <v>997</v>
      </c>
      <c r="F17" s="28" t="s">
        <v>2002</v>
      </c>
      <c r="G17" s="28" t="s">
        <v>2003</v>
      </c>
      <c r="H17" s="28" t="s">
        <v>1904</v>
      </c>
      <c r="I17" s="28" t="s">
        <v>2004</v>
      </c>
      <c r="J17" s="28" t="s">
        <v>2005</v>
      </c>
      <c r="K17" s="28" t="s">
        <v>1995</v>
      </c>
      <c r="L17" s="28" t="s">
        <v>1909</v>
      </c>
      <c r="M17" s="28" t="s">
        <v>1940</v>
      </c>
      <c r="N17" s="28" t="s">
        <v>1996</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49.xml><?xml version="1.0" encoding="utf-8"?>
<worksheet xmlns="http://schemas.openxmlformats.org/spreadsheetml/2006/main" xmlns:r="http://schemas.openxmlformats.org/officeDocument/2006/relationships">
  <sheetPr codeName="Sheet39">
    <tabColor rgb="FFFF0000"/>
    <pageSetUpPr fitToPage="1"/>
  </sheetPr>
  <dimension ref="A1:P17"/>
  <sheetViews>
    <sheetView showRowColHeaders="0" zoomScale="80" zoomScaleNormal="80" workbookViewId="0">
      <selection activeCell="C3" sqref="C3:O17"/>
    </sheetView>
  </sheetViews>
  <sheetFormatPr defaultRowHeight="15"/>
  <cols>
    <col min="1" max="1" width="9.140625" style="28"/>
    <col min="2" max="2" width="35.28515625" style="28" customWidth="1"/>
    <col min="3" max="16384" width="9.140625" style="28"/>
  </cols>
  <sheetData>
    <row r="1" spans="1:16">
      <c r="A1" s="28" t="s">
        <v>2006</v>
      </c>
      <c r="C1" s="28">
        <v>1</v>
      </c>
      <c r="D1" s="28">
        <v>2</v>
      </c>
      <c r="E1" s="28">
        <v>3</v>
      </c>
      <c r="F1" s="28">
        <v>4</v>
      </c>
      <c r="G1" s="28">
        <v>6</v>
      </c>
      <c r="H1" s="28">
        <v>5</v>
      </c>
      <c r="I1" s="28">
        <v>7</v>
      </c>
      <c r="J1" s="28">
        <v>8</v>
      </c>
      <c r="K1" s="28">
        <v>9</v>
      </c>
      <c r="L1" s="28">
        <v>10</v>
      </c>
      <c r="M1" s="28">
        <v>11</v>
      </c>
      <c r="N1" s="28">
        <v>12</v>
      </c>
    </row>
    <row r="2" spans="1:16" ht="15.75" thickBot="1">
      <c r="B2" s="508" t="s">
        <v>1706</v>
      </c>
      <c r="C2" s="28" t="s">
        <v>334</v>
      </c>
      <c r="D2" s="28" t="s">
        <v>335</v>
      </c>
      <c r="E2" s="28" t="s">
        <v>332</v>
      </c>
      <c r="F2" s="28" t="s">
        <v>333</v>
      </c>
      <c r="G2" s="28" t="s">
        <v>2252</v>
      </c>
      <c r="H2" s="28" t="s">
        <v>336</v>
      </c>
      <c r="I2" s="28" t="s">
        <v>337</v>
      </c>
      <c r="J2" s="28" t="s">
        <v>338</v>
      </c>
      <c r="K2" s="28" t="s">
        <v>339</v>
      </c>
      <c r="L2" s="28" t="s">
        <v>342</v>
      </c>
      <c r="M2" s="28" t="s">
        <v>340</v>
      </c>
      <c r="N2" s="28" t="s">
        <v>341</v>
      </c>
      <c r="P2" s="28">
        <v>1</v>
      </c>
    </row>
    <row r="3" spans="1:16" ht="24.75" thickBot="1">
      <c r="A3" s="28" t="s">
        <v>1007</v>
      </c>
      <c r="B3" s="509" t="s">
        <v>1708</v>
      </c>
      <c r="C3" s="28" t="s">
        <v>1723</v>
      </c>
      <c r="D3" s="28" t="s">
        <v>2007</v>
      </c>
      <c r="E3" s="28" t="s">
        <v>2008</v>
      </c>
      <c r="F3" s="28" t="s">
        <v>2007</v>
      </c>
      <c r="G3" s="28" t="s">
        <v>2008</v>
      </c>
      <c r="H3" s="28" t="s">
        <v>2009</v>
      </c>
      <c r="I3" s="28" t="s">
        <v>2010</v>
      </c>
      <c r="J3" s="28" t="s">
        <v>2011</v>
      </c>
      <c r="K3" s="28" t="s">
        <v>2012</v>
      </c>
      <c r="L3" s="28" t="s">
        <v>2009</v>
      </c>
      <c r="M3" s="28" t="s">
        <v>2013</v>
      </c>
      <c r="N3" s="28" t="s">
        <v>2012</v>
      </c>
      <c r="P3" s="28">
        <v>2</v>
      </c>
    </row>
    <row r="4" spans="1:16" ht="24.75" thickBot="1">
      <c r="A4" s="28" t="s">
        <v>1014</v>
      </c>
      <c r="B4" s="510" t="s">
        <v>1722</v>
      </c>
      <c r="C4" s="28" t="s">
        <v>1723</v>
      </c>
      <c r="D4" s="28" t="s">
        <v>2007</v>
      </c>
      <c r="E4" s="28" t="s">
        <v>2008</v>
      </c>
      <c r="F4" s="28" t="s">
        <v>2007</v>
      </c>
      <c r="G4" s="28" t="s">
        <v>2007</v>
      </c>
      <c r="H4" s="28" t="s">
        <v>2009</v>
      </c>
      <c r="I4" s="28" t="s">
        <v>2014</v>
      </c>
      <c r="J4" s="28" t="s">
        <v>2015</v>
      </c>
      <c r="K4" s="28" t="s">
        <v>2016</v>
      </c>
      <c r="L4" s="28" t="s">
        <v>2009</v>
      </c>
      <c r="M4" s="28" t="s">
        <v>670</v>
      </c>
      <c r="N4" s="28" t="s">
        <v>2016</v>
      </c>
      <c r="P4" s="28">
        <v>3</v>
      </c>
    </row>
    <row r="5" spans="1:16" ht="36.75" thickBot="1">
      <c r="A5" s="28" t="s">
        <v>1021</v>
      </c>
      <c r="B5" s="510" t="s">
        <v>1734</v>
      </c>
      <c r="C5" s="28" t="s">
        <v>1723</v>
      </c>
      <c r="D5" s="28" t="s">
        <v>2007</v>
      </c>
      <c r="E5" s="28" t="s">
        <v>2008</v>
      </c>
      <c r="F5" s="28" t="s">
        <v>2007</v>
      </c>
      <c r="G5" s="28" t="s">
        <v>2007</v>
      </c>
      <c r="H5" s="28" t="s">
        <v>2009</v>
      </c>
      <c r="I5" s="28" t="s">
        <v>2014</v>
      </c>
      <c r="J5" s="28" t="s">
        <v>2017</v>
      </c>
      <c r="K5" s="28" t="s">
        <v>2016</v>
      </c>
      <c r="L5" s="28" t="s">
        <v>2009</v>
      </c>
      <c r="M5" s="28" t="s">
        <v>2406</v>
      </c>
      <c r="N5" s="28" t="s">
        <v>2016</v>
      </c>
      <c r="P5" s="28">
        <v>4</v>
      </c>
    </row>
    <row r="6" spans="1:16" ht="36.75" thickBot="1">
      <c r="A6" s="28" t="s">
        <v>1032</v>
      </c>
      <c r="B6" s="510" t="s">
        <v>1746</v>
      </c>
      <c r="C6" s="28" t="s">
        <v>1723</v>
      </c>
      <c r="D6" s="28" t="s">
        <v>2007</v>
      </c>
      <c r="E6" s="28" t="s">
        <v>2018</v>
      </c>
      <c r="F6" s="28" t="s">
        <v>2007</v>
      </c>
      <c r="G6" s="28" t="s">
        <v>160</v>
      </c>
      <c r="H6" s="28" t="s">
        <v>2009</v>
      </c>
      <c r="I6" s="28" t="s">
        <v>2019</v>
      </c>
      <c r="J6" s="28" t="s">
        <v>2020</v>
      </c>
      <c r="K6" s="28" t="s">
        <v>2016</v>
      </c>
      <c r="L6" s="28" t="s">
        <v>2009</v>
      </c>
      <c r="M6" s="28" t="s">
        <v>2021</v>
      </c>
      <c r="N6" s="28" t="s">
        <v>2016</v>
      </c>
      <c r="P6" s="28">
        <v>5</v>
      </c>
    </row>
    <row r="7" spans="1:16" ht="15.75" thickBot="1">
      <c r="A7" s="28" t="s">
        <v>1040</v>
      </c>
      <c r="B7" s="511" t="s">
        <v>1758</v>
      </c>
      <c r="C7" s="28" t="s">
        <v>2407</v>
      </c>
      <c r="D7" s="28" t="s">
        <v>2022</v>
      </c>
      <c r="E7" s="28" t="s">
        <v>2023</v>
      </c>
      <c r="F7" s="28" t="s">
        <v>2024</v>
      </c>
      <c r="G7" s="28" t="s">
        <v>2024</v>
      </c>
      <c r="H7" s="28" t="s">
        <v>2025</v>
      </c>
      <c r="I7" s="28" t="s">
        <v>2026</v>
      </c>
      <c r="J7" s="28" t="s">
        <v>2027</v>
      </c>
      <c r="K7" s="28" t="s">
        <v>2028</v>
      </c>
      <c r="L7" s="28" t="s">
        <v>2029</v>
      </c>
      <c r="M7" s="28" t="s">
        <v>2030</v>
      </c>
      <c r="N7" s="28" t="s">
        <v>2023</v>
      </c>
      <c r="P7" s="28">
        <v>6</v>
      </c>
    </row>
    <row r="8" spans="1:16" ht="36.75" thickBot="1">
      <c r="A8" s="28" t="s">
        <v>1050</v>
      </c>
      <c r="B8" s="512" t="s">
        <v>1771</v>
      </c>
      <c r="C8" s="28" t="s">
        <v>242</v>
      </c>
      <c r="D8" s="28" t="s">
        <v>242</v>
      </c>
      <c r="E8" s="28" t="s">
        <v>2031</v>
      </c>
      <c r="F8" s="28" t="s">
        <v>2031</v>
      </c>
      <c r="G8" s="28" t="s">
        <v>2031</v>
      </c>
      <c r="H8" s="28" t="s">
        <v>2031</v>
      </c>
      <c r="I8" s="28" t="s">
        <v>2032</v>
      </c>
      <c r="J8" s="28" t="s">
        <v>2033</v>
      </c>
      <c r="K8" s="28" t="s">
        <v>2032</v>
      </c>
      <c r="L8" s="28" t="s">
        <v>2031</v>
      </c>
      <c r="M8" s="28" t="s">
        <v>2032</v>
      </c>
      <c r="N8" s="28" t="s">
        <v>2034</v>
      </c>
      <c r="P8" s="28">
        <v>7</v>
      </c>
    </row>
    <row r="9" spans="1:16" ht="36.75" thickBot="1">
      <c r="A9" s="28" t="s">
        <v>1060</v>
      </c>
      <c r="B9" s="510" t="s">
        <v>1782</v>
      </c>
      <c r="C9" s="28" t="s">
        <v>1723</v>
      </c>
      <c r="D9" s="28" t="s">
        <v>2031</v>
      </c>
      <c r="E9" s="28" t="s">
        <v>2032</v>
      </c>
      <c r="F9" s="28" t="s">
        <v>2031</v>
      </c>
      <c r="G9" s="28" t="s">
        <v>2031</v>
      </c>
      <c r="H9" s="28" t="s">
        <v>2031</v>
      </c>
      <c r="I9" s="28" t="s">
        <v>2032</v>
      </c>
      <c r="J9" s="28" t="s">
        <v>2035</v>
      </c>
      <c r="K9" s="28" t="s">
        <v>2036</v>
      </c>
      <c r="L9" s="28" t="s">
        <v>2031</v>
      </c>
      <c r="M9" s="28" t="s">
        <v>2032</v>
      </c>
      <c r="N9" s="28" t="s">
        <v>2034</v>
      </c>
      <c r="P9" s="28">
        <v>8</v>
      </c>
    </row>
    <row r="10" spans="1:16" ht="15.75" thickBot="1">
      <c r="A10" s="28" t="s">
        <v>1070</v>
      </c>
      <c r="B10" s="510" t="s">
        <v>1793</v>
      </c>
      <c r="C10" s="28" t="s">
        <v>1723</v>
      </c>
      <c r="D10" s="28" t="s">
        <v>2007</v>
      </c>
      <c r="E10" s="28" t="s">
        <v>2018</v>
      </c>
      <c r="F10" s="28" t="s">
        <v>2007</v>
      </c>
      <c r="G10" s="28" t="s">
        <v>2007</v>
      </c>
      <c r="H10" s="28" t="s">
        <v>2009</v>
      </c>
      <c r="I10" s="28" t="s">
        <v>2018</v>
      </c>
      <c r="J10" s="28" t="s">
        <v>2037</v>
      </c>
      <c r="K10" s="28" t="s">
        <v>2038</v>
      </c>
      <c r="L10" s="28" t="s">
        <v>2009</v>
      </c>
      <c r="M10" s="28" t="s">
        <v>2039</v>
      </c>
      <c r="N10" s="28" t="s">
        <v>2040</v>
      </c>
      <c r="P10" s="28">
        <v>9</v>
      </c>
    </row>
    <row r="11" spans="1:16" ht="36.75" thickBot="1">
      <c r="A11" s="28" t="s">
        <v>1080</v>
      </c>
      <c r="B11" s="510" t="s">
        <v>1806</v>
      </c>
      <c r="C11" s="28" t="s">
        <v>1723</v>
      </c>
      <c r="D11" s="28" t="s">
        <v>2031</v>
      </c>
      <c r="E11" s="28" t="s">
        <v>2032</v>
      </c>
      <c r="F11" s="28" t="s">
        <v>2032</v>
      </c>
      <c r="G11" s="28" t="s">
        <v>2032</v>
      </c>
      <c r="H11" s="28" t="s">
        <v>2031</v>
      </c>
      <c r="I11" s="28" t="s">
        <v>2032</v>
      </c>
      <c r="J11" s="28" t="s">
        <v>2041</v>
      </c>
      <c r="K11" s="28" t="s">
        <v>2036</v>
      </c>
      <c r="L11" s="28" t="s">
        <v>2031</v>
      </c>
      <c r="M11" s="28" t="s">
        <v>2042</v>
      </c>
      <c r="N11" s="28" t="s">
        <v>2043</v>
      </c>
      <c r="P11" s="28">
        <v>10</v>
      </c>
    </row>
    <row r="12" spans="1:16" ht="24.75" thickBot="1">
      <c r="A12" s="28" t="s">
        <v>1091</v>
      </c>
      <c r="B12" s="510" t="s">
        <v>1816</v>
      </c>
      <c r="C12" s="28" t="s">
        <v>670</v>
      </c>
      <c r="D12" s="28" t="s">
        <v>2044</v>
      </c>
      <c r="E12" s="28" t="s">
        <v>997</v>
      </c>
      <c r="F12" s="28" t="s">
        <v>2044</v>
      </c>
      <c r="G12" s="28" t="s">
        <v>997</v>
      </c>
      <c r="H12" s="28" t="s">
        <v>2044</v>
      </c>
      <c r="I12" s="28" t="s">
        <v>2045</v>
      </c>
      <c r="J12" s="28" t="s">
        <v>2045</v>
      </c>
      <c r="K12" s="28" t="s">
        <v>2045</v>
      </c>
      <c r="L12" s="28" t="s">
        <v>2044</v>
      </c>
      <c r="M12" s="28" t="s">
        <v>2046</v>
      </c>
      <c r="N12" s="28" t="s">
        <v>2045</v>
      </c>
      <c r="P12" s="28">
        <v>11</v>
      </c>
    </row>
    <row r="13" spans="1:16" ht="48.75" thickBot="1">
      <c r="A13" s="28" t="s">
        <v>1101</v>
      </c>
      <c r="B13" s="510" t="s">
        <v>1826</v>
      </c>
      <c r="C13" s="28" t="s">
        <v>670</v>
      </c>
      <c r="D13" s="28" t="s">
        <v>2031</v>
      </c>
      <c r="E13" s="28" t="s">
        <v>997</v>
      </c>
      <c r="F13" s="28" t="s">
        <v>2032</v>
      </c>
      <c r="G13" s="28" t="s">
        <v>2032</v>
      </c>
      <c r="H13" s="28" t="s">
        <v>2031</v>
      </c>
      <c r="I13" s="28" t="s">
        <v>2032</v>
      </c>
      <c r="J13" s="28" t="s">
        <v>2042</v>
      </c>
      <c r="K13" s="28" t="s">
        <v>2032</v>
      </c>
      <c r="L13" s="28" t="s">
        <v>2031</v>
      </c>
      <c r="M13" s="28" t="s">
        <v>2042</v>
      </c>
      <c r="N13" s="28" t="s">
        <v>2043</v>
      </c>
      <c r="P13" s="28">
        <v>12</v>
      </c>
    </row>
    <row r="14" spans="1:16" ht="24.75" thickBot="1">
      <c r="A14" s="28" t="s">
        <v>1112</v>
      </c>
      <c r="B14" s="510" t="s">
        <v>1838</v>
      </c>
      <c r="C14" s="28" t="s">
        <v>1723</v>
      </c>
      <c r="D14" s="28" t="s">
        <v>1893</v>
      </c>
      <c r="E14" s="28" t="s">
        <v>997</v>
      </c>
      <c r="F14" s="28" t="s">
        <v>2032</v>
      </c>
      <c r="G14" s="28" t="s">
        <v>2032</v>
      </c>
      <c r="H14" s="28" t="s">
        <v>2031</v>
      </c>
      <c r="I14" s="28" t="s">
        <v>2032</v>
      </c>
      <c r="J14" s="28" t="s">
        <v>997</v>
      </c>
      <c r="K14" s="28" t="s">
        <v>2032</v>
      </c>
      <c r="L14" s="28" t="s">
        <v>2031</v>
      </c>
      <c r="M14" s="28" t="s">
        <v>2032</v>
      </c>
      <c r="N14" s="28" t="s">
        <v>2043</v>
      </c>
      <c r="P14" s="28">
        <v>13</v>
      </c>
    </row>
    <row r="15" spans="1:16" ht="36.75" thickBot="1">
      <c r="A15" s="28" t="s">
        <v>1122</v>
      </c>
      <c r="B15" s="510" t="s">
        <v>1846</v>
      </c>
      <c r="C15" s="28" t="s">
        <v>1723</v>
      </c>
      <c r="D15" s="28" t="s">
        <v>2031</v>
      </c>
      <c r="E15" s="28" t="s">
        <v>2032</v>
      </c>
      <c r="F15" s="28" t="s">
        <v>2032</v>
      </c>
      <c r="G15" s="28" t="s">
        <v>2032</v>
      </c>
      <c r="H15" s="28" t="s">
        <v>2031</v>
      </c>
      <c r="I15" s="28" t="s">
        <v>2032</v>
      </c>
      <c r="J15" s="28" t="s">
        <v>2042</v>
      </c>
      <c r="K15" s="28" t="s">
        <v>2032</v>
      </c>
      <c r="L15" s="28" t="s">
        <v>2031</v>
      </c>
      <c r="M15" s="28" t="s">
        <v>2032</v>
      </c>
      <c r="N15" s="28" t="s">
        <v>2043</v>
      </c>
      <c r="P15" s="28">
        <v>14</v>
      </c>
    </row>
    <row r="16" spans="1:16" ht="36">
      <c r="A16" s="28" t="s">
        <v>1129</v>
      </c>
      <c r="B16" s="513" t="s">
        <v>1856</v>
      </c>
      <c r="C16" s="28" t="s">
        <v>1723</v>
      </c>
      <c r="D16" s="28" t="s">
        <v>2031</v>
      </c>
      <c r="E16" s="28" t="s">
        <v>997</v>
      </c>
      <c r="F16" s="28" t="s">
        <v>2032</v>
      </c>
      <c r="G16" s="28" t="s">
        <v>2032</v>
      </c>
      <c r="H16" s="28" t="s">
        <v>2031</v>
      </c>
      <c r="I16" s="28" t="s">
        <v>2032</v>
      </c>
      <c r="J16" s="28" t="s">
        <v>997</v>
      </c>
      <c r="K16" s="28" t="s">
        <v>2036</v>
      </c>
      <c r="L16" s="28" t="s">
        <v>2031</v>
      </c>
      <c r="M16" s="28" t="s">
        <v>2032</v>
      </c>
      <c r="N16" s="28" t="s">
        <v>2043</v>
      </c>
      <c r="P16" s="28">
        <v>15</v>
      </c>
    </row>
    <row r="17" spans="1:16" ht="60">
      <c r="A17" s="28" t="s">
        <v>1139</v>
      </c>
      <c r="B17" s="514" t="s">
        <v>1865</v>
      </c>
      <c r="C17" s="28" t="s">
        <v>1723</v>
      </c>
      <c r="D17" s="28" t="s">
        <v>2031</v>
      </c>
      <c r="E17" s="28" t="s">
        <v>997</v>
      </c>
      <c r="F17" s="28" t="s">
        <v>2032</v>
      </c>
      <c r="G17" s="28" t="s">
        <v>2032</v>
      </c>
      <c r="H17" s="28" t="s">
        <v>2031</v>
      </c>
      <c r="I17" s="28" t="s">
        <v>2042</v>
      </c>
      <c r="J17" s="28" t="s">
        <v>2042</v>
      </c>
      <c r="K17" s="28" t="s">
        <v>2032</v>
      </c>
      <c r="L17" s="28" t="s">
        <v>2031</v>
      </c>
      <c r="M17" s="28" t="s">
        <v>2032</v>
      </c>
      <c r="N17" s="28" t="s">
        <v>2043</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50.xml><?xml version="1.0" encoding="utf-8"?>
<worksheet xmlns="http://schemas.openxmlformats.org/spreadsheetml/2006/main" xmlns:r="http://schemas.openxmlformats.org/officeDocument/2006/relationships">
  <sheetPr codeName="Sheet40">
    <tabColor rgb="FFFF0000"/>
    <pageSetUpPr fitToPage="1"/>
  </sheetPr>
  <dimension ref="A1:P17"/>
  <sheetViews>
    <sheetView showRowColHeaders="0" zoomScale="80" zoomScaleNormal="80" workbookViewId="0">
      <selection activeCell="P3" sqref="P3"/>
    </sheetView>
  </sheetViews>
  <sheetFormatPr defaultRowHeight="15"/>
  <cols>
    <col min="1" max="1" width="9.140625" style="28"/>
    <col min="2" max="2" width="35.28515625" style="28" customWidth="1"/>
    <col min="3" max="3" width="9.42578125" style="28" bestFit="1" customWidth="1"/>
    <col min="4" max="4" width="10.42578125" style="28" customWidth="1"/>
    <col min="5" max="5" width="10.7109375" style="28" bestFit="1" customWidth="1"/>
    <col min="6" max="6" width="9.42578125" style="28" bestFit="1" customWidth="1"/>
    <col min="7" max="7" width="11.140625" style="28" bestFit="1" customWidth="1"/>
    <col min="8" max="10" width="9.42578125" style="28" bestFit="1" customWidth="1"/>
    <col min="11" max="11" width="10.140625" style="28" bestFit="1" customWidth="1"/>
    <col min="12" max="12" width="11.140625" style="28" bestFit="1" customWidth="1"/>
    <col min="13" max="14" width="9.42578125" style="28" bestFit="1" customWidth="1"/>
    <col min="15" max="15" width="9.140625" style="28"/>
    <col min="16" max="16" width="9.42578125" style="28" bestFit="1" customWidth="1"/>
    <col min="17" max="16384" width="9.140625" style="28"/>
  </cols>
  <sheetData>
    <row r="1" spans="1:16">
      <c r="A1" s="28" t="s">
        <v>2047</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105.75" thickBot="1">
      <c r="A3" s="28" t="s">
        <v>1373</v>
      </c>
      <c r="B3" s="509" t="s">
        <v>1708</v>
      </c>
      <c r="C3" s="28" t="s">
        <v>1723</v>
      </c>
      <c r="D3" s="758" t="s">
        <v>2709</v>
      </c>
      <c r="E3" s="758" t="s">
        <v>2710</v>
      </c>
      <c r="F3" s="577" t="s">
        <v>997</v>
      </c>
      <c r="G3" s="758" t="s">
        <v>2713</v>
      </c>
      <c r="H3" s="758" t="s">
        <v>2714</v>
      </c>
      <c r="I3" s="761" t="s">
        <v>2048</v>
      </c>
      <c r="J3" s="758" t="s">
        <v>2715</v>
      </c>
      <c r="K3" s="758" t="s">
        <v>2716</v>
      </c>
      <c r="L3" s="758" t="s">
        <v>2717</v>
      </c>
      <c r="M3" s="577" t="s">
        <v>2049</v>
      </c>
      <c r="N3" s="758" t="s">
        <v>2718</v>
      </c>
      <c r="P3" s="28">
        <v>2</v>
      </c>
    </row>
    <row r="4" spans="1:16" ht="24.75" thickBot="1">
      <c r="A4" s="28" t="s">
        <v>1384</v>
      </c>
      <c r="B4" s="510" t="s">
        <v>1722</v>
      </c>
      <c r="C4" s="28" t="s">
        <v>1723</v>
      </c>
      <c r="D4" s="28">
        <v>0</v>
      </c>
      <c r="E4" s="28" t="s">
        <v>2408</v>
      </c>
      <c r="F4" s="28">
        <v>0</v>
      </c>
      <c r="G4" s="28" t="s">
        <v>2050</v>
      </c>
      <c r="H4" s="28">
        <v>0</v>
      </c>
      <c r="I4" s="28">
        <v>1</v>
      </c>
      <c r="J4" s="28">
        <v>11</v>
      </c>
      <c r="K4" s="28">
        <v>0</v>
      </c>
      <c r="L4" s="28">
        <v>0</v>
      </c>
      <c r="M4" s="28">
        <v>0</v>
      </c>
      <c r="N4" s="28">
        <v>0</v>
      </c>
      <c r="P4" s="28">
        <v>3</v>
      </c>
    </row>
    <row r="5" spans="1:16" ht="36.75" thickBot="1">
      <c r="A5" s="28" t="s">
        <v>1395</v>
      </c>
      <c r="B5" s="510" t="s">
        <v>1734</v>
      </c>
      <c r="C5" s="28" t="s">
        <v>1723</v>
      </c>
      <c r="D5" s="28">
        <v>170</v>
      </c>
      <c r="E5" s="28">
        <v>12</v>
      </c>
      <c r="F5" s="28">
        <v>0</v>
      </c>
      <c r="G5" s="28">
        <v>3</v>
      </c>
      <c r="H5" s="28">
        <v>28</v>
      </c>
      <c r="I5" s="28">
        <v>5</v>
      </c>
      <c r="J5" s="28">
        <v>4</v>
      </c>
      <c r="K5" s="28">
        <v>0</v>
      </c>
      <c r="L5" s="28">
        <v>48</v>
      </c>
      <c r="M5" s="28" t="s">
        <v>2409</v>
      </c>
      <c r="N5" s="28">
        <v>1</v>
      </c>
      <c r="P5" s="28">
        <v>4</v>
      </c>
    </row>
    <row r="6" spans="1:16" ht="36.75" thickBot="1">
      <c r="A6" s="28" t="s">
        <v>1403</v>
      </c>
      <c r="B6" s="510" t="s">
        <v>1746</v>
      </c>
      <c r="C6" s="28" t="s">
        <v>1723</v>
      </c>
      <c r="D6" s="28" t="s">
        <v>2051</v>
      </c>
      <c r="E6" s="28">
        <v>12</v>
      </c>
      <c r="F6" s="28">
        <v>0</v>
      </c>
      <c r="G6" s="28">
        <v>3</v>
      </c>
      <c r="H6" s="28">
        <v>0</v>
      </c>
      <c r="I6" s="28" t="s">
        <v>2052</v>
      </c>
      <c r="J6" s="28">
        <v>0</v>
      </c>
      <c r="K6" s="28">
        <v>0</v>
      </c>
      <c r="L6" s="28">
        <v>22</v>
      </c>
      <c r="M6" s="28">
        <v>0</v>
      </c>
      <c r="N6" s="28">
        <v>0</v>
      </c>
      <c r="P6" s="28">
        <v>5</v>
      </c>
    </row>
    <row r="7" spans="1:16" ht="15.75" thickBot="1">
      <c r="A7" s="28" t="s">
        <v>1412</v>
      </c>
      <c r="B7" s="511" t="s">
        <v>1758</v>
      </c>
      <c r="C7" s="28" t="s">
        <v>2053</v>
      </c>
      <c r="D7" s="758" t="s">
        <v>2719</v>
      </c>
      <c r="E7" s="758" t="s">
        <v>2720</v>
      </c>
      <c r="F7" s="577" t="s">
        <v>2054</v>
      </c>
      <c r="G7" s="758" t="s">
        <v>2721</v>
      </c>
      <c r="H7" s="758" t="s">
        <v>2725</v>
      </c>
      <c r="I7" s="758" t="s">
        <v>2722</v>
      </c>
      <c r="J7" s="758" t="s">
        <v>2723</v>
      </c>
      <c r="K7" s="758" t="s">
        <v>2724</v>
      </c>
      <c r="L7" s="758" t="s">
        <v>2726</v>
      </c>
      <c r="M7" s="758" t="s">
        <v>2728</v>
      </c>
      <c r="N7" s="758" t="s">
        <v>2727</v>
      </c>
      <c r="P7" s="28">
        <v>6</v>
      </c>
    </row>
    <row r="8" spans="1:16" ht="36.75" thickBot="1">
      <c r="A8" s="28" t="s">
        <v>1424</v>
      </c>
      <c r="B8" s="512" t="s">
        <v>1771</v>
      </c>
      <c r="C8" s="28" t="s">
        <v>2055</v>
      </c>
      <c r="D8" s="759" t="s">
        <v>2711</v>
      </c>
      <c r="E8" s="759" t="s">
        <v>2711</v>
      </c>
      <c r="F8" s="28" t="s">
        <v>997</v>
      </c>
      <c r="G8" s="759" t="s">
        <v>2711</v>
      </c>
      <c r="H8" s="759" t="s">
        <v>2729</v>
      </c>
      <c r="I8" s="759" t="s">
        <v>2730</v>
      </c>
      <c r="J8" s="759" t="s">
        <v>2731</v>
      </c>
      <c r="K8" s="759" t="s">
        <v>2711</v>
      </c>
      <c r="L8" s="762" t="s">
        <v>2732</v>
      </c>
      <c r="M8" s="759" t="s">
        <v>2730</v>
      </c>
      <c r="N8" s="759" t="s">
        <v>2711</v>
      </c>
      <c r="P8" s="28">
        <v>7</v>
      </c>
    </row>
    <row r="9" spans="1:16" ht="36.75" thickBot="1">
      <c r="A9" s="28" t="s">
        <v>1433</v>
      </c>
      <c r="B9" s="510" t="s">
        <v>1782</v>
      </c>
      <c r="C9" s="28" t="s">
        <v>1723</v>
      </c>
      <c r="D9" s="759" t="s">
        <v>2712</v>
      </c>
      <c r="E9" s="759" t="s">
        <v>2711</v>
      </c>
      <c r="F9" s="759" t="s">
        <v>2733</v>
      </c>
      <c r="G9" s="759" t="s">
        <v>2711</v>
      </c>
      <c r="H9" s="28" t="s">
        <v>2056</v>
      </c>
      <c r="I9" s="759" t="s">
        <v>2734</v>
      </c>
      <c r="J9" s="762" t="s">
        <v>2735</v>
      </c>
      <c r="K9" s="28" t="s">
        <v>2036</v>
      </c>
      <c r="L9" s="759" t="s">
        <v>2736</v>
      </c>
      <c r="M9" s="759" t="s">
        <v>2737</v>
      </c>
      <c r="N9" s="759" t="s">
        <v>2738</v>
      </c>
      <c r="P9" s="28">
        <v>8</v>
      </c>
    </row>
    <row r="10" spans="1:16" ht="15.75" thickBot="1">
      <c r="A10" s="28" t="s">
        <v>1441</v>
      </c>
      <c r="B10" s="510" t="s">
        <v>1793</v>
      </c>
      <c r="C10" s="28" t="s">
        <v>1723</v>
      </c>
      <c r="D10" s="760">
        <v>1</v>
      </c>
      <c r="E10" s="760">
        <v>1</v>
      </c>
      <c r="F10" s="760">
        <v>1</v>
      </c>
      <c r="G10" s="760">
        <v>5</v>
      </c>
      <c r="H10" s="760">
        <v>4</v>
      </c>
      <c r="I10" s="760">
        <v>1</v>
      </c>
      <c r="J10" s="760">
        <v>1</v>
      </c>
      <c r="K10" s="760">
        <v>1</v>
      </c>
      <c r="L10" s="760">
        <v>2</v>
      </c>
      <c r="M10" s="760">
        <v>1</v>
      </c>
      <c r="N10" s="760">
        <v>1</v>
      </c>
      <c r="P10" s="28">
        <v>9</v>
      </c>
    </row>
    <row r="11" spans="1:16" ht="36.75" thickBot="1">
      <c r="A11" s="28" t="s">
        <v>1448</v>
      </c>
      <c r="B11" s="510" t="s">
        <v>1806</v>
      </c>
      <c r="C11" s="28" t="s">
        <v>1723</v>
      </c>
      <c r="D11" s="762" t="s">
        <v>2739</v>
      </c>
      <c r="E11" s="762" t="s">
        <v>2740</v>
      </c>
      <c r="F11" s="28" t="s">
        <v>2057</v>
      </c>
      <c r="G11" s="28" t="s">
        <v>2058</v>
      </c>
      <c r="H11" s="762" t="s">
        <v>2742</v>
      </c>
      <c r="I11" s="759" t="s">
        <v>2741</v>
      </c>
      <c r="J11" s="763" t="s">
        <v>2059</v>
      </c>
      <c r="K11" s="28" t="s">
        <v>2036</v>
      </c>
      <c r="L11" s="759" t="s">
        <v>2743</v>
      </c>
      <c r="M11" s="759" t="s">
        <v>2744</v>
      </c>
      <c r="N11" s="762" t="s">
        <v>2745</v>
      </c>
      <c r="P11" s="28">
        <v>10</v>
      </c>
    </row>
    <row r="12" spans="1:16" ht="24.75" thickBot="1">
      <c r="A12" s="28" t="s">
        <v>1459</v>
      </c>
      <c r="B12" s="510" t="s">
        <v>1816</v>
      </c>
      <c r="C12" s="760" t="s">
        <v>670</v>
      </c>
      <c r="D12" s="760">
        <v>7.6</v>
      </c>
      <c r="E12" s="760" t="s">
        <v>997</v>
      </c>
      <c r="F12" s="760">
        <v>21</v>
      </c>
      <c r="G12" s="760" t="s">
        <v>997</v>
      </c>
      <c r="H12" s="760" t="s">
        <v>2060</v>
      </c>
      <c r="I12" s="760">
        <v>3</v>
      </c>
      <c r="J12" s="760">
        <v>5</v>
      </c>
      <c r="K12" s="760">
        <v>5</v>
      </c>
      <c r="L12" s="760">
        <v>30</v>
      </c>
      <c r="M12" s="760">
        <v>2</v>
      </c>
      <c r="N12" s="760">
        <v>30</v>
      </c>
      <c r="P12" s="28">
        <v>11</v>
      </c>
    </row>
    <row r="13" spans="1:16" ht="48.75" thickBot="1">
      <c r="A13" s="28" t="s">
        <v>1468</v>
      </c>
      <c r="B13" s="510" t="s">
        <v>1826</v>
      </c>
      <c r="C13" s="28" t="s">
        <v>2061</v>
      </c>
      <c r="D13" s="759" t="s">
        <v>2733</v>
      </c>
      <c r="E13" s="28" t="s">
        <v>997</v>
      </c>
      <c r="F13" s="28" t="s">
        <v>997</v>
      </c>
      <c r="G13" s="28" t="s">
        <v>997</v>
      </c>
      <c r="H13" s="759" t="s">
        <v>2733</v>
      </c>
      <c r="I13" s="759" t="s">
        <v>2746</v>
      </c>
      <c r="J13" s="759" t="s">
        <v>2747</v>
      </c>
      <c r="K13" s="763" t="s">
        <v>2062</v>
      </c>
      <c r="L13" s="759" t="s">
        <v>2733</v>
      </c>
      <c r="M13" s="759" t="s">
        <v>2748</v>
      </c>
      <c r="N13" s="759" t="s">
        <v>2733</v>
      </c>
      <c r="P13" s="28">
        <v>12</v>
      </c>
    </row>
    <row r="14" spans="1:16" ht="24.75" thickBot="1">
      <c r="A14" s="28" t="s">
        <v>1477</v>
      </c>
      <c r="B14" s="510" t="s">
        <v>1838</v>
      </c>
      <c r="C14" s="28" t="s">
        <v>1723</v>
      </c>
      <c r="D14" s="28" t="s">
        <v>1893</v>
      </c>
      <c r="E14" s="28" t="s">
        <v>997</v>
      </c>
      <c r="F14" s="759" t="s">
        <v>2733</v>
      </c>
      <c r="G14" s="28" t="s">
        <v>2063</v>
      </c>
      <c r="H14" s="759" t="s">
        <v>2733</v>
      </c>
      <c r="I14" s="759" t="s">
        <v>2747</v>
      </c>
      <c r="J14" s="28" t="s">
        <v>997</v>
      </c>
      <c r="K14" s="762" t="s">
        <v>2750</v>
      </c>
      <c r="L14" s="762" t="s">
        <v>2751</v>
      </c>
      <c r="M14" s="759" t="s">
        <v>2733</v>
      </c>
      <c r="N14" s="762" t="s">
        <v>2749</v>
      </c>
      <c r="P14" s="28">
        <v>13</v>
      </c>
    </row>
    <row r="15" spans="1:16" ht="36.75" thickBot="1">
      <c r="A15" s="28" t="s">
        <v>1486</v>
      </c>
      <c r="B15" s="510" t="s">
        <v>1846</v>
      </c>
      <c r="C15" s="28" t="s">
        <v>1723</v>
      </c>
      <c r="D15" s="762" t="s">
        <v>2759</v>
      </c>
      <c r="E15" s="762" t="s">
        <v>2758</v>
      </c>
      <c r="F15" s="28" t="s">
        <v>2064</v>
      </c>
      <c r="G15" s="759" t="s">
        <v>2757</v>
      </c>
      <c r="H15" s="759" t="s">
        <v>2756</v>
      </c>
      <c r="I15" s="759" t="s">
        <v>2746</v>
      </c>
      <c r="J15" s="759" t="s">
        <v>2755</v>
      </c>
      <c r="K15" s="762" t="s">
        <v>2754</v>
      </c>
      <c r="L15" s="762" t="s">
        <v>2753</v>
      </c>
      <c r="M15" s="28" t="s">
        <v>2065</v>
      </c>
      <c r="N15" s="762" t="s">
        <v>2752</v>
      </c>
      <c r="P15" s="28">
        <v>14</v>
      </c>
    </row>
    <row r="16" spans="1:16" ht="36">
      <c r="A16" s="28" t="s">
        <v>1496</v>
      </c>
      <c r="B16" s="513" t="s">
        <v>1856</v>
      </c>
      <c r="C16" s="28" t="s">
        <v>1723</v>
      </c>
      <c r="D16" s="759" t="s">
        <v>2733</v>
      </c>
      <c r="E16" s="28" t="s">
        <v>997</v>
      </c>
      <c r="F16" s="759" t="s">
        <v>2733</v>
      </c>
      <c r="G16" s="28" t="s">
        <v>2066</v>
      </c>
      <c r="H16" s="759" t="s">
        <v>2733</v>
      </c>
      <c r="I16" s="759" t="s">
        <v>2733</v>
      </c>
      <c r="J16" s="28" t="s">
        <v>997</v>
      </c>
      <c r="K16" s="28" t="s">
        <v>2036</v>
      </c>
      <c r="L16" s="762" t="s">
        <v>2760</v>
      </c>
      <c r="M16" s="28" t="s">
        <v>2067</v>
      </c>
      <c r="N16" s="28" t="s">
        <v>2001</v>
      </c>
      <c r="P16" s="28">
        <v>15</v>
      </c>
    </row>
    <row r="17" spans="1:16" ht="135">
      <c r="A17" s="28" t="s">
        <v>1502</v>
      </c>
      <c r="B17" s="514" t="s">
        <v>1865</v>
      </c>
      <c r="C17" s="28" t="s">
        <v>1723</v>
      </c>
      <c r="D17" s="764" t="s">
        <v>2068</v>
      </c>
      <c r="E17" s="28" t="s">
        <v>997</v>
      </c>
      <c r="F17" s="28" t="s">
        <v>2064</v>
      </c>
      <c r="G17" s="759" t="s">
        <v>2757</v>
      </c>
      <c r="H17" s="762" t="s">
        <v>2762</v>
      </c>
      <c r="I17" s="759" t="s">
        <v>2748</v>
      </c>
      <c r="J17" s="28" t="s">
        <v>2069</v>
      </c>
      <c r="K17" s="762" t="s">
        <v>2754</v>
      </c>
      <c r="L17" s="759" t="s">
        <v>2761</v>
      </c>
      <c r="M17" s="28" t="s">
        <v>2070</v>
      </c>
      <c r="N17" s="762" t="s">
        <v>2752</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51.xml><?xml version="1.0" encoding="utf-8"?>
<worksheet xmlns="http://schemas.openxmlformats.org/spreadsheetml/2006/main" xmlns:r="http://schemas.openxmlformats.org/officeDocument/2006/relationships">
  <sheetPr codeName="Sheet43">
    <tabColor rgb="FFFF0000"/>
    <pageSetUpPr fitToPage="1"/>
  </sheetPr>
  <dimension ref="A1:P17"/>
  <sheetViews>
    <sheetView showRowColHeaders="0" zoomScale="80" zoomScaleNormal="80" workbookViewId="0">
      <selection activeCell="L6" sqref="L6"/>
    </sheetView>
  </sheetViews>
  <sheetFormatPr defaultRowHeight="15"/>
  <cols>
    <col min="1" max="1" width="9.140625" style="28"/>
    <col min="2" max="2" width="35.28515625" style="28" customWidth="1"/>
    <col min="3" max="16384" width="9.140625" style="28"/>
  </cols>
  <sheetData>
    <row r="1" spans="1:16">
      <c r="A1" s="28" t="s">
        <v>2071</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24.75" thickBot="1">
      <c r="A3" s="28" t="s">
        <v>2072</v>
      </c>
      <c r="B3" s="509" t="s">
        <v>1708</v>
      </c>
      <c r="C3" s="28" t="s">
        <v>2073</v>
      </c>
      <c r="D3" s="28" t="s">
        <v>2410</v>
      </c>
      <c r="E3" s="28" t="s">
        <v>670</v>
      </c>
      <c r="F3" s="28" t="s">
        <v>670</v>
      </c>
      <c r="G3" s="28" t="s">
        <v>2074</v>
      </c>
      <c r="H3" s="28" t="s">
        <v>670</v>
      </c>
      <c r="I3" s="28" t="s">
        <v>670</v>
      </c>
      <c r="J3" s="28" t="s">
        <v>670</v>
      </c>
      <c r="K3" s="28" t="s">
        <v>670</v>
      </c>
      <c r="L3" s="28" t="s">
        <v>670</v>
      </c>
      <c r="M3" s="28" t="s">
        <v>670</v>
      </c>
      <c r="N3" s="28" t="s">
        <v>670</v>
      </c>
      <c r="P3" s="28">
        <v>2</v>
      </c>
    </row>
    <row r="4" spans="1:16" ht="24.75" thickBot="1">
      <c r="A4" s="28" t="s">
        <v>2075</v>
      </c>
      <c r="B4" s="510" t="s">
        <v>1722</v>
      </c>
      <c r="C4" s="28" t="s">
        <v>670</v>
      </c>
      <c r="D4" s="28" t="s">
        <v>2411</v>
      </c>
      <c r="E4" s="28" t="s">
        <v>2412</v>
      </c>
      <c r="F4" s="28" t="s">
        <v>670</v>
      </c>
      <c r="G4" s="28" t="s">
        <v>670</v>
      </c>
      <c r="H4" s="28" t="s">
        <v>670</v>
      </c>
      <c r="I4" s="28" t="s">
        <v>670</v>
      </c>
      <c r="J4" s="28" t="s">
        <v>670</v>
      </c>
      <c r="K4" s="28" t="s">
        <v>670</v>
      </c>
      <c r="L4" s="28" t="s">
        <v>670</v>
      </c>
      <c r="M4" s="28" t="s">
        <v>670</v>
      </c>
      <c r="N4" s="28" t="s">
        <v>670</v>
      </c>
      <c r="P4" s="28">
        <v>3</v>
      </c>
    </row>
    <row r="5" spans="1:16" ht="36.75" thickBot="1">
      <c r="A5" s="28" t="s">
        <v>2076</v>
      </c>
      <c r="B5" s="510" t="s">
        <v>1734</v>
      </c>
      <c r="C5" s="28" t="s">
        <v>670</v>
      </c>
      <c r="D5" s="28" t="s">
        <v>2413</v>
      </c>
      <c r="E5" s="28" t="s">
        <v>670</v>
      </c>
      <c r="F5" s="28" t="s">
        <v>670</v>
      </c>
      <c r="G5" s="28" t="s">
        <v>670</v>
      </c>
      <c r="H5" s="28" t="s">
        <v>670</v>
      </c>
      <c r="I5" s="28" t="s">
        <v>670</v>
      </c>
      <c r="J5" s="28" t="s">
        <v>670</v>
      </c>
      <c r="K5" s="28" t="s">
        <v>670</v>
      </c>
      <c r="L5" s="28" t="s">
        <v>670</v>
      </c>
      <c r="M5" s="28" t="s">
        <v>670</v>
      </c>
      <c r="N5" s="28" t="s">
        <v>670</v>
      </c>
      <c r="P5" s="28">
        <v>4</v>
      </c>
    </row>
    <row r="6" spans="1:16" ht="36.75" thickBot="1">
      <c r="A6" s="28" t="s">
        <v>2077</v>
      </c>
      <c r="B6" s="510" t="s">
        <v>1746</v>
      </c>
      <c r="C6" s="28" t="s">
        <v>670</v>
      </c>
      <c r="D6" s="28" t="s">
        <v>2414</v>
      </c>
      <c r="E6" s="28" t="s">
        <v>670</v>
      </c>
      <c r="F6" s="28" t="s">
        <v>670</v>
      </c>
      <c r="G6" s="28" t="s">
        <v>2078</v>
      </c>
      <c r="H6" s="28" t="s">
        <v>670</v>
      </c>
      <c r="I6" s="28" t="s">
        <v>2415</v>
      </c>
      <c r="J6" s="28" t="s">
        <v>670</v>
      </c>
      <c r="K6" s="28" t="s">
        <v>670</v>
      </c>
      <c r="L6" s="28" t="s">
        <v>670</v>
      </c>
      <c r="M6" s="28" t="s">
        <v>670</v>
      </c>
      <c r="N6" s="28" t="s">
        <v>670</v>
      </c>
      <c r="P6" s="28">
        <v>5</v>
      </c>
    </row>
    <row r="7" spans="1:16" ht="15.75" thickBot="1">
      <c r="A7" s="28" t="s">
        <v>2079</v>
      </c>
      <c r="B7" s="511" t="s">
        <v>1758</v>
      </c>
      <c r="C7" s="28" t="s">
        <v>2416</v>
      </c>
      <c r="D7" s="28" t="s">
        <v>2417</v>
      </c>
      <c r="E7" s="28" t="s">
        <v>670</v>
      </c>
      <c r="F7" s="28" t="s">
        <v>670</v>
      </c>
      <c r="G7" s="28" t="s">
        <v>670</v>
      </c>
      <c r="H7" s="28" t="s">
        <v>670</v>
      </c>
      <c r="I7" s="28" t="s">
        <v>670</v>
      </c>
      <c r="J7" s="28" t="s">
        <v>670</v>
      </c>
      <c r="K7" s="28" t="s">
        <v>670</v>
      </c>
      <c r="L7" s="28" t="s">
        <v>670</v>
      </c>
      <c r="M7" s="28" t="s">
        <v>670</v>
      </c>
      <c r="N7" s="28" t="s">
        <v>670</v>
      </c>
      <c r="P7" s="28">
        <v>6</v>
      </c>
    </row>
    <row r="8" spans="1:16" ht="36.75" thickBot="1">
      <c r="A8" s="28" t="s">
        <v>2080</v>
      </c>
      <c r="B8" s="512" t="s">
        <v>1771</v>
      </c>
      <c r="C8" s="28" t="s">
        <v>2081</v>
      </c>
      <c r="D8" s="28" t="s">
        <v>670</v>
      </c>
      <c r="E8" s="28" t="s">
        <v>670</v>
      </c>
      <c r="F8" s="28" t="s">
        <v>670</v>
      </c>
      <c r="G8" s="28" t="s">
        <v>670</v>
      </c>
      <c r="H8" s="28" t="s">
        <v>670</v>
      </c>
      <c r="I8" s="28" t="s">
        <v>670</v>
      </c>
      <c r="J8" s="28" t="s">
        <v>670</v>
      </c>
      <c r="K8" s="28" t="s">
        <v>670</v>
      </c>
      <c r="L8" s="28" t="s">
        <v>670</v>
      </c>
      <c r="M8" s="28" t="s">
        <v>670</v>
      </c>
      <c r="N8" s="28" t="s">
        <v>670</v>
      </c>
      <c r="P8" s="28">
        <v>7</v>
      </c>
    </row>
    <row r="9" spans="1:16" ht="36.75" thickBot="1">
      <c r="A9" s="28" t="s">
        <v>2082</v>
      </c>
      <c r="B9" s="510" t="s">
        <v>1782</v>
      </c>
      <c r="C9" s="28" t="s">
        <v>2083</v>
      </c>
      <c r="D9" s="28" t="s">
        <v>670</v>
      </c>
      <c r="E9" s="28" t="s">
        <v>2418</v>
      </c>
      <c r="F9" s="28" t="s">
        <v>670</v>
      </c>
      <c r="G9" s="28" t="s">
        <v>2084</v>
      </c>
      <c r="H9" s="28" t="s">
        <v>670</v>
      </c>
      <c r="I9" s="28" t="s">
        <v>670</v>
      </c>
      <c r="J9" s="28" t="s">
        <v>670</v>
      </c>
      <c r="K9" s="28" t="s">
        <v>2419</v>
      </c>
      <c r="L9" s="28" t="s">
        <v>670</v>
      </c>
      <c r="M9" s="28" t="s">
        <v>670</v>
      </c>
      <c r="N9" s="28" t="s">
        <v>670</v>
      </c>
      <c r="P9" s="28">
        <v>8</v>
      </c>
    </row>
    <row r="10" spans="1:16" ht="15.75" thickBot="1">
      <c r="A10" s="28" t="s">
        <v>2085</v>
      </c>
      <c r="B10" s="510" t="s">
        <v>1793</v>
      </c>
      <c r="C10" s="28" t="s">
        <v>2086</v>
      </c>
      <c r="D10" s="28" t="s">
        <v>670</v>
      </c>
      <c r="E10" s="28" t="s">
        <v>670</v>
      </c>
      <c r="F10" s="28" t="s">
        <v>670</v>
      </c>
      <c r="G10" s="28" t="s">
        <v>670</v>
      </c>
      <c r="H10" s="28" t="s">
        <v>670</v>
      </c>
      <c r="I10" s="28" t="s">
        <v>670</v>
      </c>
      <c r="J10" s="28" t="s">
        <v>670</v>
      </c>
      <c r="K10" s="28" t="s">
        <v>670</v>
      </c>
      <c r="L10" s="28" t="s">
        <v>670</v>
      </c>
      <c r="M10" s="28" t="s">
        <v>670</v>
      </c>
      <c r="N10" s="28" t="s">
        <v>670</v>
      </c>
      <c r="P10" s="28">
        <v>9</v>
      </c>
    </row>
    <row r="11" spans="1:16" ht="36.75" thickBot="1">
      <c r="A11" s="28" t="s">
        <v>2087</v>
      </c>
      <c r="B11" s="510" t="s">
        <v>1806</v>
      </c>
      <c r="C11" s="28" t="s">
        <v>2088</v>
      </c>
      <c r="D11" s="28" t="s">
        <v>670</v>
      </c>
      <c r="E11" s="28" t="s">
        <v>670</v>
      </c>
      <c r="F11" s="28" t="s">
        <v>670</v>
      </c>
      <c r="G11" s="28" t="s">
        <v>2089</v>
      </c>
      <c r="H11" s="28" t="s">
        <v>670</v>
      </c>
      <c r="I11" s="28" t="s">
        <v>670</v>
      </c>
      <c r="J11" s="28" t="s">
        <v>670</v>
      </c>
      <c r="K11" s="28" t="s">
        <v>2420</v>
      </c>
      <c r="L11" s="28" t="s">
        <v>670</v>
      </c>
      <c r="M11" s="28" t="s">
        <v>670</v>
      </c>
      <c r="N11" s="28" t="s">
        <v>670</v>
      </c>
      <c r="P11" s="28">
        <v>10</v>
      </c>
    </row>
    <row r="12" spans="1:16" ht="24.75" thickBot="1">
      <c r="A12" s="28" t="s">
        <v>2090</v>
      </c>
      <c r="B12" s="510" t="s">
        <v>1816</v>
      </c>
      <c r="C12" s="28" t="s">
        <v>2421</v>
      </c>
      <c r="D12" s="28" t="s">
        <v>670</v>
      </c>
      <c r="E12" s="28" t="s">
        <v>670</v>
      </c>
      <c r="F12" s="28" t="s">
        <v>2422</v>
      </c>
      <c r="G12" s="28" t="s">
        <v>670</v>
      </c>
      <c r="H12" s="28" t="s">
        <v>670</v>
      </c>
      <c r="I12" s="28" t="s">
        <v>670</v>
      </c>
      <c r="J12" s="28" t="s">
        <v>670</v>
      </c>
      <c r="K12" s="28" t="s">
        <v>670</v>
      </c>
      <c r="L12" s="28" t="s">
        <v>670</v>
      </c>
      <c r="M12" s="28" t="s">
        <v>670</v>
      </c>
      <c r="N12" s="28" t="s">
        <v>670</v>
      </c>
      <c r="P12" s="28">
        <v>11</v>
      </c>
    </row>
    <row r="13" spans="1:16" ht="48.75" thickBot="1">
      <c r="A13" s="28" t="s">
        <v>2091</v>
      </c>
      <c r="B13" s="510" t="s">
        <v>1826</v>
      </c>
      <c r="C13" s="28" t="s">
        <v>670</v>
      </c>
      <c r="D13" s="28" t="s">
        <v>670</v>
      </c>
      <c r="E13" s="28" t="s">
        <v>670</v>
      </c>
      <c r="F13" s="28" t="s">
        <v>670</v>
      </c>
      <c r="G13" s="28" t="s">
        <v>670</v>
      </c>
      <c r="H13" s="28" t="s">
        <v>670</v>
      </c>
      <c r="I13" s="28" t="s">
        <v>670</v>
      </c>
      <c r="J13" s="28" t="s">
        <v>670</v>
      </c>
      <c r="K13" s="28" t="s">
        <v>2423</v>
      </c>
      <c r="L13" s="28" t="s">
        <v>670</v>
      </c>
      <c r="M13" s="28" t="s">
        <v>670</v>
      </c>
      <c r="N13" s="28" t="s">
        <v>670</v>
      </c>
      <c r="P13" s="28">
        <v>12</v>
      </c>
    </row>
    <row r="14" spans="1:16" ht="24.75" thickBot="1">
      <c r="A14" s="28" t="s">
        <v>2092</v>
      </c>
      <c r="B14" s="510" t="s">
        <v>1838</v>
      </c>
      <c r="C14" s="28" t="s">
        <v>2093</v>
      </c>
      <c r="D14" s="28" t="s">
        <v>670</v>
      </c>
      <c r="E14" s="28" t="s">
        <v>670</v>
      </c>
      <c r="F14" s="28" t="s">
        <v>670</v>
      </c>
      <c r="G14" s="28" t="s">
        <v>2094</v>
      </c>
      <c r="H14" s="28" t="s">
        <v>2424</v>
      </c>
      <c r="I14" s="28" t="s">
        <v>670</v>
      </c>
      <c r="J14" s="28" t="s">
        <v>670</v>
      </c>
      <c r="K14" s="28" t="s">
        <v>670</v>
      </c>
      <c r="L14" s="28" t="s">
        <v>670</v>
      </c>
      <c r="M14" s="28" t="s">
        <v>670</v>
      </c>
      <c r="N14" s="28" t="s">
        <v>670</v>
      </c>
      <c r="P14" s="28">
        <v>13</v>
      </c>
    </row>
    <row r="15" spans="1:16" ht="36.75" thickBot="1">
      <c r="A15" s="28" t="s">
        <v>2095</v>
      </c>
      <c r="B15" s="510" t="s">
        <v>1846</v>
      </c>
      <c r="C15" s="28" t="s">
        <v>2096</v>
      </c>
      <c r="D15" s="28" t="s">
        <v>2425</v>
      </c>
      <c r="E15" s="28" t="s">
        <v>670</v>
      </c>
      <c r="F15" s="28" t="s">
        <v>670</v>
      </c>
      <c r="G15" s="28" t="s">
        <v>2097</v>
      </c>
      <c r="H15" s="28" t="s">
        <v>670</v>
      </c>
      <c r="I15" s="28" t="s">
        <v>670</v>
      </c>
      <c r="J15" s="28" t="s">
        <v>670</v>
      </c>
      <c r="K15" s="28" t="s">
        <v>670</v>
      </c>
      <c r="L15" s="28" t="s">
        <v>2426</v>
      </c>
      <c r="M15" s="28" t="s">
        <v>670</v>
      </c>
      <c r="N15" s="28" t="s">
        <v>670</v>
      </c>
      <c r="P15" s="28">
        <v>14</v>
      </c>
    </row>
    <row r="16" spans="1:16" ht="36">
      <c r="A16" s="28" t="s">
        <v>2098</v>
      </c>
      <c r="B16" s="513" t="s">
        <v>1856</v>
      </c>
      <c r="C16" s="28" t="s">
        <v>2099</v>
      </c>
      <c r="D16" s="28" t="s">
        <v>2427</v>
      </c>
      <c r="E16" s="28" t="s">
        <v>670</v>
      </c>
      <c r="F16" s="28" t="s">
        <v>670</v>
      </c>
      <c r="G16" s="28" t="s">
        <v>2100</v>
      </c>
      <c r="H16" s="28" t="s">
        <v>670</v>
      </c>
      <c r="I16" s="28" t="s">
        <v>670</v>
      </c>
      <c r="J16" s="28" t="s">
        <v>670</v>
      </c>
      <c r="K16" s="28" t="s">
        <v>670</v>
      </c>
      <c r="L16" s="28" t="s">
        <v>670</v>
      </c>
      <c r="M16" s="28" t="s">
        <v>670</v>
      </c>
      <c r="N16" s="28" t="s">
        <v>670</v>
      </c>
      <c r="P16" s="28">
        <v>15</v>
      </c>
    </row>
    <row r="17" spans="1:16" ht="60">
      <c r="A17" s="28" t="s">
        <v>2101</v>
      </c>
      <c r="B17" s="514" t="s">
        <v>1865</v>
      </c>
      <c r="C17" s="28" t="s">
        <v>670</v>
      </c>
      <c r="D17" s="28" t="s">
        <v>2428</v>
      </c>
      <c r="E17" s="28" t="s">
        <v>670</v>
      </c>
      <c r="F17" s="28" t="s">
        <v>670</v>
      </c>
      <c r="G17" s="28" t="s">
        <v>670</v>
      </c>
      <c r="H17" s="28" t="s">
        <v>670</v>
      </c>
      <c r="I17" s="28" t="s">
        <v>2429</v>
      </c>
      <c r="J17" s="28" t="s">
        <v>670</v>
      </c>
      <c r="K17" s="28" t="s">
        <v>670</v>
      </c>
      <c r="L17" s="28" t="s">
        <v>670</v>
      </c>
      <c r="M17" s="28" t="s">
        <v>670</v>
      </c>
      <c r="N17" s="28" t="s">
        <v>670</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52.xml><?xml version="1.0" encoding="utf-8"?>
<worksheet xmlns="http://schemas.openxmlformats.org/spreadsheetml/2006/main" xmlns:r="http://schemas.openxmlformats.org/officeDocument/2006/relationships">
  <sheetPr codeName="Sheet15">
    <tabColor rgb="FF002451"/>
    <pageSetUpPr fitToPage="1"/>
  </sheetPr>
  <dimension ref="A1:BS157"/>
  <sheetViews>
    <sheetView showGridLines="0" showRowColHeaders="0" zoomScale="80" zoomScaleNormal="80" workbookViewId="0">
      <pane xSplit="9" ySplit="5" topLeftCell="J6" activePane="bottomRight" state="frozen"/>
      <selection activeCell="Z8" sqref="Z8"/>
      <selection pane="topRight" activeCell="Z8" sqref="Z8"/>
      <selection pane="bottomLeft" activeCell="Z8" sqref="Z8"/>
      <selection pane="bottomRight" activeCell="J5" sqref="J5"/>
    </sheetView>
  </sheetViews>
  <sheetFormatPr defaultRowHeight="15" zeroHeight="1"/>
  <cols>
    <col min="1" max="1" width="2.7109375" style="364" customWidth="1"/>
    <col min="2" max="4" width="9.7109375" style="365" hidden="1" customWidth="1"/>
    <col min="5" max="7" width="9.7109375" style="366" hidden="1" customWidth="1"/>
    <col min="8" max="8" width="80.28515625" style="389" customWidth="1"/>
    <col min="9" max="9" width="19.85546875" style="612" customWidth="1"/>
    <col min="10" max="10" width="19.85546875" style="370" customWidth="1"/>
    <col min="11" max="19" width="15.5703125" style="370" customWidth="1"/>
    <col min="20" max="20" width="9.140625" style="369"/>
    <col min="21" max="33" width="0" style="369" hidden="1" customWidth="1"/>
    <col min="34" max="57" width="9.140625" style="369"/>
    <col min="58" max="16384" width="9.140625" style="370"/>
  </cols>
  <sheetData>
    <row r="1" spans="1:71" s="355" customFormat="1" ht="24" customHeight="1">
      <c r="A1" s="733" t="str">
        <f>lang!C3</f>
        <v>Reciclaje Inclusivo: Modelo Interactivo de Excel</v>
      </c>
      <c r="B1" s="352"/>
      <c r="C1" s="352"/>
      <c r="D1" s="353"/>
      <c r="E1" s="352"/>
      <c r="F1" s="352"/>
      <c r="G1" s="352"/>
      <c r="H1" s="354"/>
      <c r="I1" s="607"/>
      <c r="P1" s="356"/>
      <c r="Q1" s="356"/>
      <c r="R1" s="356"/>
      <c r="S1" s="356"/>
      <c r="U1" s="617">
        <v>0</v>
      </c>
      <c r="V1" s="617"/>
      <c r="W1" s="617"/>
      <c r="X1" s="617"/>
      <c r="Y1" s="617"/>
      <c r="Z1" s="617"/>
      <c r="AA1" s="617"/>
      <c r="AB1" s="617"/>
      <c r="AC1" s="617"/>
      <c r="AG1" s="357">
        <v>4</v>
      </c>
      <c r="AH1" s="357">
        <v>0</v>
      </c>
      <c r="AI1" s="357"/>
      <c r="BA1" s="357">
        <v>4</v>
      </c>
      <c r="BB1" s="357">
        <v>2</v>
      </c>
    </row>
    <row r="2" spans="1:71" s="363" customFormat="1" ht="30" customHeight="1">
      <c r="A2" s="358"/>
      <c r="B2" s="359"/>
      <c r="C2" s="359"/>
      <c r="D2" s="359"/>
      <c r="E2" s="360"/>
      <c r="F2" s="360"/>
      <c r="G2" s="360"/>
      <c r="H2" s="361"/>
      <c r="I2" s="361"/>
      <c r="J2" s="356">
        <f t="shared" ref="J2:R2" si="0">IF($I$4&gt;=J3,1,0)</f>
        <v>0</v>
      </c>
      <c r="K2" s="356">
        <f t="shared" si="0"/>
        <v>0</v>
      </c>
      <c r="L2" s="356">
        <f t="shared" si="0"/>
        <v>0</v>
      </c>
      <c r="M2" s="356">
        <f t="shared" si="0"/>
        <v>0</v>
      </c>
      <c r="N2" s="356">
        <f t="shared" si="0"/>
        <v>0</v>
      </c>
      <c r="O2" s="356">
        <f t="shared" si="0"/>
        <v>0</v>
      </c>
      <c r="P2" s="356">
        <f t="shared" si="0"/>
        <v>0</v>
      </c>
      <c r="Q2" s="356">
        <f t="shared" si="0"/>
        <v>0</v>
      </c>
      <c r="R2" s="356">
        <f t="shared" si="0"/>
        <v>0</v>
      </c>
      <c r="S2" s="356">
        <f>IF($I$4&gt;=S3,1,0)</f>
        <v>0</v>
      </c>
      <c r="T2" s="342"/>
      <c r="U2" s="618">
        <v>1</v>
      </c>
      <c r="V2" s="618"/>
      <c r="W2" s="618"/>
      <c r="X2" s="618"/>
      <c r="Y2" s="618"/>
      <c r="Z2" s="618"/>
      <c r="AA2" s="618"/>
      <c r="AB2" s="618"/>
      <c r="AC2" s="618"/>
      <c r="AD2" s="342"/>
      <c r="AE2" s="342"/>
      <c r="AF2" s="342"/>
      <c r="AG2" s="342"/>
      <c r="AH2" s="342"/>
      <c r="AI2" s="342"/>
      <c r="AJ2" s="342"/>
      <c r="AK2" s="342"/>
      <c r="AL2" s="342"/>
      <c r="AM2" s="342"/>
      <c r="AN2" s="342"/>
      <c r="AO2" s="342"/>
      <c r="AP2" s="342"/>
      <c r="AQ2" s="342"/>
      <c r="AR2" s="342"/>
      <c r="AS2" s="342"/>
      <c r="AT2" s="342"/>
      <c r="AU2" s="342"/>
      <c r="AV2" s="342"/>
      <c r="AW2" s="342"/>
      <c r="AX2" s="342"/>
      <c r="AY2" s="342"/>
      <c r="AZ2" s="355"/>
      <c r="BA2" s="355"/>
      <c r="BB2" s="355"/>
      <c r="BC2" s="355"/>
      <c r="BD2" s="355"/>
      <c r="BE2" s="355"/>
    </row>
    <row r="3" spans="1:71" s="363" customFormat="1" ht="65.25" customHeight="1">
      <c r="A3" s="358"/>
      <c r="B3" s="359"/>
      <c r="C3" s="359"/>
      <c r="D3" s="359"/>
      <c r="E3" s="360"/>
      <c r="F3" s="360"/>
      <c r="G3" s="360"/>
      <c r="H3" s="361"/>
      <c r="I3" s="361"/>
      <c r="J3" s="589">
        <v>1</v>
      </c>
      <c r="K3" s="589">
        <v>2</v>
      </c>
      <c r="L3" s="589">
        <v>3</v>
      </c>
      <c r="M3" s="589">
        <v>4</v>
      </c>
      <c r="N3" s="589">
        <v>5</v>
      </c>
      <c r="O3" s="589">
        <v>6</v>
      </c>
      <c r="P3" s="589">
        <v>7</v>
      </c>
      <c r="Q3" s="589">
        <v>8</v>
      </c>
      <c r="R3" s="589">
        <v>9</v>
      </c>
      <c r="S3" s="589">
        <v>10</v>
      </c>
      <c r="T3" s="590"/>
      <c r="U3" s="618">
        <v>2</v>
      </c>
      <c r="V3" s="619"/>
      <c r="W3" s="618"/>
      <c r="X3" s="618"/>
      <c r="Y3" s="618"/>
      <c r="Z3" s="618"/>
      <c r="AA3" s="618"/>
      <c r="AB3" s="618"/>
      <c r="AC3" s="618"/>
      <c r="AD3" s="342"/>
      <c r="AE3" s="342"/>
      <c r="AF3" s="342"/>
      <c r="AG3" s="342"/>
      <c r="AH3" s="342"/>
      <c r="AI3" s="342"/>
      <c r="AJ3" s="342"/>
      <c r="AK3" s="342"/>
      <c r="AL3" s="342"/>
      <c r="AM3" s="342"/>
      <c r="AN3" s="342"/>
      <c r="AO3" s="342"/>
      <c r="AP3" s="342"/>
      <c r="AQ3" s="342"/>
      <c r="AR3" s="342"/>
      <c r="AS3" s="342"/>
      <c r="AT3" s="342"/>
      <c r="AU3" s="342"/>
      <c r="AV3" s="342"/>
      <c r="AW3" s="342"/>
      <c r="AX3" s="342"/>
      <c r="AY3" s="342"/>
      <c r="AZ3" s="355"/>
      <c r="BA3" s="355"/>
      <c r="BB3" s="355"/>
      <c r="BC3" s="355"/>
      <c r="BD3" s="355"/>
      <c r="BE3" s="355"/>
    </row>
    <row r="4" spans="1:71" ht="58.5" customHeight="1">
      <c r="A4" s="591"/>
      <c r="B4" s="592"/>
      <c r="C4" s="592"/>
      <c r="D4" s="592"/>
      <c r="E4" s="593"/>
      <c r="F4" s="593"/>
      <c r="G4" s="593"/>
      <c r="H4" s="613" t="s">
        <v>2365</v>
      </c>
      <c r="I4" s="603">
        <v>0</v>
      </c>
      <c r="J4" s="639">
        <f>COUNTA(J9:J12,J14:J21,J23:J24,J26,J29:J33,J35:J37,J40:J43,J45:J46,J48:J51,J53:J56)</f>
        <v>36</v>
      </c>
      <c r="K4" s="639">
        <f t="shared" ref="K4:S4" si="1">COUNTA(K9:K12,K14:K21,K23:K24,K26,K29:K33,K35:K37,K40:K43,K45:K46,K48:K51,K53:K56)</f>
        <v>0</v>
      </c>
      <c r="L4" s="639">
        <f t="shared" si="1"/>
        <v>0</v>
      </c>
      <c r="M4" s="639">
        <f t="shared" si="1"/>
        <v>0</v>
      </c>
      <c r="N4" s="639">
        <f t="shared" si="1"/>
        <v>0</v>
      </c>
      <c r="O4" s="639">
        <f t="shared" si="1"/>
        <v>0</v>
      </c>
      <c r="P4" s="639">
        <f t="shared" si="1"/>
        <v>0</v>
      </c>
      <c r="Q4" s="639">
        <f t="shared" si="1"/>
        <v>0</v>
      </c>
      <c r="R4" s="639">
        <f t="shared" si="1"/>
        <v>0</v>
      </c>
      <c r="S4" s="639">
        <f t="shared" si="1"/>
        <v>0</v>
      </c>
      <c r="T4" s="342"/>
      <c r="U4" s="618">
        <v>3</v>
      </c>
      <c r="V4" s="618"/>
      <c r="W4" s="618"/>
      <c r="X4" s="618"/>
      <c r="Y4" s="618"/>
      <c r="Z4" s="618"/>
      <c r="AA4" s="618"/>
      <c r="AB4" s="618"/>
      <c r="AC4" s="618"/>
      <c r="AD4" s="342"/>
      <c r="AE4" s="342"/>
      <c r="AF4" s="342"/>
      <c r="AG4" s="342"/>
      <c r="AH4" s="342"/>
      <c r="AI4" s="342"/>
      <c r="AJ4" s="342"/>
      <c r="AK4" s="342"/>
      <c r="AL4" s="342"/>
      <c r="AM4" s="342"/>
      <c r="AN4" s="342"/>
      <c r="AO4" s="342"/>
      <c r="AP4" s="342"/>
      <c r="AQ4" s="342"/>
      <c r="AR4" s="342"/>
      <c r="AS4" s="342"/>
      <c r="AT4" s="342"/>
      <c r="AU4" s="342"/>
      <c r="AV4" s="342"/>
      <c r="AW4" s="342"/>
      <c r="AX4" s="342"/>
      <c r="AY4" s="614"/>
      <c r="AZ4" s="355"/>
      <c r="BA4" s="355"/>
      <c r="BB4" s="355"/>
      <c r="BC4" s="355"/>
      <c r="BD4" s="355"/>
      <c r="BE4" s="355"/>
      <c r="BF4" s="363"/>
      <c r="BG4" s="363"/>
      <c r="BH4" s="363"/>
      <c r="BI4" s="363"/>
      <c r="BJ4" s="363"/>
      <c r="BK4" s="363"/>
      <c r="BL4" s="363"/>
      <c r="BM4" s="363"/>
      <c r="BN4" s="363"/>
      <c r="BO4" s="363"/>
      <c r="BP4" s="363"/>
      <c r="BQ4" s="363"/>
      <c r="BR4" s="363"/>
      <c r="BS4" s="363"/>
    </row>
    <row r="5" spans="1:71" s="379" customFormat="1" ht="50.1" customHeight="1">
      <c r="A5" s="594"/>
      <c r="B5" s="595" t="str">
        <f>tblIndicators!A1</f>
        <v>ID</v>
      </c>
      <c r="C5" s="595" t="str">
        <f>tblIndicators!B1</f>
        <v>IS_BG</v>
      </c>
      <c r="D5" s="595" t="s">
        <v>312</v>
      </c>
      <c r="E5" s="596" t="str">
        <f>tblIndicators!C1</f>
        <v>Question_Number</v>
      </c>
      <c r="F5" s="596" t="s">
        <v>21</v>
      </c>
      <c r="G5" s="596" t="str">
        <f>tblIndicators!Z1</f>
        <v>NORM_ID (1=sumproduct, 3=min max set by data values, 3=min max set by user here)</v>
      </c>
      <c r="H5" s="597" t="str">
        <f>lang!C80</f>
        <v>Indicadores</v>
      </c>
      <c r="I5" s="553" t="str">
        <f>lang!C82</f>
        <v>Unidades</v>
      </c>
      <c r="J5" s="765" t="s">
        <v>2763</v>
      </c>
      <c r="K5" s="765" t="s">
        <v>2366</v>
      </c>
      <c r="L5" s="765" t="s">
        <v>2367</v>
      </c>
      <c r="M5" s="765" t="s">
        <v>2368</v>
      </c>
      <c r="N5" s="765" t="s">
        <v>2369</v>
      </c>
      <c r="O5" s="765" t="s">
        <v>2370</v>
      </c>
      <c r="P5" s="765" t="s">
        <v>2371</v>
      </c>
      <c r="Q5" s="765" t="s">
        <v>2372</v>
      </c>
      <c r="R5" s="765" t="s">
        <v>2373</v>
      </c>
      <c r="S5" s="765" t="s">
        <v>2374</v>
      </c>
      <c r="T5" s="377"/>
      <c r="U5" s="620"/>
      <c r="V5" s="620"/>
      <c r="W5" s="620"/>
      <c r="X5" s="620"/>
      <c r="Y5" s="620"/>
      <c r="Z5" s="620"/>
      <c r="AA5" s="620"/>
      <c r="AB5" s="620"/>
      <c r="AC5" s="620"/>
      <c r="AD5" s="377"/>
      <c r="AE5" s="377"/>
      <c r="AF5" s="377"/>
      <c r="AG5" s="377"/>
      <c r="AH5" s="377"/>
      <c r="AI5" s="377"/>
      <c r="AJ5" s="377"/>
      <c r="AK5" s="377"/>
      <c r="AL5" s="377"/>
      <c r="AM5" s="377"/>
      <c r="AN5" s="377"/>
      <c r="AO5" s="377"/>
      <c r="AP5" s="377"/>
      <c r="AQ5" s="377"/>
      <c r="AR5" s="377"/>
      <c r="AS5" s="377"/>
      <c r="AT5" s="377"/>
      <c r="AU5" s="377"/>
      <c r="AV5" s="377"/>
      <c r="AW5" s="377"/>
      <c r="AX5" s="377"/>
      <c r="AY5" s="615"/>
      <c r="AZ5" s="615"/>
      <c r="BA5" s="615"/>
      <c r="BB5" s="615"/>
      <c r="BC5" s="615"/>
      <c r="BD5" s="615"/>
      <c r="BE5" s="615"/>
      <c r="BF5" s="616"/>
      <c r="BG5" s="616"/>
      <c r="BH5" s="616"/>
      <c r="BI5" s="616"/>
      <c r="BJ5" s="616"/>
      <c r="BK5" s="616"/>
      <c r="BL5" s="616"/>
      <c r="BM5" s="616"/>
      <c r="BN5" s="616"/>
      <c r="BO5" s="616"/>
      <c r="BP5" s="616"/>
      <c r="BQ5" s="616"/>
      <c r="BR5" s="616"/>
      <c r="BS5" s="616"/>
    </row>
    <row r="6" spans="1:71" s="383" customFormat="1" ht="22.5" customHeight="1">
      <c r="A6" s="380"/>
      <c r="B6" s="381">
        <f>tblIndicators!A2</f>
        <v>1</v>
      </c>
      <c r="C6" s="381">
        <f>tblIndicators!B2</f>
        <v>0</v>
      </c>
      <c r="D6" s="381">
        <f>tblIndicators!F2</f>
        <v>0</v>
      </c>
      <c r="E6" s="381">
        <f>tblIndicators!C2</f>
        <v>0</v>
      </c>
      <c r="F6" s="381" t="str">
        <f>tblIndicators!H2</f>
        <v>CATEGORÍA</v>
      </c>
      <c r="G6" s="381">
        <f>tblIndicators!Z2</f>
        <v>1</v>
      </c>
      <c r="H6" s="420" t="str">
        <f>REPT(" ",D6)&amp;tblIndicators!AE2</f>
        <v>CATEGORÍA</v>
      </c>
      <c r="I6" s="554"/>
      <c r="J6" s="381"/>
      <c r="K6" s="382"/>
      <c r="L6" s="381"/>
      <c r="M6" s="382"/>
      <c r="N6" s="381"/>
      <c r="O6" s="382"/>
      <c r="P6" s="381"/>
      <c r="Q6" s="382"/>
      <c r="R6" s="381"/>
      <c r="S6" s="598"/>
    </row>
    <row r="7" spans="1:71" s="634" customFormat="1" ht="24.95" customHeight="1">
      <c r="A7" s="628"/>
      <c r="B7" s="629">
        <f>tblIndicators!A3</f>
        <v>2</v>
      </c>
      <c r="C7" s="629">
        <f>tblIndicators!B3</f>
        <v>0</v>
      </c>
      <c r="D7" s="629">
        <f>tblIndicators!F3</f>
        <v>1</v>
      </c>
      <c r="E7" s="629">
        <f>tblIndicators!C3</f>
        <v>0</v>
      </c>
      <c r="F7" s="629" t="str">
        <f>tblIndicators!H3</f>
        <v>Normativa</v>
      </c>
      <c r="G7" s="629">
        <f>tblIndicators!Z3</f>
        <v>1</v>
      </c>
      <c r="H7" s="630" t="str">
        <f>REPT(" ",D7)&amp;tblIndicators!AE3</f>
        <v xml:space="preserve"> 1) NORMATIVA</v>
      </c>
      <c r="I7" s="631" t="str">
        <f>IF(G7=1,"",tblIndicators!Q3)</f>
        <v/>
      </c>
      <c r="J7" s="629"/>
      <c r="K7" s="632"/>
      <c r="L7" s="629"/>
      <c r="M7" s="632"/>
      <c r="N7" s="629"/>
      <c r="O7" s="632"/>
      <c r="P7" s="629"/>
      <c r="Q7" s="632"/>
      <c r="R7" s="629"/>
      <c r="S7" s="633"/>
    </row>
    <row r="8" spans="1:71" s="627" customFormat="1" ht="20.100000000000001" customHeight="1">
      <c r="A8" s="621"/>
      <c r="B8" s="622">
        <f>tblIndicators!A4</f>
        <v>3</v>
      </c>
      <c r="C8" s="622">
        <f>tblIndicators!B4</f>
        <v>0</v>
      </c>
      <c r="D8" s="622">
        <f>tblIndicators!F4</f>
        <v>2</v>
      </c>
      <c r="E8" s="622">
        <f>tblIndicators!C4</f>
        <v>0</v>
      </c>
      <c r="F8" s="622" t="str">
        <f>tblIndicators!H4</f>
        <v>Normativa sobre gestión de residuos</v>
      </c>
      <c r="G8" s="622">
        <f>tblIndicators!Z4</f>
        <v>1</v>
      </c>
      <c r="H8" s="623" t="str">
        <f>REPT(" ",D8)&amp;tblIndicators!AE4</f>
        <v xml:space="preserve">  1.1) Normativa sobre gestión de residuos</v>
      </c>
      <c r="I8" s="624" t="str">
        <f>IF(G8=1,"",tblIndicators!Q4)</f>
        <v/>
      </c>
      <c r="J8" s="622"/>
      <c r="K8" s="625"/>
      <c r="L8" s="622"/>
      <c r="M8" s="625"/>
      <c r="N8" s="622"/>
      <c r="O8" s="625"/>
      <c r="P8" s="622"/>
      <c r="Q8" s="625"/>
      <c r="R8" s="622"/>
      <c r="S8" s="626"/>
    </row>
    <row r="9" spans="1:71" s="383" customFormat="1" ht="30" customHeight="1">
      <c r="A9" s="384"/>
      <c r="B9" s="385">
        <f>tblIndicators!A5</f>
        <v>4</v>
      </c>
      <c r="C9" s="385">
        <f>tblIndicators!B5</f>
        <v>0</v>
      </c>
      <c r="D9" s="385">
        <f>tblIndicators!F5</f>
        <v>3</v>
      </c>
      <c r="E9" s="385">
        <f>tblIndicators!C5</f>
        <v>1</v>
      </c>
      <c r="F9" s="385" t="str">
        <f>tblIndicators!H5</f>
        <v>1.¿ Existe un marco legal nacional para la gestión de residuos orientado al reciclaje con la inclusión de actores informales?</v>
      </c>
      <c r="G9" s="385">
        <f>tblIndicators!Z5</f>
        <v>3</v>
      </c>
      <c r="H9" s="421" t="str">
        <f>REPT(" ",D9)&amp;tblIndicators!AE5</f>
        <v xml:space="preserve">   1.1.1) 1.¿ Existe un marco legal nacional para la gestión de residuos orientado al reciclaje con la inclusión de actores informales?</v>
      </c>
      <c r="I9" s="608" t="str">
        <f>IF(G9=1,"",tblIndicators!Q5)</f>
        <v>0 - 2</v>
      </c>
      <c r="J9" s="587">
        <v>1</v>
      </c>
      <c r="K9" s="588"/>
      <c r="L9" s="587"/>
      <c r="M9" s="588"/>
      <c r="N9" s="587"/>
      <c r="O9" s="588"/>
      <c r="P9" s="587"/>
      <c r="Q9" s="588"/>
      <c r="R9" s="587"/>
      <c r="S9" s="599"/>
    </row>
    <row r="10" spans="1:71" s="383" customFormat="1" ht="30" customHeight="1">
      <c r="A10" s="384"/>
      <c r="B10" s="385">
        <f>tblIndicators!A6</f>
        <v>5</v>
      </c>
      <c r="C10" s="385">
        <f>tblIndicators!B6</f>
        <v>0</v>
      </c>
      <c r="D10" s="385">
        <f>tblIndicators!F6</f>
        <v>3</v>
      </c>
      <c r="E10" s="385">
        <f>tblIndicators!C6</f>
        <v>2</v>
      </c>
      <c r="F10" s="385" t="str">
        <f>tblIndicators!H6</f>
        <v>2.¿Existe un marco legal municipal para la gestión de residuos orientado al reciclaje y la inclusión de actores informales?</v>
      </c>
      <c r="G10" s="385">
        <f>tblIndicators!Z6</f>
        <v>3</v>
      </c>
      <c r="H10" s="421" t="str">
        <f>REPT(" ",D10)&amp;tblIndicators!AE6</f>
        <v xml:space="preserve">   1.1.2) 2.¿Existe un marco legal municipal para la gestión de residuos orientado al reciclaje y la inclusión de actores informales?</v>
      </c>
      <c r="I10" s="608" t="str">
        <f>IF(G10=1,"",tblIndicators!Q6)</f>
        <v>0 - 2</v>
      </c>
      <c r="J10" s="587">
        <v>0</v>
      </c>
      <c r="K10" s="588"/>
      <c r="L10" s="587"/>
      <c r="M10" s="588"/>
      <c r="N10" s="587"/>
      <c r="O10" s="588"/>
      <c r="P10" s="587"/>
      <c r="Q10" s="588"/>
      <c r="R10" s="587"/>
      <c r="S10" s="599"/>
    </row>
    <row r="11" spans="1:71" s="383" customFormat="1" ht="30" customHeight="1">
      <c r="A11" s="384"/>
      <c r="B11" s="385">
        <f>tblIndicators!A7</f>
        <v>6</v>
      </c>
      <c r="C11" s="385">
        <f>tblIndicators!B7</f>
        <v>0</v>
      </c>
      <c r="D11" s="385">
        <f>tblIndicators!F7</f>
        <v>3</v>
      </c>
      <c r="E11" s="385">
        <f>tblIndicators!C7</f>
        <v>3</v>
      </c>
      <c r="F11" s="385" t="str">
        <f>tblIndicators!H7</f>
        <v>3.¿Son las políticas municipales suficientemente estables para garantizar la continuidad en materia de políticas de reciclaje inclusivo?</v>
      </c>
      <c r="G11" s="385">
        <f>tblIndicators!Z7</f>
        <v>3</v>
      </c>
      <c r="H11" s="421" t="str">
        <f>REPT(" ",D11)&amp;tblIndicators!AE7</f>
        <v xml:space="preserve">   1.1.3) 3.¿Son las políticas municipales suficientemente estables para garantizar la continuidad en materia de políticas de reciclaje inclusivo?</v>
      </c>
      <c r="I11" s="608" t="str">
        <f>IF(G11=1,"",tblIndicators!Q7)</f>
        <v>0 - 2</v>
      </c>
      <c r="J11" s="587">
        <v>0</v>
      </c>
      <c r="K11" s="588"/>
      <c r="L11" s="587"/>
      <c r="M11" s="588"/>
      <c r="N11" s="587"/>
      <c r="O11" s="588"/>
      <c r="P11" s="587"/>
      <c r="Q11" s="588"/>
      <c r="R11" s="587"/>
      <c r="S11" s="599"/>
    </row>
    <row r="12" spans="1:71" s="383" customFormat="1" ht="30" customHeight="1">
      <c r="A12" s="384"/>
      <c r="B12" s="385">
        <f>tblIndicators!A8</f>
        <v>7</v>
      </c>
      <c r="C12" s="385">
        <f>tblIndicators!B8</f>
        <v>0</v>
      </c>
      <c r="D12" s="385">
        <f>tblIndicators!F8</f>
        <v>3</v>
      </c>
      <c r="E12" s="385">
        <f>tblIndicators!C8</f>
        <v>4</v>
      </c>
      <c r="F12" s="385" t="str">
        <f>tblIndicators!H8</f>
        <v>4.¿Existe un presupuesto (o mecanismo de financiación) municipal asignado para el reciclaje inclusivo?</v>
      </c>
      <c r="G12" s="385">
        <f>tblIndicators!Z8</f>
        <v>3</v>
      </c>
      <c r="H12" s="421" t="str">
        <f>REPT(" ",D12)&amp;tblIndicators!AE8</f>
        <v xml:space="preserve">   1.1.4) 4.¿Existe un presupuesto (o mecanismo de financiación) municipal asignado para el reciclaje inclusivo?</v>
      </c>
      <c r="I12" s="608" t="str">
        <f>IF(G12=1,"",tblIndicators!Q8)</f>
        <v>0 - 2</v>
      </c>
      <c r="J12" s="587"/>
      <c r="K12" s="588"/>
      <c r="L12" s="587"/>
      <c r="M12" s="588"/>
      <c r="N12" s="587"/>
      <c r="O12" s="588"/>
      <c r="P12" s="587"/>
      <c r="Q12" s="588"/>
      <c r="R12" s="587"/>
      <c r="S12" s="599"/>
    </row>
    <row r="13" spans="1:71" s="627" customFormat="1" ht="20.100000000000001" customHeight="1">
      <c r="A13" s="621"/>
      <c r="B13" s="622">
        <f>tblIndicators!A9</f>
        <v>8</v>
      </c>
      <c r="C13" s="622">
        <f>tblIndicators!B9</f>
        <v>0</v>
      </c>
      <c r="D13" s="622">
        <f>tblIndicators!F9</f>
        <v>2</v>
      </c>
      <c r="E13" s="622">
        <f>tblIndicators!C9</f>
        <v>0</v>
      </c>
      <c r="F13" s="622" t="str">
        <f>tblIndicators!H9</f>
        <v>Integración del reciclador de base</v>
      </c>
      <c r="G13" s="622">
        <f>tblIndicators!Z9</f>
        <v>1</v>
      </c>
      <c r="H13" s="623" t="str">
        <f>REPT(" ",D13)&amp;tblIndicators!AE9</f>
        <v xml:space="preserve">  1.2) Integración del reciclador de base</v>
      </c>
      <c r="I13" s="624" t="str">
        <f>IF(G13=1,"",tblIndicators!Q9)</f>
        <v/>
      </c>
      <c r="J13" s="622"/>
      <c r="K13" s="625"/>
      <c r="L13" s="622"/>
      <c r="M13" s="625"/>
      <c r="N13" s="622"/>
      <c r="O13" s="625"/>
      <c r="P13" s="622"/>
      <c r="Q13" s="625"/>
      <c r="R13" s="622"/>
      <c r="S13" s="626"/>
    </row>
    <row r="14" spans="1:71" s="383" customFormat="1" ht="30" customHeight="1">
      <c r="A14" s="384"/>
      <c r="B14" s="385">
        <f>tblIndicators!A10</f>
        <v>9</v>
      </c>
      <c r="C14" s="385">
        <f>tblIndicators!B10</f>
        <v>0</v>
      </c>
      <c r="D14" s="385">
        <f>tblIndicators!F10</f>
        <v>3</v>
      </c>
      <c r="E14" s="385">
        <f>tblIndicators!C10</f>
        <v>5</v>
      </c>
      <c r="F14" s="385" t="str">
        <f>tblIndicators!H10</f>
        <v>5.¿Existe reconocimiento legal de la ocupación de reciclador de base?</v>
      </c>
      <c r="G14" s="385">
        <f>tblIndicators!Z10</f>
        <v>3</v>
      </c>
      <c r="H14" s="421" t="str">
        <f>REPT(" ",D14)&amp;tblIndicators!AE10</f>
        <v xml:space="preserve">   1.2.1) 5.¿Existe reconocimiento legal de la ocupación de reciclador de base?</v>
      </c>
      <c r="I14" s="608" t="str">
        <f>IF(G14=1,"",tblIndicators!Q10)</f>
        <v>0 - 1</v>
      </c>
      <c r="J14" s="587">
        <v>0</v>
      </c>
      <c r="K14" s="588"/>
      <c r="L14" s="587"/>
      <c r="M14" s="588"/>
      <c r="N14" s="587"/>
      <c r="O14" s="588"/>
      <c r="P14" s="587"/>
      <c r="Q14" s="588"/>
      <c r="R14" s="587"/>
      <c r="S14" s="599"/>
    </row>
    <row r="15" spans="1:71" s="383" customFormat="1" ht="30" customHeight="1">
      <c r="A15" s="384"/>
      <c r="B15" s="385">
        <f>tblIndicators!A11</f>
        <v>10</v>
      </c>
      <c r="C15" s="385">
        <f>tblIndicators!B11</f>
        <v>0</v>
      </c>
      <c r="D15" s="385">
        <f>tblIndicators!F11</f>
        <v>3</v>
      </c>
      <c r="E15" s="385">
        <f>tblIndicators!C11</f>
        <v>6</v>
      </c>
      <c r="F15" s="385" t="str">
        <f>tblIndicators!H11</f>
        <v>6.¿Se reconoce a los recicladores de base como prestadores de servicio en la gestión de residuos?</v>
      </c>
      <c r="G15" s="385">
        <f>tblIndicators!Z11</f>
        <v>3</v>
      </c>
      <c r="H15" s="421" t="str">
        <f>REPT(" ",D15)&amp;tblIndicators!AE11</f>
        <v xml:space="preserve">   1.2.2) 6.¿Se reconoce a los recicladores de base como prestadores de servicio en la gestión de residuos?</v>
      </c>
      <c r="I15" s="608" t="str">
        <f>IF(G15=1,"",tblIndicators!Q11)</f>
        <v>0 - 2</v>
      </c>
      <c r="J15" s="587">
        <v>0</v>
      </c>
      <c r="K15" s="588"/>
      <c r="L15" s="587"/>
      <c r="M15" s="588"/>
      <c r="N15" s="587"/>
      <c r="O15" s="588"/>
      <c r="P15" s="587"/>
      <c r="Q15" s="588"/>
      <c r="R15" s="587"/>
      <c r="S15" s="599"/>
    </row>
    <row r="16" spans="1:71" s="383" customFormat="1" ht="30" customHeight="1">
      <c r="A16" s="384"/>
      <c r="B16" s="385">
        <f>tblIndicators!A12</f>
        <v>11</v>
      </c>
      <c r="C16" s="385">
        <f>tblIndicators!B12</f>
        <v>0</v>
      </c>
      <c r="D16" s="385">
        <f>tblIndicators!F12</f>
        <v>3</v>
      </c>
      <c r="E16" s="385">
        <f>tblIndicators!C12</f>
        <v>7</v>
      </c>
      <c r="F16" s="385" t="str">
        <f>tblIndicators!H12</f>
        <v>7.¿Se ha identificado la población de recicladores de base a través de un censo?</v>
      </c>
      <c r="G16" s="385">
        <f>tblIndicators!Z12</f>
        <v>3</v>
      </c>
      <c r="H16" s="421" t="str">
        <f>REPT(" ",D16)&amp;tblIndicators!AE12</f>
        <v xml:space="preserve">   1.2.3) 7.¿Se ha identificado la población de recicladores de base a través de un censo?</v>
      </c>
      <c r="I16" s="608" t="str">
        <f>IF(G16=1,"",tblIndicators!Q12)</f>
        <v>0 - 1</v>
      </c>
      <c r="J16" s="587">
        <v>0</v>
      </c>
      <c r="K16" s="588"/>
      <c r="L16" s="587"/>
      <c r="M16" s="588"/>
      <c r="N16" s="587"/>
      <c r="O16" s="588"/>
      <c r="P16" s="587"/>
      <c r="Q16" s="588"/>
      <c r="R16" s="587"/>
      <c r="S16" s="599"/>
    </row>
    <row r="17" spans="1:19" s="383" customFormat="1" ht="30" customHeight="1">
      <c r="A17" s="384"/>
      <c r="B17" s="385">
        <f>tblIndicators!A13</f>
        <v>12</v>
      </c>
      <c r="C17" s="385">
        <f>tblIndicators!B13</f>
        <v>0</v>
      </c>
      <c r="D17" s="385">
        <f>tblIndicators!F13</f>
        <v>3</v>
      </c>
      <c r="E17" s="385">
        <f>tblIndicators!C13</f>
        <v>8</v>
      </c>
      <c r="F17" s="385" t="str">
        <f>tblIndicators!H13</f>
        <v>8.¿Cuál es el grado de transparencia e inclusión en los procesos de licitación para el reciclaje?</v>
      </c>
      <c r="G17" s="385">
        <f>tblIndicators!Z13</f>
        <v>3</v>
      </c>
      <c r="H17" s="421" t="str">
        <f>REPT(" ",D17)&amp;tblIndicators!AE13</f>
        <v xml:space="preserve">   1.2.4) 8.¿Cuál es el grado de transparencia e inclusión en los procesos de licitación para el reciclaje?</v>
      </c>
      <c r="I17" s="608" t="str">
        <f>IF(G17=1,"",tblIndicators!Q13)</f>
        <v>0  - 2</v>
      </c>
      <c r="J17" s="587">
        <v>1</v>
      </c>
      <c r="K17" s="588"/>
      <c r="L17" s="587"/>
      <c r="M17" s="588"/>
      <c r="N17" s="587"/>
      <c r="O17" s="588"/>
      <c r="P17" s="587"/>
      <c r="Q17" s="588"/>
      <c r="R17" s="587"/>
      <c r="S17" s="599"/>
    </row>
    <row r="18" spans="1:19" s="383" customFormat="1" ht="30" customHeight="1">
      <c r="A18" s="384"/>
      <c r="B18" s="385">
        <f>tblIndicators!A14</f>
        <v>13</v>
      </c>
      <c r="C18" s="385">
        <f>tblIndicators!B14</f>
        <v>0</v>
      </c>
      <c r="D18" s="385">
        <f>tblIndicators!F14</f>
        <v>3</v>
      </c>
      <c r="E18" s="385">
        <f>tblIndicators!C14</f>
        <v>9</v>
      </c>
      <c r="F18" s="385" t="str">
        <f>tblIndicators!H14</f>
        <v>9.¿La normativa/ estrategia municipal de residuos sólidos: fue desarrollada de manera participativa?</v>
      </c>
      <c r="G18" s="385">
        <f>tblIndicators!Z14</f>
        <v>3</v>
      </c>
      <c r="H18" s="421" t="str">
        <f>REPT(" ",D18)&amp;tblIndicators!AE14</f>
        <v xml:space="preserve">   1.2.5) 9.¿La normativa/ estrategia municipal de residuos sólidos: fue desarrollada de manera participativa?</v>
      </c>
      <c r="I18" s="608" t="str">
        <f>IF(G18=1,"",tblIndicators!Q14)</f>
        <v>0  - 2</v>
      </c>
      <c r="J18" s="587">
        <v>0</v>
      </c>
      <c r="K18" s="588"/>
      <c r="L18" s="587"/>
      <c r="M18" s="588"/>
      <c r="N18" s="587"/>
      <c r="O18" s="588"/>
      <c r="P18" s="587"/>
      <c r="Q18" s="588"/>
      <c r="R18" s="587"/>
      <c r="S18" s="599"/>
    </row>
    <row r="19" spans="1:19" s="383" customFormat="1" ht="30" customHeight="1">
      <c r="A19" s="384"/>
      <c r="B19" s="385">
        <f>tblIndicators!A15</f>
        <v>14</v>
      </c>
      <c r="C19" s="385">
        <f>tblIndicators!B15</f>
        <v>0</v>
      </c>
      <c r="D19" s="385">
        <f>tblIndicators!F15</f>
        <v>3</v>
      </c>
      <c r="E19" s="385">
        <f>tblIndicators!C15</f>
        <v>10</v>
      </c>
      <c r="F19" s="385" t="str">
        <f>tblIndicators!H15</f>
        <v>10.¿Hay programas de formación/capacitación a nivel municipal?</v>
      </c>
      <c r="G19" s="385">
        <f>tblIndicators!Z15</f>
        <v>3</v>
      </c>
      <c r="H19" s="421" t="str">
        <f>REPT(" ",D19)&amp;tblIndicators!AE15</f>
        <v xml:space="preserve">   1.2.6) 10.¿Hay programas de formación/capacitación a nivel municipal?</v>
      </c>
      <c r="I19" s="608" t="str">
        <f>IF(G19=1,"",tblIndicators!Q15)</f>
        <v>0 - 3</v>
      </c>
      <c r="J19" s="587">
        <v>0</v>
      </c>
      <c r="K19" s="588"/>
      <c r="L19" s="587"/>
      <c r="M19" s="588"/>
      <c r="N19" s="587"/>
      <c r="O19" s="588"/>
      <c r="P19" s="587"/>
      <c r="Q19" s="588"/>
      <c r="R19" s="587"/>
      <c r="S19" s="599"/>
    </row>
    <row r="20" spans="1:19" s="383" customFormat="1" ht="30" customHeight="1">
      <c r="A20" s="384"/>
      <c r="B20" s="385">
        <f>tblIndicators!A16</f>
        <v>15</v>
      </c>
      <c r="C20" s="385">
        <f>tblIndicators!B16</f>
        <v>0</v>
      </c>
      <c r="D20" s="385">
        <f>tblIndicators!F16</f>
        <v>3</v>
      </c>
      <c r="E20" s="385">
        <f>tblIndicators!C16</f>
        <v>11</v>
      </c>
      <c r="F20" s="385" t="str">
        <f>tblIndicators!H16</f>
        <v>11.¿Existen incentivos, programas y/o acciones concretas para el fortalecimiento de la ocupación del reciclador de base?</v>
      </c>
      <c r="G20" s="385">
        <f>tblIndicators!Z16</f>
        <v>3</v>
      </c>
      <c r="H20" s="421" t="str">
        <f>REPT(" ",D20)&amp;tblIndicators!AE16</f>
        <v xml:space="preserve">   1.2.7) 11.¿Existen incentivos, programas y/o acciones concretas para el fortalecimiento de la ocupación del reciclador de base?</v>
      </c>
      <c r="I20" s="608" t="str">
        <f>IF(G20=1,"",tblIndicators!Q16)</f>
        <v>0 - 2</v>
      </c>
      <c r="J20" s="587">
        <v>0</v>
      </c>
      <c r="K20" s="588"/>
      <c r="L20" s="587"/>
      <c r="M20" s="588"/>
      <c r="N20" s="587"/>
      <c r="O20" s="588"/>
      <c r="P20" s="587"/>
      <c r="Q20" s="588"/>
      <c r="R20" s="587"/>
      <c r="S20" s="599"/>
    </row>
    <row r="21" spans="1:19" s="383" customFormat="1" ht="30" customHeight="1">
      <c r="A21" s="384"/>
      <c r="B21" s="385">
        <f>tblIndicators!A17</f>
        <v>16</v>
      </c>
      <c r="C21" s="385">
        <f>tblIndicators!B17</f>
        <v>0</v>
      </c>
      <c r="D21" s="385">
        <f>tblIndicators!F17</f>
        <v>3</v>
      </c>
      <c r="E21" s="385">
        <f>tblIndicators!C17</f>
        <v>12</v>
      </c>
      <c r="F21" s="385" t="str">
        <f>tblIndicators!H17</f>
        <v xml:space="preserve">12.¿Existen incentivos de reciclaje para los usuarios? </v>
      </c>
      <c r="G21" s="385">
        <f>tblIndicators!Z17</f>
        <v>3</v>
      </c>
      <c r="H21" s="421" t="str">
        <f>REPT(" ",D21)&amp;tblIndicators!AE17</f>
        <v xml:space="preserve">   1.2.8) 12.¿Existen incentivos de reciclaje para los usuarios? </v>
      </c>
      <c r="I21" s="608" t="str">
        <f>IF(G21=1,"",tblIndicators!Q17)</f>
        <v>0 - 2</v>
      </c>
      <c r="J21" s="587">
        <v>0</v>
      </c>
      <c r="K21" s="588"/>
      <c r="L21" s="587"/>
      <c r="M21" s="588"/>
      <c r="N21" s="587"/>
      <c r="O21" s="588"/>
      <c r="P21" s="587"/>
      <c r="Q21" s="588"/>
      <c r="R21" s="587"/>
      <c r="S21" s="599"/>
    </row>
    <row r="22" spans="1:19" s="627" customFormat="1" ht="20.100000000000001" customHeight="1">
      <c r="A22" s="621"/>
      <c r="B22" s="622">
        <f>tblIndicators!A18</f>
        <v>17</v>
      </c>
      <c r="C22" s="622">
        <f>tblIndicators!B18</f>
        <v>0</v>
      </c>
      <c r="D22" s="622">
        <f>tblIndicators!F18</f>
        <v>2</v>
      </c>
      <c r="E22" s="622">
        <f>tblIndicators!C18</f>
        <v>0</v>
      </c>
      <c r="F22" s="622" t="str">
        <f>tblIndicators!H18</f>
        <v>Generación de información</v>
      </c>
      <c r="G22" s="622">
        <f>tblIndicators!Z18</f>
        <v>1</v>
      </c>
      <c r="H22" s="623" t="str">
        <f>REPT(" ",D22)&amp;tblIndicators!AE18</f>
        <v xml:space="preserve">  1.3) Generación de información</v>
      </c>
      <c r="I22" s="624" t="str">
        <f>IF(G22=1,"",tblIndicators!Q18)</f>
        <v/>
      </c>
      <c r="J22" s="622"/>
      <c r="K22" s="625"/>
      <c r="L22" s="622"/>
      <c r="M22" s="625"/>
      <c r="N22" s="622"/>
      <c r="O22" s="625"/>
      <c r="P22" s="622"/>
      <c r="Q22" s="625"/>
      <c r="R22" s="622"/>
      <c r="S22" s="626"/>
    </row>
    <row r="23" spans="1:19" s="383" customFormat="1" ht="30" customHeight="1">
      <c r="A23" s="384"/>
      <c r="B23" s="385">
        <f>tblIndicators!A19</f>
        <v>18</v>
      </c>
      <c r="C23" s="385">
        <f>tblIndicators!B19</f>
        <v>0</v>
      </c>
      <c r="D23" s="385">
        <f>tblIndicators!F19</f>
        <v>3</v>
      </c>
      <c r="E23" s="385">
        <f>tblIndicators!C19</f>
        <v>13</v>
      </c>
      <c r="F23" s="385" t="str">
        <f>tblIndicators!H19</f>
        <v>13.¿Hay un sistema municipal de recolección de información de reciclaje inclusivo?</v>
      </c>
      <c r="G23" s="385">
        <f>tblIndicators!Z19</f>
        <v>3</v>
      </c>
      <c r="H23" s="421" t="str">
        <f>REPT(" ",D23)&amp;tblIndicators!AE19</f>
        <v xml:space="preserve">   1.3.1) 13.¿Hay un sistema municipal de recolección de información de reciclaje inclusivo?</v>
      </c>
      <c r="I23" s="608" t="str">
        <f>IF(G23=1,"",tblIndicators!Q19)</f>
        <v>0 - 2</v>
      </c>
      <c r="J23" s="587">
        <v>0</v>
      </c>
      <c r="K23" s="588"/>
      <c r="L23" s="587"/>
      <c r="M23" s="588"/>
      <c r="N23" s="587"/>
      <c r="O23" s="588"/>
      <c r="P23" s="587"/>
      <c r="Q23" s="588"/>
      <c r="R23" s="587"/>
      <c r="S23" s="599"/>
    </row>
    <row r="24" spans="1:19" s="383" customFormat="1" ht="30" customHeight="1">
      <c r="A24" s="384"/>
      <c r="B24" s="385">
        <f>tblIndicators!A20</f>
        <v>19</v>
      </c>
      <c r="C24" s="385">
        <f>tblIndicators!B20</f>
        <v>0</v>
      </c>
      <c r="D24" s="385">
        <f>tblIndicators!F20</f>
        <v>3</v>
      </c>
      <c r="E24" s="385">
        <f>tblIndicators!C20</f>
        <v>14</v>
      </c>
      <c r="F24" s="385" t="str">
        <f>tblIndicators!H20</f>
        <v>14.¿Hay campañas de comunicación para fomentar el reciclaje inclusivo con difusión en el municipio?</v>
      </c>
      <c r="G24" s="385">
        <f>tblIndicators!Z20</f>
        <v>3</v>
      </c>
      <c r="H24" s="421" t="str">
        <f>REPT(" ",D24)&amp;tblIndicators!AE20</f>
        <v xml:space="preserve">   1.3.2) 14.¿Hay campañas de comunicación para fomentar el reciclaje inclusivo con difusión en el municipio?</v>
      </c>
      <c r="I24" s="608" t="str">
        <f>IF(G24=1,"",tblIndicators!Q20)</f>
        <v>0 - 2</v>
      </c>
      <c r="J24" s="587">
        <v>0</v>
      </c>
      <c r="K24" s="588"/>
      <c r="L24" s="587"/>
      <c r="M24" s="588"/>
      <c r="N24" s="587"/>
      <c r="O24" s="588"/>
      <c r="P24" s="587"/>
      <c r="Q24" s="588"/>
      <c r="R24" s="587"/>
      <c r="S24" s="599"/>
    </row>
    <row r="25" spans="1:19" s="627" customFormat="1" ht="20.100000000000001" customHeight="1">
      <c r="A25" s="621"/>
      <c r="B25" s="622">
        <f>tblIndicators!A21</f>
        <v>20</v>
      </c>
      <c r="C25" s="622">
        <f>tblIndicators!B21</f>
        <v>0</v>
      </c>
      <c r="D25" s="622">
        <f>tblIndicators!F21</f>
        <v>2</v>
      </c>
      <c r="E25" s="622">
        <f>tblIndicators!C21</f>
        <v>0</v>
      </c>
      <c r="F25" s="622" t="str">
        <f>tblIndicators!H21</f>
        <v>Salud pública y el medioambiente</v>
      </c>
      <c r="G25" s="622">
        <f>tblIndicators!Z21</f>
        <v>1</v>
      </c>
      <c r="H25" s="623" t="str">
        <f>REPT(" ",D25)&amp;tblIndicators!AE21</f>
        <v xml:space="preserve">  1.4) Salud pública y el medioambiente</v>
      </c>
      <c r="I25" s="624" t="str">
        <f>IF(G25=1,"",tblIndicators!Q21)</f>
        <v/>
      </c>
      <c r="J25" s="622"/>
      <c r="K25" s="625"/>
      <c r="L25" s="622"/>
      <c r="M25" s="625"/>
      <c r="N25" s="622"/>
      <c r="O25" s="625"/>
      <c r="P25" s="622"/>
      <c r="Q25" s="625"/>
      <c r="R25" s="622"/>
      <c r="S25" s="626"/>
    </row>
    <row r="26" spans="1:19" s="383" customFormat="1" ht="30">
      <c r="A26" s="384"/>
      <c r="B26" s="385">
        <f>tblIndicators!A22</f>
        <v>21</v>
      </c>
      <c r="C26" s="385">
        <f>tblIndicators!B22</f>
        <v>0</v>
      </c>
      <c r="D26" s="385">
        <f>tblIndicators!F22</f>
        <v>3</v>
      </c>
      <c r="E26" s="385">
        <f>tblIndicators!C22</f>
        <v>15</v>
      </c>
      <c r="F26" s="385" t="str">
        <f>tblIndicators!H22</f>
        <v>15.¿Existe adecuada regulación y control sobre clasificación y manejo de desechos especiales y/o  peligrosos y sobre clasificación en la calle?</v>
      </c>
      <c r="G26" s="385">
        <f>tblIndicators!Z22</f>
        <v>3</v>
      </c>
      <c r="H26" s="421" t="str">
        <f>REPT(" ",D26)&amp;tblIndicators!AE22</f>
        <v xml:space="preserve">   1.4.1) 15.¿Existe adecuada regulación y control sobre clasificación y manejo de desechos especiales y/o  peligrosos y sobre clasificación en la calle?</v>
      </c>
      <c r="I26" s="608" t="str">
        <f>IF(G26=1,"",tblIndicators!Q22)</f>
        <v>0 - 2</v>
      </c>
      <c r="J26" s="587">
        <v>0</v>
      </c>
      <c r="K26" s="588"/>
      <c r="L26" s="587"/>
      <c r="M26" s="588"/>
      <c r="N26" s="587"/>
      <c r="O26" s="588"/>
      <c r="P26" s="587"/>
      <c r="Q26" s="588"/>
      <c r="R26" s="587"/>
      <c r="S26" s="599"/>
    </row>
    <row r="27" spans="1:19" s="634" customFormat="1" ht="24.95" customHeight="1">
      <c r="A27" s="628"/>
      <c r="B27" s="629">
        <f>tblIndicators!A23</f>
        <v>22</v>
      </c>
      <c r="C27" s="629">
        <f>tblIndicators!B23</f>
        <v>0</v>
      </c>
      <c r="D27" s="629">
        <f>tblIndicators!F23</f>
        <v>1</v>
      </c>
      <c r="E27" s="629">
        <f>tblIndicators!C23</f>
        <v>0</v>
      </c>
      <c r="F27" s="629" t="str">
        <f>tblIndicators!H23</f>
        <v>Organizativa</v>
      </c>
      <c r="G27" s="629">
        <f>tblIndicators!Z23</f>
        <v>1</v>
      </c>
      <c r="H27" s="630" t="str">
        <f>REPT(" ",D27)&amp;tblIndicators!AE23</f>
        <v xml:space="preserve"> 2) ORGANIZATIVA</v>
      </c>
      <c r="I27" s="631" t="str">
        <f>IF(G27=1,"",tblIndicators!Q23)</f>
        <v/>
      </c>
      <c r="J27" s="629"/>
      <c r="K27" s="632"/>
      <c r="L27" s="629"/>
      <c r="M27" s="632"/>
      <c r="N27" s="629"/>
      <c r="O27" s="632"/>
      <c r="P27" s="629"/>
      <c r="Q27" s="632"/>
      <c r="R27" s="629"/>
      <c r="S27" s="633"/>
    </row>
    <row r="28" spans="1:19" s="627" customFormat="1" ht="20.100000000000001" customHeight="1">
      <c r="A28" s="621"/>
      <c r="B28" s="622">
        <f>tblIndicators!A24</f>
        <v>23</v>
      </c>
      <c r="C28" s="622">
        <f>tblIndicators!B24</f>
        <v>0</v>
      </c>
      <c r="D28" s="622">
        <f>tblIndicators!F24</f>
        <v>2</v>
      </c>
      <c r="E28" s="622">
        <f>tblIndicators!C24</f>
        <v>0</v>
      </c>
      <c r="F28" s="622" t="str">
        <f>tblIndicators!H24</f>
        <v>Asociatividad</v>
      </c>
      <c r="G28" s="622">
        <f>tblIndicators!Z24</f>
        <v>1</v>
      </c>
      <c r="H28" s="623" t="str">
        <f>REPT(" ",D28)&amp;tblIndicators!AE24</f>
        <v xml:space="preserve">  2.1) Asociatividad</v>
      </c>
      <c r="I28" s="624" t="str">
        <f>IF(G28=1,"",tblIndicators!Q24)</f>
        <v/>
      </c>
      <c r="J28" s="622"/>
      <c r="K28" s="625"/>
      <c r="L28" s="622"/>
      <c r="M28" s="625"/>
      <c r="N28" s="622"/>
      <c r="O28" s="625"/>
      <c r="P28" s="622"/>
      <c r="Q28" s="625"/>
      <c r="R28" s="622"/>
      <c r="S28" s="626"/>
    </row>
    <row r="29" spans="1:19" s="383" customFormat="1" ht="30" customHeight="1">
      <c r="A29" s="384"/>
      <c r="B29" s="385">
        <f>tblIndicators!A25</f>
        <v>24</v>
      </c>
      <c r="C29" s="385">
        <f>tblIndicators!B25</f>
        <v>0</v>
      </c>
      <c r="D29" s="385">
        <f>tblIndicators!F25</f>
        <v>3</v>
      </c>
      <c r="E29" s="385">
        <f>tblIndicators!C25</f>
        <v>16</v>
      </c>
      <c r="F29" s="385" t="str">
        <f>tblIndicators!H25</f>
        <v>16.¿Cuán dinámicas son las asociaciones?</v>
      </c>
      <c r="G29" s="385">
        <f>tblIndicators!Z25</f>
        <v>3</v>
      </c>
      <c r="H29" s="421" t="str">
        <f>REPT(" ",D29)&amp;tblIndicators!AE25</f>
        <v xml:space="preserve">   2.1.1) 16.¿Cuán dinámicas son las asociaciones?</v>
      </c>
      <c r="I29" s="608" t="str">
        <f>IF(G29=1,"",tblIndicators!Q25)</f>
        <v>0 - 2</v>
      </c>
      <c r="J29" s="587">
        <v>0</v>
      </c>
      <c r="K29" s="588"/>
      <c r="L29" s="587"/>
      <c r="M29" s="588"/>
      <c r="N29" s="587"/>
      <c r="O29" s="588"/>
      <c r="P29" s="587"/>
      <c r="Q29" s="588"/>
      <c r="R29" s="587"/>
      <c r="S29" s="599"/>
    </row>
    <row r="30" spans="1:19" s="383" customFormat="1" ht="30" customHeight="1">
      <c r="A30" s="384"/>
      <c r="B30" s="385">
        <f>tblIndicators!A26</f>
        <v>25</v>
      </c>
      <c r="C30" s="385">
        <f>tblIndicators!B26</f>
        <v>0</v>
      </c>
      <c r="D30" s="385">
        <f>tblIndicators!F26</f>
        <v>3</v>
      </c>
      <c r="E30" s="385">
        <f>tblIndicators!C26</f>
        <v>17</v>
      </c>
      <c r="F30" s="385" t="str">
        <f>tblIndicators!H26</f>
        <v xml:space="preserve">17.¿Qué nivel de inclusión  presentan estas asociaciones? </v>
      </c>
      <c r="G30" s="385">
        <f>tblIndicators!Z26</f>
        <v>3</v>
      </c>
      <c r="H30" s="421" t="str">
        <f>REPT(" ",D30)&amp;tblIndicators!AE26</f>
        <v xml:space="preserve">   2.1.2) 17.¿Qué nivel de inclusión  presentan estas asociaciones? </v>
      </c>
      <c r="I30" s="608" t="str">
        <f>IF(G30=1,"",tblIndicators!Q26)</f>
        <v>0 - 2</v>
      </c>
      <c r="J30" s="587">
        <v>0</v>
      </c>
      <c r="K30" s="588"/>
      <c r="L30" s="587"/>
      <c r="M30" s="588"/>
      <c r="N30" s="587"/>
      <c r="O30" s="588"/>
      <c r="P30" s="587"/>
      <c r="Q30" s="588"/>
      <c r="R30" s="587"/>
      <c r="S30" s="599"/>
    </row>
    <row r="31" spans="1:19" s="383" customFormat="1" ht="30" customHeight="1">
      <c r="A31" s="384"/>
      <c r="B31" s="385">
        <f>tblIndicators!A27</f>
        <v>26</v>
      </c>
      <c r="C31" s="385">
        <f>tblIndicators!B27</f>
        <v>0</v>
      </c>
      <c r="D31" s="385">
        <f>tblIndicators!F27</f>
        <v>3</v>
      </c>
      <c r="E31" s="385">
        <f>tblIndicators!C27</f>
        <v>18</v>
      </c>
      <c r="F31" s="385" t="str">
        <f>tblIndicators!H27</f>
        <v>18.¿Las asociaciones: participan en espacios de interlocución o diálogo con pares?</v>
      </c>
      <c r="G31" s="385">
        <f>tblIndicators!Z27</f>
        <v>3</v>
      </c>
      <c r="H31" s="421" t="str">
        <f>REPT(" ",D31)&amp;tblIndicators!AE27</f>
        <v xml:space="preserve">   2.1.3) 18.¿Las asociaciones: participan en espacios de interlocución o diálogo con pares?</v>
      </c>
      <c r="I31" s="608" t="str">
        <f>IF(G31=1,"",tblIndicators!Q27)</f>
        <v>0 - 2</v>
      </c>
      <c r="J31" s="587">
        <v>0</v>
      </c>
      <c r="K31" s="588"/>
      <c r="L31" s="587"/>
      <c r="M31" s="588"/>
      <c r="N31" s="587"/>
      <c r="O31" s="588"/>
      <c r="P31" s="587"/>
      <c r="Q31" s="588"/>
      <c r="R31" s="587"/>
      <c r="S31" s="599"/>
    </row>
    <row r="32" spans="1:19" s="383" customFormat="1" ht="30" customHeight="1">
      <c r="A32" s="384"/>
      <c r="B32" s="385">
        <f>tblIndicators!A28</f>
        <v>27</v>
      </c>
      <c r="C32" s="385">
        <f>tblIndicators!B28</f>
        <v>0</v>
      </c>
      <c r="D32" s="385">
        <f>tblIndicators!F28</f>
        <v>3</v>
      </c>
      <c r="E32" s="385">
        <f>tblIndicators!C28</f>
        <v>19</v>
      </c>
      <c r="F32" s="385" t="str">
        <f>tblIndicators!H28</f>
        <v>19.¿Existen espacios de diálogo y coordinación entre diferentes actores de la cadena de valor del reciclaje?</v>
      </c>
      <c r="G32" s="385">
        <f>tblIndicators!Z28</f>
        <v>3</v>
      </c>
      <c r="H32" s="421" t="str">
        <f>REPT(" ",D32)&amp;tblIndicators!AE28</f>
        <v xml:space="preserve">   2.1.4) 19.¿Existen espacios de diálogo y coordinación entre diferentes actores de la cadena de valor del reciclaje?</v>
      </c>
      <c r="I32" s="608" t="str">
        <f>IF(G32=1,"",tblIndicators!Q28)</f>
        <v>0 - 2</v>
      </c>
      <c r="J32" s="587">
        <v>0</v>
      </c>
      <c r="K32" s="588"/>
      <c r="L32" s="587"/>
      <c r="M32" s="588"/>
      <c r="N32" s="587"/>
      <c r="O32" s="588"/>
      <c r="P32" s="587"/>
      <c r="Q32" s="588"/>
      <c r="R32" s="587"/>
      <c r="S32" s="599"/>
    </row>
    <row r="33" spans="1:19" s="383" customFormat="1" ht="30" customHeight="1">
      <c r="A33" s="384"/>
      <c r="B33" s="385">
        <f>tblIndicators!A29</f>
        <v>28</v>
      </c>
      <c r="C33" s="385">
        <f>tblIndicators!B29</f>
        <v>0</v>
      </c>
      <c r="D33" s="385">
        <f>tblIndicators!F29</f>
        <v>3</v>
      </c>
      <c r="E33" s="385">
        <f>tblIndicators!C29</f>
        <v>20</v>
      </c>
      <c r="F33" s="385" t="str">
        <f>tblIndicators!H29</f>
        <v>20.¿Cuál es el nivel de representación de las mujeres en las asociaciones?</v>
      </c>
      <c r="G33" s="385">
        <f>tblIndicators!Z29</f>
        <v>3</v>
      </c>
      <c r="H33" s="421" t="str">
        <f>REPT(" ",D33)&amp;tblIndicators!AE29</f>
        <v xml:space="preserve">   2.1.5) 20.¿Cuál es el nivel de representación de las mujeres en las asociaciones?</v>
      </c>
      <c r="I33" s="608" t="str">
        <f>IF(G33=1,"",tblIndicators!Q29)</f>
        <v>0 - 2</v>
      </c>
      <c r="J33" s="587">
        <v>0</v>
      </c>
      <c r="K33" s="588"/>
      <c r="L33" s="587"/>
      <c r="M33" s="588"/>
      <c r="N33" s="587"/>
      <c r="O33" s="588"/>
      <c r="P33" s="587"/>
      <c r="Q33" s="588"/>
      <c r="R33" s="587"/>
      <c r="S33" s="599"/>
    </row>
    <row r="34" spans="1:19" s="627" customFormat="1" ht="20.100000000000001" customHeight="1">
      <c r="A34" s="621"/>
      <c r="B34" s="622">
        <f>tblIndicators!A30</f>
        <v>29</v>
      </c>
      <c r="C34" s="622">
        <f>tblIndicators!B30</f>
        <v>0</v>
      </c>
      <c r="D34" s="622">
        <f>tblIndicators!F30</f>
        <v>2</v>
      </c>
      <c r="E34" s="622">
        <f>tblIndicators!C30</f>
        <v>0</v>
      </c>
      <c r="F34" s="622" t="str">
        <f>tblIndicators!H30</f>
        <v>Organizaciones comerciales</v>
      </c>
      <c r="G34" s="622">
        <f>tblIndicators!Z30</f>
        <v>1</v>
      </c>
      <c r="H34" s="623" t="str">
        <f>REPT(" ",D34)&amp;tblIndicators!AE30</f>
        <v xml:space="preserve">  2.2) Organizaciones comerciales</v>
      </c>
      <c r="I34" s="624" t="str">
        <f>IF(G34=1,"",tblIndicators!Q30)</f>
        <v/>
      </c>
      <c r="J34" s="622"/>
      <c r="K34" s="625"/>
      <c r="L34" s="622"/>
      <c r="M34" s="625"/>
      <c r="N34" s="622"/>
      <c r="O34" s="625"/>
      <c r="P34" s="622"/>
      <c r="Q34" s="625"/>
      <c r="R34" s="622"/>
      <c r="S34" s="626"/>
    </row>
    <row r="35" spans="1:19" s="383" customFormat="1" ht="30" customHeight="1">
      <c r="A35" s="384"/>
      <c r="B35" s="385">
        <f>tblIndicators!A31</f>
        <v>30</v>
      </c>
      <c r="C35" s="385">
        <f>tblIndicators!B31</f>
        <v>0</v>
      </c>
      <c r="D35" s="385">
        <f>tblIndicators!F31</f>
        <v>3</v>
      </c>
      <c r="E35" s="385">
        <f>tblIndicators!C31</f>
        <v>21</v>
      </c>
      <c r="F35" s="385" t="str">
        <f>tblIndicators!H31</f>
        <v xml:space="preserve">21.¿Existen organizaciones de recicladores con actividad comercial en el municipio (cooperativas y/o microempresas)? </v>
      </c>
      <c r="G35" s="385">
        <f>tblIndicators!Z31</f>
        <v>3</v>
      </c>
      <c r="H35" s="421" t="str">
        <f>REPT(" ",D35)&amp;tblIndicators!AE31</f>
        <v xml:space="preserve">   2.2.1) 21.¿Existen organizaciones de recicladores con actividad comercial en el municipio (cooperativas y/o microempresas)? </v>
      </c>
      <c r="I35" s="608" t="str">
        <f>IF(G35=1,"",tblIndicators!Q31)</f>
        <v>0 - 2</v>
      </c>
      <c r="J35" s="587">
        <v>0</v>
      </c>
      <c r="K35" s="588"/>
      <c r="L35" s="587"/>
      <c r="M35" s="588"/>
      <c r="N35" s="587"/>
      <c r="O35" s="588"/>
      <c r="P35" s="587"/>
      <c r="Q35" s="588"/>
      <c r="R35" s="587"/>
      <c r="S35" s="599"/>
    </row>
    <row r="36" spans="1:19" s="383" customFormat="1" ht="30" customHeight="1">
      <c r="A36" s="384"/>
      <c r="B36" s="385">
        <f>tblIndicators!A32</f>
        <v>31</v>
      </c>
      <c r="C36" s="385">
        <f>tblIndicators!B32</f>
        <v>0</v>
      </c>
      <c r="D36" s="385">
        <f>tblIndicators!F32</f>
        <v>3</v>
      </c>
      <c r="E36" s="385">
        <f>tblIndicators!C32</f>
        <v>22</v>
      </c>
      <c r="F36" s="385" t="str">
        <f>tblIndicators!H32</f>
        <v>22.¿Cuál es el nivel de participación de las organizaciones de recicladores en la cadena de valor del reciclaje?</v>
      </c>
      <c r="G36" s="385">
        <f>tblIndicators!Z32</f>
        <v>3</v>
      </c>
      <c r="H36" s="421" t="str">
        <f>REPT(" ",D36)&amp;tblIndicators!AE32</f>
        <v xml:space="preserve">   2.2.2) 22.¿Cuál es el nivel de participación de las organizaciones de recicladores en la cadena de valor del reciclaje?</v>
      </c>
      <c r="I36" s="608" t="str">
        <f>IF(G36=1,"",tblIndicators!Q32)</f>
        <v>0 - 2</v>
      </c>
      <c r="J36" s="587">
        <v>0</v>
      </c>
      <c r="K36" s="588"/>
      <c r="L36" s="587"/>
      <c r="M36" s="588"/>
      <c r="N36" s="587"/>
      <c r="O36" s="588"/>
      <c r="P36" s="587"/>
      <c r="Q36" s="588"/>
      <c r="R36" s="587"/>
      <c r="S36" s="599"/>
    </row>
    <row r="37" spans="1:19" s="383" customFormat="1" ht="30" customHeight="1">
      <c r="A37" s="384"/>
      <c r="B37" s="385">
        <f>tblIndicators!A33</f>
        <v>32</v>
      </c>
      <c r="C37" s="385">
        <f>tblIndicators!B33</f>
        <v>0</v>
      </c>
      <c r="D37" s="385">
        <f>tblIndicators!F33</f>
        <v>3</v>
      </c>
      <c r="E37" s="385">
        <f>tblIndicators!C33</f>
        <v>23</v>
      </c>
      <c r="F37" s="385" t="str">
        <f>tblIndicators!H33</f>
        <v>23. Las organizaciones comerciales de recicladores: ¿Tienen acceso a mecanismos de financiamiento?</v>
      </c>
      <c r="G37" s="385">
        <f>tblIndicators!Z33</f>
        <v>3</v>
      </c>
      <c r="H37" s="421" t="str">
        <f>REPT(" ",D37)&amp;tblIndicators!AE33</f>
        <v xml:space="preserve">   2.2.3) 23. Las organizaciones comerciales de recicladores: ¿Tienen acceso a mecanismos de financiamiento?</v>
      </c>
      <c r="I37" s="608" t="str">
        <f>IF(G37=1,"",tblIndicators!Q33)</f>
        <v>0 - 3</v>
      </c>
      <c r="J37" s="587">
        <v>0</v>
      </c>
      <c r="K37" s="588"/>
      <c r="L37" s="587"/>
      <c r="M37" s="588"/>
      <c r="N37" s="587"/>
      <c r="O37" s="588"/>
      <c r="P37" s="587"/>
      <c r="Q37" s="588"/>
      <c r="R37" s="587"/>
      <c r="S37" s="599"/>
    </row>
    <row r="38" spans="1:19" s="634" customFormat="1" ht="24.95" customHeight="1">
      <c r="A38" s="628"/>
      <c r="B38" s="629">
        <f>tblIndicators!A34</f>
        <v>33</v>
      </c>
      <c r="C38" s="629">
        <f>tblIndicators!B34</f>
        <v>0</v>
      </c>
      <c r="D38" s="629">
        <f>tblIndicators!F34</f>
        <v>1</v>
      </c>
      <c r="E38" s="629">
        <f>tblIndicators!C34</f>
        <v>0</v>
      </c>
      <c r="F38" s="629" t="str">
        <f>tblIndicators!H34</f>
        <v>Mercado</v>
      </c>
      <c r="G38" s="629">
        <f>tblIndicators!Z34</f>
        <v>1</v>
      </c>
      <c r="H38" s="630" t="str">
        <f>REPT(" ",D38)&amp;tblIndicators!AE34</f>
        <v xml:space="preserve"> 3) MERCADO</v>
      </c>
      <c r="I38" s="631" t="str">
        <f>IF(G38=1,"",tblIndicators!Q34)</f>
        <v/>
      </c>
      <c r="J38" s="629"/>
      <c r="K38" s="632"/>
      <c r="L38" s="629"/>
      <c r="M38" s="632"/>
      <c r="N38" s="629"/>
      <c r="O38" s="632"/>
      <c r="P38" s="629"/>
      <c r="Q38" s="632"/>
      <c r="R38" s="629"/>
      <c r="S38" s="633"/>
    </row>
    <row r="39" spans="1:19" s="627" customFormat="1" ht="20.100000000000001" customHeight="1">
      <c r="A39" s="621"/>
      <c r="B39" s="622">
        <f>tblIndicators!A35</f>
        <v>34</v>
      </c>
      <c r="C39" s="622">
        <f>tblIndicators!B35</f>
        <v>0</v>
      </c>
      <c r="D39" s="622">
        <f>tblIndicators!F35</f>
        <v>2</v>
      </c>
      <c r="E39" s="622">
        <f>tblIndicators!C35</f>
        <v>0</v>
      </c>
      <c r="F39" s="622" t="str">
        <f>tblIndicators!H35</f>
        <v>Condiciones de acceso y almacenamiento de residuos</v>
      </c>
      <c r="G39" s="622">
        <f>tblIndicators!Z35</f>
        <v>1</v>
      </c>
      <c r="H39" s="623" t="str">
        <f>REPT(" ",D39)&amp;tblIndicators!AE35</f>
        <v xml:space="preserve">  3.1) Condiciones de acceso y almacenamiento de residuos</v>
      </c>
      <c r="I39" s="624" t="str">
        <f>IF(G39=1,"",tblIndicators!Q35)</f>
        <v/>
      </c>
      <c r="J39" s="622"/>
      <c r="K39" s="625"/>
      <c r="L39" s="622"/>
      <c r="M39" s="625"/>
      <c r="N39" s="622"/>
      <c r="O39" s="625"/>
      <c r="P39" s="622"/>
      <c r="Q39" s="625"/>
      <c r="R39" s="622"/>
      <c r="S39" s="626"/>
    </row>
    <row r="40" spans="1:19" s="383" customFormat="1" ht="30" customHeight="1">
      <c r="A40" s="384"/>
      <c r="B40" s="385">
        <f>tblIndicators!A36</f>
        <v>35</v>
      </c>
      <c r="C40" s="385">
        <f>tblIndicators!B36</f>
        <v>0</v>
      </c>
      <c r="D40" s="385">
        <f>tblIndicators!F36</f>
        <v>3</v>
      </c>
      <c r="E40" s="385">
        <f>tblIndicators!C36</f>
        <v>24</v>
      </c>
      <c r="F40" s="385" t="str">
        <f>tblIndicators!H36</f>
        <v>24.¿Cómo es el acceso del material reciclable?</v>
      </c>
      <c r="G40" s="385">
        <f>tblIndicators!Z36</f>
        <v>3</v>
      </c>
      <c r="H40" s="421" t="str">
        <f>REPT(" ",D40)&amp;tblIndicators!AE36</f>
        <v xml:space="preserve">   3.1.1) 24.¿Cómo es el acceso del material reciclable?</v>
      </c>
      <c r="I40" s="608" t="str">
        <f>IF(G40=1,"",tblIndicators!Q36)</f>
        <v>0 - 3</v>
      </c>
      <c r="J40" s="587">
        <v>0</v>
      </c>
      <c r="K40" s="588"/>
      <c r="L40" s="587"/>
      <c r="M40" s="588"/>
      <c r="N40" s="587"/>
      <c r="O40" s="588"/>
      <c r="P40" s="587"/>
      <c r="Q40" s="588"/>
      <c r="R40" s="587"/>
      <c r="S40" s="599"/>
    </row>
    <row r="41" spans="1:19" s="383" customFormat="1" ht="30" customHeight="1">
      <c r="A41" s="384"/>
      <c r="B41" s="385">
        <f>tblIndicators!A37</f>
        <v>36</v>
      </c>
      <c r="C41" s="385">
        <f>tblIndicators!B37</f>
        <v>0</v>
      </c>
      <c r="D41" s="385">
        <f>tblIndicators!F37</f>
        <v>3</v>
      </c>
      <c r="E41" s="385">
        <f>tblIndicators!C37</f>
        <v>25</v>
      </c>
      <c r="F41" s="385" t="str">
        <f>tblIndicators!H37</f>
        <v>25.¿Existen esquemas formales de recolección diferenciada de residuos reciclables en el municipio que involucran a recicladores de base?</v>
      </c>
      <c r="G41" s="385">
        <f>tblIndicators!Z37</f>
        <v>3</v>
      </c>
      <c r="H41" s="421" t="str">
        <f>REPT(" ",D41)&amp;tblIndicators!AE37</f>
        <v xml:space="preserve">   3.1.2) 25.¿Existen esquemas formales de recolección diferenciada de residuos reciclables en el municipio que involucran a recicladores de base?</v>
      </c>
      <c r="I41" s="608" t="str">
        <f>IF(G41=1,"",tblIndicators!Q37)</f>
        <v>0 - 2</v>
      </c>
      <c r="J41" s="587">
        <v>0</v>
      </c>
      <c r="K41" s="588"/>
      <c r="L41" s="587"/>
      <c r="M41" s="588"/>
      <c r="N41" s="587"/>
      <c r="O41" s="588"/>
      <c r="P41" s="587"/>
      <c r="Q41" s="588"/>
      <c r="R41" s="587"/>
      <c r="S41" s="599"/>
    </row>
    <row r="42" spans="1:19" s="383" customFormat="1" ht="30" customHeight="1">
      <c r="A42" s="384"/>
      <c r="B42" s="385">
        <f>tblIndicators!A38</f>
        <v>37</v>
      </c>
      <c r="C42" s="385">
        <f>tblIndicators!B38</f>
        <v>0</v>
      </c>
      <c r="D42" s="385">
        <f>tblIndicators!F38</f>
        <v>3</v>
      </c>
      <c r="E42" s="385">
        <f>tblIndicators!C38</f>
        <v>26</v>
      </c>
      <c r="F42" s="385" t="str">
        <f>tblIndicators!H38</f>
        <v>26.¿Los recicladores tienen acceso a instalaciones para el almacenamiento y la clasificación de materiales?</v>
      </c>
      <c r="G42" s="385">
        <f>tblIndicators!Z38</f>
        <v>3</v>
      </c>
      <c r="H42" s="421" t="str">
        <f>REPT(" ",D42)&amp;tblIndicators!AE38</f>
        <v xml:space="preserve">   3.1.3) 26.¿Los recicladores tienen acceso a instalaciones para el almacenamiento y la clasificación de materiales?</v>
      </c>
      <c r="I42" s="608" t="str">
        <f>IF(G42=1,"",tblIndicators!Q38)</f>
        <v>0 - 1</v>
      </c>
      <c r="J42" s="587">
        <v>0</v>
      </c>
      <c r="K42" s="588"/>
      <c r="L42" s="587"/>
      <c r="M42" s="588"/>
      <c r="N42" s="587"/>
      <c r="O42" s="588"/>
      <c r="P42" s="587"/>
      <c r="Q42" s="588"/>
      <c r="R42" s="587"/>
      <c r="S42" s="599"/>
    </row>
    <row r="43" spans="1:19" s="383" customFormat="1" ht="30" customHeight="1">
      <c r="A43" s="384"/>
      <c r="B43" s="385">
        <f>tblIndicators!A39</f>
        <v>38</v>
      </c>
      <c r="C43" s="385">
        <f>tblIndicators!B39</f>
        <v>0</v>
      </c>
      <c r="D43" s="385">
        <f>tblIndicators!F39</f>
        <v>3</v>
      </c>
      <c r="E43" s="385">
        <f>tblIndicators!C39</f>
        <v>27</v>
      </c>
      <c r="F43" s="385" t="str">
        <f>tblIndicators!H39</f>
        <v>27.¿Cuál es el nivel de desarrollo técnico alcanzado en la clasificación (o pre-procesamiento) de materiales reciclables por parte de agrupaciones de recicladores?</v>
      </c>
      <c r="G43" s="385">
        <f>tblIndicators!Z39</f>
        <v>3</v>
      </c>
      <c r="H43" s="421" t="str">
        <f>REPT(" ",D43)&amp;tblIndicators!AE39</f>
        <v xml:space="preserve">   3.1.4) 27.¿Cuál es el nivel de desarrollo técnico alcanzado en la clasificación (o pre-procesamiento) de materiales reciclables por parte de agrupaciones de recicladores?</v>
      </c>
      <c r="I43" s="608" t="str">
        <f>IF(G43=1,"",tblIndicators!Q39)</f>
        <v>0 - 2</v>
      </c>
      <c r="J43" s="587">
        <v>0</v>
      </c>
      <c r="K43" s="588"/>
      <c r="L43" s="587"/>
      <c r="M43" s="588"/>
      <c r="N43" s="587"/>
      <c r="O43" s="588"/>
      <c r="P43" s="587"/>
      <c r="Q43" s="588"/>
      <c r="R43" s="587"/>
      <c r="S43" s="599"/>
    </row>
    <row r="44" spans="1:19" s="627" customFormat="1" ht="20.100000000000001" customHeight="1">
      <c r="A44" s="621"/>
      <c r="B44" s="622">
        <f>tblIndicators!A40</f>
        <v>39</v>
      </c>
      <c r="C44" s="622">
        <f>tblIndicators!B40</f>
        <v>0</v>
      </c>
      <c r="D44" s="622">
        <f>tblIndicators!F40</f>
        <v>2</v>
      </c>
      <c r="E44" s="622">
        <f>tblIndicators!C40</f>
        <v>0</v>
      </c>
      <c r="F44" s="622" t="str">
        <f>tblIndicators!H40</f>
        <v>Condiciones para la comercialización de material reciclable</v>
      </c>
      <c r="G44" s="622">
        <f>tblIndicators!Z40</f>
        <v>1</v>
      </c>
      <c r="H44" s="623" t="str">
        <f>REPT(" ",D44)&amp;tblIndicators!AE40</f>
        <v xml:space="preserve">  3.2) Condiciones para la comercialización de material reciclable</v>
      </c>
      <c r="I44" s="624" t="str">
        <f>IF(G44=1,"",tblIndicators!Q40)</f>
        <v/>
      </c>
      <c r="J44" s="622"/>
      <c r="K44" s="625"/>
      <c r="L44" s="622"/>
      <c r="M44" s="625"/>
      <c r="N44" s="622"/>
      <c r="O44" s="625"/>
      <c r="P44" s="622"/>
      <c r="Q44" s="625"/>
      <c r="R44" s="622"/>
      <c r="S44" s="626"/>
    </row>
    <row r="45" spans="1:19" s="383" customFormat="1" ht="30" customHeight="1">
      <c r="A45" s="384"/>
      <c r="B45" s="385">
        <f>tblIndicators!A41</f>
        <v>40</v>
      </c>
      <c r="C45" s="385">
        <f>tblIndicators!B41</f>
        <v>0</v>
      </c>
      <c r="D45" s="385">
        <f>tblIndicators!F41</f>
        <v>3</v>
      </c>
      <c r="E45" s="385">
        <f>tblIndicators!C41</f>
        <v>28</v>
      </c>
      <c r="F45" s="385" t="str">
        <f>tblIndicators!H41</f>
        <v>28.¿Cuál es la diferencia de valor del material en los diferentes eslabones de la cadena del reciclaje?</v>
      </c>
      <c r="G45" s="385">
        <f>tblIndicators!Z41</f>
        <v>2</v>
      </c>
      <c r="H45" s="421" t="str">
        <f>REPT(" ",D45)&amp;tblIndicators!AE41</f>
        <v xml:space="preserve">   3.2.1) 28.¿Cuál es la diferencia de valor del material en los diferentes eslabones de la cadena del reciclaje?</v>
      </c>
      <c r="I45" s="608" t="str">
        <f>IF(G45=1,"",tblIndicators!Q41)</f>
        <v>Ratio</v>
      </c>
      <c r="J45" s="587">
        <v>0</v>
      </c>
      <c r="K45" s="588"/>
      <c r="L45" s="587"/>
      <c r="M45" s="588"/>
      <c r="N45" s="587"/>
      <c r="O45" s="588"/>
      <c r="P45" s="587"/>
      <c r="Q45" s="588"/>
      <c r="R45" s="587"/>
      <c r="S45" s="599"/>
    </row>
    <row r="46" spans="1:19" s="383" customFormat="1" ht="30" customHeight="1">
      <c r="A46" s="384"/>
      <c r="B46" s="385">
        <f>tblIndicators!A42</f>
        <v>41</v>
      </c>
      <c r="C46" s="385">
        <f>tblIndicators!B42</f>
        <v>0</v>
      </c>
      <c r="D46" s="385">
        <f>tblIndicators!F42</f>
        <v>3</v>
      </c>
      <c r="E46" s="385">
        <f>tblIndicators!C42</f>
        <v>29</v>
      </c>
      <c r="F46" s="385" t="str">
        <f>tblIndicators!H42</f>
        <v>29.¿Cuál es el nivel de desarrollo de la industria transformadora a nivel nacional?</v>
      </c>
      <c r="G46" s="385">
        <f>tblIndicators!Z42</f>
        <v>3</v>
      </c>
      <c r="H46" s="421" t="str">
        <f>REPT(" ",D46)&amp;tblIndicators!AE42</f>
        <v xml:space="preserve">   3.2.2) 29.¿Cuál es el nivel de desarrollo de la industria transformadora a nivel nacional?</v>
      </c>
      <c r="I46" s="608" t="str">
        <f>IF(G46=1,"",tblIndicators!Q42)</f>
        <v>0 - 3</v>
      </c>
      <c r="J46" s="587">
        <v>0</v>
      </c>
      <c r="K46" s="588"/>
      <c r="L46" s="587"/>
      <c r="M46" s="588"/>
      <c r="N46" s="587"/>
      <c r="O46" s="588"/>
      <c r="P46" s="587"/>
      <c r="Q46" s="588"/>
      <c r="R46" s="587"/>
      <c r="S46" s="599"/>
    </row>
    <row r="47" spans="1:19" s="627" customFormat="1" ht="20.100000000000001" customHeight="1">
      <c r="A47" s="621"/>
      <c r="B47" s="622">
        <f>tblIndicators!A43</f>
        <v>42</v>
      </c>
      <c r="C47" s="622">
        <f>tblIndicators!B43</f>
        <v>0</v>
      </c>
      <c r="D47" s="622">
        <f>tblIndicators!F43</f>
        <v>2</v>
      </c>
      <c r="E47" s="622">
        <f>tblIndicators!C43</f>
        <v>0</v>
      </c>
      <c r="F47" s="622" t="str">
        <f>tblIndicators!H43</f>
        <v>Ingreso de los recicladores de base</v>
      </c>
      <c r="G47" s="622">
        <f>tblIndicators!Z43</f>
        <v>1</v>
      </c>
      <c r="H47" s="623" t="str">
        <f>REPT(" ",D47)&amp;tblIndicators!AE43</f>
        <v xml:space="preserve">  3.3) Ingreso de los recicladores de base</v>
      </c>
      <c r="I47" s="624" t="str">
        <f>IF(G47=1,"",tblIndicators!Q43)</f>
        <v/>
      </c>
      <c r="J47" s="622"/>
      <c r="K47" s="625"/>
      <c r="L47" s="622"/>
      <c r="M47" s="625"/>
      <c r="N47" s="622"/>
      <c r="O47" s="625"/>
      <c r="P47" s="622"/>
      <c r="Q47" s="625"/>
      <c r="R47" s="622"/>
      <c r="S47" s="626"/>
    </row>
    <row r="48" spans="1:19" s="383" customFormat="1" ht="30">
      <c r="A48" s="384"/>
      <c r="B48" s="385">
        <f>tblIndicators!A44</f>
        <v>43</v>
      </c>
      <c r="C48" s="385">
        <f>tblIndicators!B44</f>
        <v>0</v>
      </c>
      <c r="D48" s="385">
        <f>tblIndicators!F44</f>
        <v>3</v>
      </c>
      <c r="E48" s="385">
        <f>tblIndicators!C44</f>
        <v>30</v>
      </c>
      <c r="F48" s="385" t="str">
        <f>tblIndicators!H44</f>
        <v>30.¿Se permite la contratación con agrupaciones de recicladores de base en el sistema de gestión de residuos del municipio?</v>
      </c>
      <c r="G48" s="385">
        <f>tblIndicators!Z44</f>
        <v>3</v>
      </c>
      <c r="H48" s="421" t="str">
        <f>REPT(" ",D48)&amp;tblIndicators!AE44</f>
        <v xml:space="preserve">   3.3.1) 30.¿Se permite la contratación con agrupaciones de recicladores de base en el sistema de gestión de residuos del municipio?</v>
      </c>
      <c r="I48" s="608" t="str">
        <f>IF(G48=1,"",tblIndicators!Q44)</f>
        <v>0 - 2</v>
      </c>
      <c r="J48" s="587">
        <v>0</v>
      </c>
      <c r="K48" s="588"/>
      <c r="L48" s="587"/>
      <c r="M48" s="588"/>
      <c r="N48" s="587"/>
      <c r="O48" s="588"/>
      <c r="P48" s="587"/>
      <c r="Q48" s="588"/>
      <c r="R48" s="587"/>
      <c r="S48" s="599"/>
    </row>
    <row r="49" spans="1:19" s="383" customFormat="1" ht="30">
      <c r="A49" s="384"/>
      <c r="B49" s="385">
        <f>tblIndicators!A45</f>
        <v>44</v>
      </c>
      <c r="C49" s="385">
        <f>tblIndicators!B45</f>
        <v>0</v>
      </c>
      <c r="D49" s="385">
        <f>tblIndicators!F45</f>
        <v>3</v>
      </c>
      <c r="E49" s="385">
        <f>tblIndicators!C45</f>
        <v>31</v>
      </c>
      <c r="F49" s="385" t="str">
        <f>tblIndicators!H45</f>
        <v>31.¿Existen mecanismos de pago periódico fijo para los recicladores de base por servicios prestados?</v>
      </c>
      <c r="G49" s="385">
        <f>tblIndicators!Z45</f>
        <v>3</v>
      </c>
      <c r="H49" s="421" t="str">
        <f>REPT(" ",D49)&amp;tblIndicators!AE45</f>
        <v xml:space="preserve">   3.3.2) 31.¿Existen mecanismos de pago periódico fijo para los recicladores de base por servicios prestados?</v>
      </c>
      <c r="I49" s="608" t="str">
        <f>IF(G49=1,"",tblIndicators!Q45)</f>
        <v>0 - 1</v>
      </c>
      <c r="J49" s="587">
        <v>0</v>
      </c>
      <c r="K49" s="588"/>
      <c r="L49" s="587"/>
      <c r="M49" s="588"/>
      <c r="N49" s="587"/>
      <c r="O49" s="588"/>
      <c r="P49" s="587"/>
      <c r="Q49" s="588"/>
      <c r="R49" s="587"/>
      <c r="S49" s="599"/>
    </row>
    <row r="50" spans="1:19" s="383" customFormat="1" ht="30">
      <c r="A50" s="384"/>
      <c r="B50" s="385">
        <f>tblIndicators!A46</f>
        <v>45</v>
      </c>
      <c r="C50" s="385">
        <f>tblIndicators!B46</f>
        <v>0</v>
      </c>
      <c r="D50" s="385">
        <f>tblIndicators!F46</f>
        <v>3</v>
      </c>
      <c r="E50" s="385">
        <f>tblIndicators!C46</f>
        <v>32</v>
      </c>
      <c r="F50" s="385" t="str">
        <f>tblIndicators!H46</f>
        <v>32.¿Existen programas de diversificación de los servicios prestados por recicladores?</v>
      </c>
      <c r="G50" s="385">
        <f>tblIndicators!Z46</f>
        <v>3</v>
      </c>
      <c r="H50" s="421" t="str">
        <f>REPT(" ",D50)&amp;tblIndicators!AE46</f>
        <v xml:space="preserve">   3.3.3) 32.¿Existen programas de diversificación de los servicios prestados por recicladores?</v>
      </c>
      <c r="I50" s="608" t="str">
        <f>IF(G50=1,"",tblIndicators!Q46)</f>
        <v>0 - 1</v>
      </c>
      <c r="J50" s="587">
        <v>0</v>
      </c>
      <c r="K50" s="588"/>
      <c r="L50" s="587"/>
      <c r="M50" s="588"/>
      <c r="N50" s="587"/>
      <c r="O50" s="588"/>
      <c r="P50" s="587"/>
      <c r="Q50" s="588"/>
      <c r="R50" s="587"/>
      <c r="S50" s="599"/>
    </row>
    <row r="51" spans="1:19" s="383" customFormat="1" ht="30">
      <c r="A51" s="384"/>
      <c r="B51" s="385">
        <f>tblIndicators!A47</f>
        <v>46</v>
      </c>
      <c r="C51" s="385">
        <f>tblIndicators!B47</f>
        <v>0</v>
      </c>
      <c r="D51" s="385">
        <f>tblIndicators!F47</f>
        <v>3</v>
      </c>
      <c r="E51" s="385">
        <f>tblIndicators!C47</f>
        <v>33</v>
      </c>
      <c r="F51" s="385" t="str">
        <f>tblIndicators!H47</f>
        <v>33. Ingreso promedio de los recicladores con respecto al salario mínimo nacional</v>
      </c>
      <c r="G51" s="385">
        <f>tblIndicators!Z47</f>
        <v>2</v>
      </c>
      <c r="H51" s="421" t="str">
        <f>REPT(" ",D51)&amp;tblIndicators!AE47</f>
        <v xml:space="preserve">   3.3.4) 33. Ingreso promedio de los recicladores con respecto al salario mínimo nacional</v>
      </c>
      <c r="I51" s="608" t="str">
        <f>IF(G51=1,"",tblIndicators!Q47)</f>
        <v>%</v>
      </c>
      <c r="J51" s="587">
        <v>0</v>
      </c>
      <c r="K51" s="588"/>
      <c r="L51" s="587"/>
      <c r="M51" s="588"/>
      <c r="N51" s="587"/>
      <c r="O51" s="588"/>
      <c r="P51" s="587"/>
      <c r="Q51" s="588"/>
      <c r="R51" s="587"/>
      <c r="S51" s="599"/>
    </row>
    <row r="52" spans="1:19" s="627" customFormat="1" ht="20.100000000000001" customHeight="1">
      <c r="A52" s="621"/>
      <c r="B52" s="622">
        <f>tblIndicators!A48</f>
        <v>47</v>
      </c>
      <c r="C52" s="622">
        <f>tblIndicators!B48</f>
        <v>0</v>
      </c>
      <c r="D52" s="622">
        <f>tblIndicators!F48</f>
        <v>2</v>
      </c>
      <c r="E52" s="622">
        <f>tblIndicators!C48</f>
        <v>0</v>
      </c>
      <c r="F52" s="622" t="str">
        <f>tblIndicators!H48</f>
        <v>Condiciones de trabajo de los recicladores de base</v>
      </c>
      <c r="G52" s="622">
        <f>tblIndicators!Z48</f>
        <v>1</v>
      </c>
      <c r="H52" s="623" t="str">
        <f>REPT(" ",D52)&amp;tblIndicators!AE48</f>
        <v xml:space="preserve">  3.4) Condiciones de trabajo de los recicladores de base</v>
      </c>
      <c r="I52" s="624" t="str">
        <f>IF(G52=1,"",tblIndicators!Q48)</f>
        <v/>
      </c>
      <c r="J52" s="622"/>
      <c r="K52" s="625"/>
      <c r="L52" s="622"/>
      <c r="M52" s="625"/>
      <c r="N52" s="622"/>
      <c r="O52" s="625"/>
      <c r="P52" s="622"/>
      <c r="Q52" s="625"/>
      <c r="R52" s="622"/>
      <c r="S52" s="626"/>
    </row>
    <row r="53" spans="1:19" s="383" customFormat="1" ht="30" customHeight="1">
      <c r="A53" s="384"/>
      <c r="B53" s="385">
        <f>tblIndicators!A49</f>
        <v>48</v>
      </c>
      <c r="C53" s="385">
        <f>tblIndicators!B49</f>
        <v>0</v>
      </c>
      <c r="D53" s="385">
        <f>tblIndicators!F49</f>
        <v>3</v>
      </c>
      <c r="E53" s="385">
        <f>tblIndicators!C49</f>
        <v>34</v>
      </c>
      <c r="F53" s="385" t="str">
        <f>tblIndicators!H49</f>
        <v>34.¿Existe trabajo infantil en la cadena de manejo de residuos?</v>
      </c>
      <c r="G53" s="385">
        <f>tblIndicators!Z49</f>
        <v>3</v>
      </c>
      <c r="H53" s="421" t="str">
        <f>REPT(" ",D53)&amp;tblIndicators!AE49</f>
        <v xml:space="preserve">   3.4.1) 34.¿Existe trabajo infantil en la cadena de manejo de residuos?</v>
      </c>
      <c r="I53" s="608" t="str">
        <f>IF(G53=1,"",tblIndicators!Q49)</f>
        <v>0 - 2</v>
      </c>
      <c r="J53" s="587">
        <v>0</v>
      </c>
      <c r="K53" s="588"/>
      <c r="L53" s="587"/>
      <c r="M53" s="588"/>
      <c r="N53" s="587"/>
      <c r="O53" s="588"/>
      <c r="P53" s="587"/>
      <c r="Q53" s="588"/>
      <c r="R53" s="587"/>
      <c r="S53" s="599"/>
    </row>
    <row r="54" spans="1:19" s="383" customFormat="1" ht="30" customHeight="1">
      <c r="A54" s="384"/>
      <c r="B54" s="385">
        <f>tblIndicators!A50</f>
        <v>49</v>
      </c>
      <c r="C54" s="385">
        <f>tblIndicators!B50</f>
        <v>0</v>
      </c>
      <c r="D54" s="385">
        <f>tblIndicators!F50</f>
        <v>3</v>
      </c>
      <c r="E54" s="385">
        <f>tblIndicators!C50</f>
        <v>35</v>
      </c>
      <c r="F54" s="385" t="str">
        <f>tblIndicators!H50</f>
        <v>35.¿Cuál es el nivel de enfoque de género en las condiciones de trabajo?</v>
      </c>
      <c r="G54" s="385">
        <f>tblIndicators!Z50</f>
        <v>3</v>
      </c>
      <c r="H54" s="421" t="str">
        <f>REPT(" ",D54)&amp;tblIndicators!AE50</f>
        <v xml:space="preserve">   3.4.2) 35.¿Cuál es el nivel de enfoque de género en las condiciones de trabajo?</v>
      </c>
      <c r="I54" s="608" t="str">
        <f>IF(G54=1,"",tblIndicators!Q50)</f>
        <v>0 - 2</v>
      </c>
      <c r="J54" s="587">
        <v>0</v>
      </c>
      <c r="K54" s="588"/>
      <c r="L54" s="587"/>
      <c r="M54" s="588"/>
      <c r="N54" s="587"/>
      <c r="O54" s="588"/>
      <c r="P54" s="587"/>
      <c r="Q54" s="588"/>
      <c r="R54" s="587"/>
      <c r="S54" s="599"/>
    </row>
    <row r="55" spans="1:19" s="383" customFormat="1" ht="30" customHeight="1">
      <c r="A55" s="384"/>
      <c r="B55" s="385">
        <f>tblIndicators!A51</f>
        <v>50</v>
      </c>
      <c r="C55" s="385">
        <f>tblIndicators!B51</f>
        <v>0</v>
      </c>
      <c r="D55" s="385">
        <f>tblIndicators!F51</f>
        <v>3</v>
      </c>
      <c r="E55" s="385">
        <f>tblIndicators!C51</f>
        <v>36</v>
      </c>
      <c r="F55" s="385" t="str">
        <f>tblIndicators!H51</f>
        <v>36.¿Hay planes inclusivos de cierre de vertederos a cielo abierto?</v>
      </c>
      <c r="G55" s="385">
        <f>tblIndicators!Z51</f>
        <v>3</v>
      </c>
      <c r="H55" s="421" t="str">
        <f>REPT(" ",D55)&amp;tblIndicators!AE51</f>
        <v xml:space="preserve">   3.4.3) 36.¿Hay planes inclusivos de cierre de vertederos a cielo abierto?</v>
      </c>
      <c r="I55" s="608" t="str">
        <f>IF(G55=1,"",tblIndicators!Q51)</f>
        <v>0 - 1</v>
      </c>
      <c r="J55" s="587">
        <v>0</v>
      </c>
      <c r="K55" s="588"/>
      <c r="L55" s="587"/>
      <c r="M55" s="588"/>
      <c r="N55" s="587"/>
      <c r="O55" s="588"/>
      <c r="P55" s="587"/>
      <c r="Q55" s="588"/>
      <c r="R55" s="587"/>
      <c r="S55" s="599"/>
    </row>
    <row r="56" spans="1:19" s="383" customFormat="1" ht="30" customHeight="1">
      <c r="A56" s="600"/>
      <c r="B56" s="601">
        <f>tblIndicators!A52</f>
        <v>51</v>
      </c>
      <c r="C56" s="601">
        <f>tblIndicators!B52</f>
        <v>0</v>
      </c>
      <c r="D56" s="601">
        <f>tblIndicators!F52</f>
        <v>3</v>
      </c>
      <c r="E56" s="601">
        <f>tblIndicators!C52</f>
        <v>37</v>
      </c>
      <c r="F56" s="601" t="str">
        <f>tblIndicators!H52</f>
        <v>37.¿Los recicladores tienen acceso a herramientas de trabajo adecuadas?</v>
      </c>
      <c r="G56" s="601">
        <f>tblIndicators!Z52</f>
        <v>3</v>
      </c>
      <c r="H56" s="602" t="str">
        <f>REPT(" ",D56)&amp;tblIndicators!AE52</f>
        <v xml:space="preserve">   3.4.4) 37.¿Los recicladores tienen acceso a herramientas de trabajo adecuadas?</v>
      </c>
      <c r="I56" s="609" t="str">
        <f>IF(G56=1,"",tblIndicators!Q52)</f>
        <v>0 - 2</v>
      </c>
      <c r="J56" s="635">
        <v>0</v>
      </c>
      <c r="K56" s="636"/>
      <c r="L56" s="637"/>
      <c r="M56" s="636"/>
      <c r="N56" s="637"/>
      <c r="O56" s="636"/>
      <c r="P56" s="637"/>
      <c r="Q56" s="636"/>
      <c r="R56" s="637"/>
      <c r="S56" s="638"/>
    </row>
    <row r="57" spans="1:19" s="383" customFormat="1">
      <c r="H57" s="413"/>
      <c r="I57" s="555"/>
    </row>
    <row r="58" spans="1:19" s="387" customFormat="1">
      <c r="H58" s="414"/>
      <c r="I58" s="556"/>
    </row>
    <row r="59" spans="1:19" s="387" customFormat="1">
      <c r="H59" s="414"/>
      <c r="I59" s="556"/>
    </row>
    <row r="60" spans="1:19" s="387" customFormat="1" hidden="1">
      <c r="H60" s="414"/>
      <c r="I60" s="556"/>
    </row>
    <row r="61" spans="1:19" s="387" customFormat="1" hidden="1">
      <c r="H61" s="414"/>
      <c r="I61" s="556"/>
    </row>
    <row r="62" spans="1:19" s="387" customFormat="1" hidden="1">
      <c r="H62" s="414"/>
      <c r="I62" s="556"/>
    </row>
    <row r="63" spans="1:19" s="387" customFormat="1" hidden="1">
      <c r="H63" s="414"/>
      <c r="I63" s="556"/>
    </row>
    <row r="64" spans="1:19" s="387" customFormat="1" hidden="1">
      <c r="H64" s="414"/>
      <c r="I64" s="556"/>
    </row>
    <row r="65" spans="8:9" s="387" customFormat="1" hidden="1">
      <c r="H65" s="414"/>
      <c r="I65" s="556"/>
    </row>
    <row r="66" spans="8:9" s="387" customFormat="1" hidden="1">
      <c r="H66" s="414"/>
      <c r="I66" s="556"/>
    </row>
    <row r="67" spans="8:9" s="387" customFormat="1" hidden="1">
      <c r="H67" s="414"/>
      <c r="I67" s="556"/>
    </row>
    <row r="68" spans="8:9" s="387" customFormat="1" hidden="1">
      <c r="H68" s="414"/>
      <c r="I68" s="556"/>
    </row>
    <row r="69" spans="8:9" s="387" customFormat="1" hidden="1">
      <c r="H69" s="414"/>
      <c r="I69" s="556"/>
    </row>
    <row r="70" spans="8:9" s="387" customFormat="1" hidden="1">
      <c r="H70" s="414"/>
      <c r="I70" s="556"/>
    </row>
    <row r="71" spans="8:9" s="387" customFormat="1" hidden="1">
      <c r="H71" s="414"/>
      <c r="I71" s="556"/>
    </row>
    <row r="72" spans="8:9" s="387" customFormat="1" hidden="1">
      <c r="H72" s="414"/>
      <c r="I72" s="556"/>
    </row>
    <row r="73" spans="8:9" s="387" customFormat="1" hidden="1">
      <c r="H73" s="414"/>
      <c r="I73" s="556"/>
    </row>
    <row r="74" spans="8:9" s="387" customFormat="1" hidden="1">
      <c r="H74" s="414"/>
      <c r="I74" s="556"/>
    </row>
    <row r="75" spans="8:9" s="387" customFormat="1" hidden="1">
      <c r="H75" s="414"/>
      <c r="I75" s="556"/>
    </row>
    <row r="76" spans="8:9" s="387" customFormat="1" hidden="1">
      <c r="H76" s="414"/>
      <c r="I76" s="556"/>
    </row>
    <row r="77" spans="8:9" s="387" customFormat="1" hidden="1">
      <c r="H77" s="414"/>
      <c r="I77" s="556"/>
    </row>
    <row r="78" spans="8:9" s="387" customFormat="1" hidden="1">
      <c r="H78" s="414"/>
      <c r="I78" s="556"/>
    </row>
    <row r="79" spans="8:9" s="387" customFormat="1" hidden="1">
      <c r="H79" s="414"/>
      <c r="I79" s="556"/>
    </row>
    <row r="80" spans="8:9" s="387" customFormat="1" hidden="1">
      <c r="H80" s="414"/>
      <c r="I80" s="556"/>
    </row>
    <row r="81" spans="8:9" s="387" customFormat="1" hidden="1">
      <c r="H81" s="414"/>
      <c r="I81" s="556"/>
    </row>
    <row r="82" spans="8:9" s="387" customFormat="1" hidden="1">
      <c r="H82" s="414"/>
      <c r="I82" s="556"/>
    </row>
    <row r="83" spans="8:9" s="387" customFormat="1" hidden="1">
      <c r="H83" s="414"/>
      <c r="I83" s="556"/>
    </row>
    <row r="84" spans="8:9" s="387" customFormat="1" hidden="1">
      <c r="H84" s="414"/>
      <c r="I84" s="556"/>
    </row>
    <row r="85" spans="8:9" s="387" customFormat="1" hidden="1">
      <c r="H85" s="414"/>
      <c r="I85" s="556"/>
    </row>
    <row r="86" spans="8:9" s="387" customFormat="1" hidden="1">
      <c r="H86" s="414"/>
      <c r="I86" s="556"/>
    </row>
    <row r="87" spans="8:9" s="387" customFormat="1" hidden="1">
      <c r="H87" s="414"/>
      <c r="I87" s="556"/>
    </row>
    <row r="88" spans="8:9" s="387" customFormat="1" hidden="1">
      <c r="H88" s="414"/>
      <c r="I88" s="556"/>
    </row>
    <row r="89" spans="8:9" s="387" customFormat="1" hidden="1">
      <c r="H89" s="414"/>
      <c r="I89" s="556"/>
    </row>
    <row r="90" spans="8:9" s="387" customFormat="1" hidden="1">
      <c r="H90" s="414"/>
      <c r="I90" s="556"/>
    </row>
    <row r="91" spans="8:9" s="387" customFormat="1" hidden="1">
      <c r="H91" s="414"/>
      <c r="I91" s="556"/>
    </row>
    <row r="92" spans="8:9" s="387" customFormat="1" hidden="1">
      <c r="H92" s="414"/>
      <c r="I92" s="556"/>
    </row>
    <row r="93" spans="8:9" s="387" customFormat="1" hidden="1">
      <c r="H93" s="414"/>
      <c r="I93" s="556"/>
    </row>
    <row r="94" spans="8:9" s="387" customFormat="1" hidden="1">
      <c r="H94" s="414"/>
      <c r="I94" s="556"/>
    </row>
    <row r="95" spans="8:9" s="387" customFormat="1" hidden="1">
      <c r="H95" s="414"/>
      <c r="I95" s="556"/>
    </row>
    <row r="96" spans="8:9" s="387" customFormat="1" hidden="1">
      <c r="H96" s="414"/>
      <c r="I96" s="556"/>
    </row>
    <row r="97" spans="8:9" s="387" customFormat="1" hidden="1">
      <c r="H97" s="414"/>
      <c r="I97" s="556"/>
    </row>
    <row r="98" spans="8:9" s="387" customFormat="1" hidden="1">
      <c r="H98" s="414"/>
      <c r="I98" s="556"/>
    </row>
    <row r="99" spans="8:9" s="387" customFormat="1" hidden="1">
      <c r="H99" s="414"/>
      <c r="I99" s="556"/>
    </row>
    <row r="100" spans="8:9" s="387" customFormat="1" hidden="1">
      <c r="H100" s="414"/>
      <c r="I100" s="556"/>
    </row>
    <row r="101" spans="8:9" s="387" customFormat="1" hidden="1">
      <c r="H101" s="414"/>
      <c r="I101" s="556"/>
    </row>
    <row r="102" spans="8:9" s="387" customFormat="1" hidden="1">
      <c r="H102" s="414"/>
      <c r="I102" s="556"/>
    </row>
    <row r="103" spans="8:9" s="387" customFormat="1" hidden="1">
      <c r="H103" s="414"/>
      <c r="I103" s="556"/>
    </row>
    <row r="104" spans="8:9" s="387" customFormat="1" hidden="1">
      <c r="H104" s="414"/>
      <c r="I104" s="556"/>
    </row>
    <row r="105" spans="8:9" s="387" customFormat="1" hidden="1">
      <c r="H105" s="414"/>
      <c r="I105" s="556"/>
    </row>
    <row r="106" spans="8:9" s="387" customFormat="1" hidden="1">
      <c r="H106" s="414"/>
      <c r="I106" s="556"/>
    </row>
    <row r="107" spans="8:9" s="387" customFormat="1" hidden="1">
      <c r="H107" s="414"/>
      <c r="I107" s="556"/>
    </row>
    <row r="108" spans="8:9" s="387" customFormat="1" hidden="1">
      <c r="H108" s="414"/>
      <c r="I108" s="556"/>
    </row>
    <row r="109" spans="8:9" s="387" customFormat="1" hidden="1">
      <c r="H109" s="414"/>
      <c r="I109" s="556"/>
    </row>
    <row r="110" spans="8:9" s="387" customFormat="1" hidden="1">
      <c r="H110" s="414"/>
      <c r="I110" s="556"/>
    </row>
    <row r="111" spans="8:9" s="387" customFormat="1" hidden="1">
      <c r="H111" s="414"/>
      <c r="I111" s="556"/>
    </row>
    <row r="112" spans="8:9" s="387" customFormat="1" hidden="1">
      <c r="H112" s="414"/>
      <c r="I112" s="556"/>
    </row>
    <row r="113" spans="8:9" s="387" customFormat="1" hidden="1">
      <c r="H113" s="414"/>
      <c r="I113" s="556"/>
    </row>
    <row r="114" spans="8:9" s="387" customFormat="1" hidden="1">
      <c r="H114" s="414"/>
      <c r="I114" s="556"/>
    </row>
    <row r="115" spans="8:9" s="387" customFormat="1" hidden="1">
      <c r="H115" s="414"/>
      <c r="I115" s="556"/>
    </row>
    <row r="116" spans="8:9" s="387" customFormat="1" hidden="1">
      <c r="H116" s="414"/>
      <c r="I116" s="556"/>
    </row>
    <row r="117" spans="8:9" s="387" customFormat="1" hidden="1">
      <c r="H117" s="414"/>
      <c r="I117" s="556"/>
    </row>
    <row r="118" spans="8:9" s="387" customFormat="1" hidden="1">
      <c r="H118" s="414"/>
      <c r="I118" s="556"/>
    </row>
    <row r="119" spans="8:9" s="387" customFormat="1" hidden="1">
      <c r="H119" s="414"/>
      <c r="I119" s="556"/>
    </row>
    <row r="120" spans="8:9" s="387" customFormat="1" hidden="1">
      <c r="H120" s="414"/>
      <c r="I120" s="556"/>
    </row>
    <row r="121" spans="8:9" s="387" customFormat="1" hidden="1">
      <c r="H121" s="414"/>
      <c r="I121" s="556"/>
    </row>
    <row r="122" spans="8:9" s="387" customFormat="1" hidden="1">
      <c r="H122" s="414"/>
      <c r="I122" s="556"/>
    </row>
    <row r="123" spans="8:9" s="387" customFormat="1" hidden="1">
      <c r="H123" s="414"/>
      <c r="I123" s="556"/>
    </row>
    <row r="124" spans="8:9" s="387" customFormat="1" hidden="1">
      <c r="H124" s="414"/>
      <c r="I124" s="556"/>
    </row>
    <row r="125" spans="8:9" s="387" customFormat="1" hidden="1">
      <c r="H125" s="414"/>
      <c r="I125" s="556"/>
    </row>
    <row r="126" spans="8:9" s="387" customFormat="1" hidden="1">
      <c r="H126" s="414"/>
      <c r="I126" s="556"/>
    </row>
    <row r="127" spans="8:9" s="387" customFormat="1" hidden="1">
      <c r="H127" s="414"/>
      <c r="I127" s="556"/>
    </row>
    <row r="128" spans="8:9" s="387" customFormat="1" hidden="1">
      <c r="H128" s="414"/>
      <c r="I128" s="556"/>
    </row>
    <row r="129" spans="8:9" s="387" customFormat="1" hidden="1">
      <c r="H129" s="414"/>
      <c r="I129" s="556"/>
    </row>
    <row r="130" spans="8:9" s="387" customFormat="1" hidden="1">
      <c r="H130" s="414"/>
      <c r="I130" s="556"/>
    </row>
    <row r="131" spans="8:9" s="387" customFormat="1" hidden="1">
      <c r="H131" s="414"/>
      <c r="I131" s="556"/>
    </row>
    <row r="132" spans="8:9" s="387" customFormat="1" hidden="1">
      <c r="H132" s="414"/>
      <c r="I132" s="556"/>
    </row>
    <row r="133" spans="8:9" s="387" customFormat="1" hidden="1">
      <c r="H133" s="414"/>
      <c r="I133" s="556"/>
    </row>
    <row r="134" spans="8:9" s="387" customFormat="1" hidden="1">
      <c r="H134" s="414"/>
      <c r="I134" s="556"/>
    </row>
    <row r="135" spans="8:9" s="387" customFormat="1" hidden="1">
      <c r="H135" s="414"/>
      <c r="I135" s="556"/>
    </row>
    <row r="136" spans="8:9" s="387" customFormat="1" hidden="1">
      <c r="H136" s="414"/>
      <c r="I136" s="556"/>
    </row>
    <row r="137" spans="8:9" s="387" customFormat="1" hidden="1">
      <c r="H137" s="414"/>
      <c r="I137" s="556"/>
    </row>
    <row r="138" spans="8:9" s="388" customFormat="1" hidden="1">
      <c r="H138" s="415"/>
      <c r="I138" s="610"/>
    </row>
    <row r="139" spans="8:9" s="388" customFormat="1" hidden="1">
      <c r="H139" s="415"/>
      <c r="I139" s="610"/>
    </row>
    <row r="140" spans="8:9" s="388" customFormat="1" hidden="1">
      <c r="H140" s="415"/>
      <c r="I140" s="610"/>
    </row>
    <row r="141" spans="8:9" s="388" customFormat="1" hidden="1">
      <c r="H141" s="415"/>
      <c r="I141" s="610"/>
    </row>
    <row r="142" spans="8:9" s="388" customFormat="1" hidden="1">
      <c r="H142" s="415"/>
      <c r="I142" s="610"/>
    </row>
    <row r="143" spans="8:9" s="388" customFormat="1" hidden="1">
      <c r="H143" s="415"/>
      <c r="I143" s="610"/>
    </row>
    <row r="144" spans="8:9" s="388" customFormat="1" hidden="1">
      <c r="H144" s="415"/>
      <c r="I144" s="610"/>
    </row>
    <row r="145" spans="8:9" s="388" customFormat="1" hidden="1">
      <c r="H145" s="415"/>
      <c r="I145" s="610"/>
    </row>
    <row r="146" spans="8:9" s="388" customFormat="1" hidden="1">
      <c r="H146" s="415"/>
      <c r="I146" s="610"/>
    </row>
    <row r="147" spans="8:9" s="388" customFormat="1" hidden="1">
      <c r="H147" s="415"/>
      <c r="I147" s="610"/>
    </row>
    <row r="148" spans="8:9" s="388" customFormat="1" hidden="1">
      <c r="H148" s="415"/>
      <c r="I148" s="610"/>
    </row>
    <row r="149" spans="8:9" s="388" customFormat="1" hidden="1">
      <c r="H149" s="415"/>
      <c r="I149" s="610"/>
    </row>
    <row r="150" spans="8:9" s="388" customFormat="1" hidden="1">
      <c r="H150" s="415"/>
      <c r="I150" s="610"/>
    </row>
    <row r="151" spans="8:9" s="388" customFormat="1" hidden="1">
      <c r="H151" s="415"/>
      <c r="I151" s="610"/>
    </row>
    <row r="152" spans="8:9" s="388" customFormat="1" hidden="1">
      <c r="H152" s="415"/>
      <c r="I152" s="610"/>
    </row>
    <row r="153" spans="8:9" s="388" customFormat="1" hidden="1">
      <c r="H153" s="415"/>
      <c r="I153" s="610"/>
    </row>
    <row r="154" spans="8:9" s="369" customFormat="1" hidden="1">
      <c r="H154" s="416"/>
      <c r="I154" s="611"/>
    </row>
    <row r="155" spans="8:9" s="369" customFormat="1" hidden="1">
      <c r="H155" s="416"/>
      <c r="I155" s="611"/>
    </row>
    <row r="156" spans="8:9" s="369" customFormat="1" hidden="1">
      <c r="H156" s="416"/>
      <c r="I156" s="611"/>
    </row>
    <row r="157" spans="8:9" s="369" customFormat="1" hidden="1">
      <c r="H157" s="416"/>
      <c r="I157" s="611"/>
    </row>
  </sheetData>
  <conditionalFormatting sqref="A6:S56">
    <cfRule type="expression" dxfId="3" priority="3">
      <formula>$D6=1</formula>
    </cfRule>
    <cfRule type="expression" dxfId="2" priority="4">
      <formula>$D6=0</formula>
    </cfRule>
  </conditionalFormatting>
  <conditionalFormatting sqref="J5:S5">
    <cfRule type="expression" dxfId="1" priority="2">
      <formula>J2=0</formula>
    </cfRule>
  </conditionalFormatting>
  <conditionalFormatting sqref="J5:S5">
    <cfRule type="expression" dxfId="0" priority="1">
      <formula>J4&lt;37</formula>
    </cfRule>
  </conditionalFormatting>
  <dataValidations count="4">
    <dataValidation type="list" allowBlank="1" showInputMessage="1" showErrorMessage="1" errorTitle="Error" error="El valor que has ingresado no es válido" sqref="J9:S12 K53:S54 K15:S15 K56:S56 J40:J43 K48:S48 K35:S36 J15:J21 J23:S24 J26:S26 J29:S33 K20:S21 K43:S43 J53:J56 K41:S41 J48:J50 J46 K17:S18 J35:J37">
      <formula1>$U$1:$U$3</formula1>
    </dataValidation>
    <dataValidation allowBlank="1" showInputMessage="1" showErrorMessage="1" errorTitle="Error" error="El valor que has ingresado no es válido" sqref="J13:S13 J22:S22 J25:S25 J27:S28 J34:S34 J38:S39 J47:S47 J44:S45 J51:S52"/>
    <dataValidation type="list" allowBlank="1" showInputMessage="1" showErrorMessage="1" errorTitle="Error" error="El valor que has ingresado no es válido" sqref="J14:S14 K16:S16 K42:S42 K49:S50 K55:S55">
      <formula1>$U$1:$U$2</formula1>
    </dataValidation>
    <dataValidation type="list" allowBlank="1" showInputMessage="1" showErrorMessage="1" errorTitle="Error" error="El valor que has ingresado no es válido" sqref="K19:S19 K46:S46 K37:S37 K40:S40">
      <formula1>$U$1:$U$4</formula1>
    </dataValidation>
  </dataValidations>
  <pageMargins left="0.55118110236220474" right="0.55118110236220474" top="0.59055118110236227" bottom="0.78740157480314965" header="0.51181102362204722" footer="0.51181102362204722"/>
  <pageSetup paperSize="9" scale="42" orientation="landscape" horizontalDpi="1200" verticalDpi="1200" r:id="rId1"/>
  <headerFooter alignWithMargins="0">
    <oddHeader>&amp;RResultados del Modelo de Reciclaje Inclusivo</oddHeader>
  </headerFooter>
  <drawing r:id="rId2"/>
</worksheet>
</file>

<file path=xl/worksheets/sheet53.xml><?xml version="1.0" encoding="utf-8"?>
<worksheet xmlns="http://schemas.openxmlformats.org/spreadsheetml/2006/main" xmlns:r="http://schemas.openxmlformats.org/officeDocument/2006/relationships">
  <sheetPr codeName="Sheet22">
    <tabColor rgb="FFFFC000"/>
  </sheetPr>
  <dimension ref="A1:G17"/>
  <sheetViews>
    <sheetView showRowColHeaders="0" topLeftCell="B13" zoomScale="80" zoomScaleNormal="80" workbookViewId="0">
      <selection activeCell="D15" sqref="D15"/>
    </sheetView>
  </sheetViews>
  <sheetFormatPr defaultRowHeight="15"/>
  <cols>
    <col min="1" max="1" width="16.85546875" style="28" bestFit="1" customWidth="1"/>
    <col min="2" max="2" width="50.28515625" style="535" bestFit="1" customWidth="1"/>
    <col min="3" max="3" width="50.28515625" style="72" customWidth="1"/>
    <col min="4" max="4" width="45.7109375" style="28" customWidth="1"/>
    <col min="5" max="16384" width="9.140625" style="28"/>
  </cols>
  <sheetData>
    <row r="1" spans="1:7">
      <c r="A1" s="28" t="str">
        <f>uxb_works!A24</f>
        <v>CITY1_ID</v>
      </c>
      <c r="B1" s="28">
        <f>uxb_works!B24</f>
        <v>1</v>
      </c>
      <c r="C1" s="28" t="str">
        <f ca="1">uxb_works!C24</f>
        <v>Asunción</v>
      </c>
    </row>
    <row r="3" spans="1:7" ht="16.5">
      <c r="B3" s="652" t="s">
        <v>840</v>
      </c>
      <c r="C3" s="653" t="s">
        <v>2376</v>
      </c>
      <c r="D3" s="652" t="s">
        <v>2377</v>
      </c>
      <c r="F3" s="653" t="s">
        <v>2376</v>
      </c>
      <c r="G3" s="28" t="str">
        <f>INDEX($C$4:$C$15,B1)</f>
        <v>Asunción se encuentra ubicada a la margen este del río Paraguay, frente a la confluencia del mismo con el río Pilcomayo. La ciudad, conformada por 6 distritos y 68 barríos, limita al noroeste con la ciudad de Mariano Roque Alonso, al este con las ciudades de Luque y Fernando de la Mora y al sur con las ciudades de Lambaré y Villa Elisa. Asunción es un municipio autónomo, no adscrito a ningún departamento.</v>
      </c>
    </row>
    <row r="4" spans="1:7" ht="102">
      <c r="A4" s="28" t="s">
        <v>334</v>
      </c>
      <c r="B4" s="652" t="s">
        <v>2378</v>
      </c>
      <c r="C4" s="654" t="s">
        <v>2690</v>
      </c>
      <c r="D4" s="655" t="s">
        <v>2379</v>
      </c>
      <c r="F4" s="652" t="s">
        <v>2377</v>
      </c>
      <c r="G4" s="28" t="str">
        <f>INDEX($D$4:$D$15,B1)</f>
        <v>Municipalidad de Asunción. 2016. Plan Regulador, Dirección General de Desarrollo Urbano [http://sig.mca.gov.py/] Programa de las Naciones Unidas para el Medio Ambiente, Secretaría del Ambiente y Municipalidad de Asunción (Paraguay). 2008. "Perspectivas del Medio Ambiente Urbano. GEO Asunción". Programa de las Naciones Unidas para el Medio Ambiente</v>
      </c>
    </row>
    <row r="5" spans="1:7" ht="96">
      <c r="A5" s="28" t="s">
        <v>335</v>
      </c>
      <c r="B5" s="652" t="s">
        <v>2380</v>
      </c>
      <c r="C5" s="654" t="s">
        <v>2677</v>
      </c>
      <c r="D5" s="655" t="s">
        <v>2381</v>
      </c>
    </row>
    <row r="6" spans="1:7" ht="114.75">
      <c r="A6" s="28" t="s">
        <v>332</v>
      </c>
      <c r="B6" s="652" t="s">
        <v>2384</v>
      </c>
      <c r="C6" s="654" t="s">
        <v>2678</v>
      </c>
      <c r="D6" s="654" t="s">
        <v>2385</v>
      </c>
    </row>
    <row r="7" spans="1:7" ht="153">
      <c r="A7" s="28" t="s">
        <v>333</v>
      </c>
      <c r="B7" s="652" t="s">
        <v>2382</v>
      </c>
      <c r="C7" s="654" t="s">
        <v>2679</v>
      </c>
      <c r="D7" s="655" t="s">
        <v>2383</v>
      </c>
    </row>
    <row r="8" spans="1:7" ht="144">
      <c r="A8" s="28" t="s">
        <v>2252</v>
      </c>
      <c r="B8" s="656" t="s">
        <v>2386</v>
      </c>
      <c r="C8" s="654" t="s">
        <v>2691</v>
      </c>
      <c r="D8" s="657" t="s">
        <v>2387</v>
      </c>
    </row>
    <row r="9" spans="1:7" ht="63.75">
      <c r="A9" s="28" t="s">
        <v>336</v>
      </c>
      <c r="B9" s="652" t="s">
        <v>2388</v>
      </c>
      <c r="C9" s="654" t="s">
        <v>2389</v>
      </c>
      <c r="D9" s="657" t="s">
        <v>2390</v>
      </c>
    </row>
    <row r="10" spans="1:7" ht="108">
      <c r="A10" s="28" t="s">
        <v>337</v>
      </c>
      <c r="B10" s="652" t="s">
        <v>2391</v>
      </c>
      <c r="C10" s="654" t="s">
        <v>915</v>
      </c>
      <c r="D10" s="655" t="s">
        <v>2392</v>
      </c>
    </row>
    <row r="11" spans="1:7" ht="76.5">
      <c r="A11" s="28" t="s">
        <v>338</v>
      </c>
      <c r="B11" s="652" t="s">
        <v>2393</v>
      </c>
      <c r="C11" s="654" t="s">
        <v>2680</v>
      </c>
      <c r="D11" s="655" t="s">
        <v>2394</v>
      </c>
    </row>
    <row r="12" spans="1:7" ht="48">
      <c r="A12" s="28" t="s">
        <v>339</v>
      </c>
      <c r="B12" s="652" t="s">
        <v>2395</v>
      </c>
      <c r="C12" s="654" t="s">
        <v>2396</v>
      </c>
      <c r="D12" s="657" t="s">
        <v>2681</v>
      </c>
    </row>
    <row r="13" spans="1:7" ht="89.25">
      <c r="A13" s="28" t="s">
        <v>342</v>
      </c>
      <c r="B13" s="652" t="s">
        <v>2397</v>
      </c>
      <c r="C13" s="654" t="s">
        <v>2692</v>
      </c>
      <c r="D13" s="657" t="s">
        <v>2693</v>
      </c>
    </row>
    <row r="14" spans="1:7" ht="76.5">
      <c r="A14" s="28" t="s">
        <v>340</v>
      </c>
      <c r="B14" s="652" t="s">
        <v>2398</v>
      </c>
      <c r="C14" s="654" t="s">
        <v>2694</v>
      </c>
      <c r="D14" s="657" t="s">
        <v>2695</v>
      </c>
    </row>
    <row r="15" spans="1:7" ht="84">
      <c r="A15" s="28" t="s">
        <v>341</v>
      </c>
      <c r="B15" s="652" t="s">
        <v>2399</v>
      </c>
      <c r="C15" s="654" t="s">
        <v>2400</v>
      </c>
      <c r="D15" s="657" t="s">
        <v>2682</v>
      </c>
    </row>
    <row r="16" spans="1:7" ht="15.75">
      <c r="B16" s="658"/>
    </row>
    <row r="17" spans="2:2" ht="15.75">
      <c r="B17" s="658"/>
    </row>
  </sheetData>
  <hyperlinks>
    <hyperlink ref="D6" r:id="rId1" display="http://www.buenosaires.gob.ar/gobiernodelaciuda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E1AF22EE6D28545924CE1619AF19290" ma:contentTypeVersion="3" ma:contentTypeDescription="Create a new document." ma:contentTypeScope="" ma:versionID="2092c81efe8791bf82a5a56d2e1849ee">
  <xsd:schema xmlns:xsd="http://www.w3.org/2001/XMLSchema" xmlns:xs="http://www.w3.org/2001/XMLSchema" xmlns:p="http://schemas.microsoft.com/office/2006/metadata/properties" xmlns:ns1="http://schemas.microsoft.com/sharepoint/v3" xmlns:ns2="2d28a10c-07ea-4630-b31d-f0fc22e4c3c2" targetNamespace="http://schemas.microsoft.com/office/2006/metadata/properties" ma:root="true" ma:fieldsID="eeba90abc1ef4c7a73230ae0d4ac333d" ns1:_="" ns2:_="">
    <xsd:import namespace="http://schemas.microsoft.com/sharepoint/v3"/>
    <xsd:import namespace="2d28a10c-07ea-4630-b31d-f0fc22e4c3c2"/>
    <xsd:element name="properties">
      <xsd:complexType>
        <xsd:sequence>
          <xsd:element name="documentManagement">
            <xsd:complexType>
              <xsd:all>
                <xsd:element ref="ns1:PublishingStartDate" minOccurs="0"/>
                <xsd:element ref="ns1:PublishingExpirationDate"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d28a10c-07ea-4630-b31d-f0fc22e4c3c2"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F5065E23-CB53-4F0B-87A7-286C9E17FD77}"/>
</file>

<file path=customXml/itemProps2.xml><?xml version="1.0" encoding="utf-8"?>
<ds:datastoreItem xmlns:ds="http://schemas.openxmlformats.org/officeDocument/2006/customXml" ds:itemID="{9EC79F06-9C33-4D1E-84D4-CA859DE2A100}"/>
</file>

<file path=customXml/itemProps3.xml><?xml version="1.0" encoding="utf-8"?>
<ds:datastoreItem xmlns:ds="http://schemas.openxmlformats.org/officeDocument/2006/customXml" ds:itemID="{A4124E73-FC0E-4683-A8DA-5C49FE3359B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Home</vt:lpstr>
      <vt:lpstr>About</vt:lpstr>
      <vt:lpstr>Summary</vt:lpstr>
      <vt:lpstr>CCompare</vt:lpstr>
      <vt:lpstr>1. Map</vt:lpstr>
      <vt:lpstr>3DPlot</vt:lpstr>
      <vt:lpstr>Definiciones</vt:lpstr>
      <vt:lpstr>Resumen_Ciudad</vt:lpstr>
      <vt:lpstr>CDescription</vt:lpstr>
      <vt:lpstr>C_Additional_Desc</vt:lpstr>
      <vt:lpstr>DataDisplay</vt:lpstr>
      <vt:lpstr>Weights</vt:lpstr>
      <vt:lpstr>UserDataIn</vt:lpstr>
      <vt:lpstr>'1. Map'!Print_Area</vt:lpstr>
      <vt:lpstr>'3DPlot'!Print_Area</vt:lpstr>
      <vt:lpstr>C_Additional_Desc!Print_Area</vt:lpstr>
      <vt:lpstr>CCompare!Print_Area</vt:lpstr>
      <vt:lpstr>CDescription!Print_Area</vt:lpstr>
      <vt:lpstr>CProfile!Print_Area</vt:lpstr>
      <vt:lpstr>Data!Print_Area</vt:lpstr>
      <vt:lpstr>DataDisplay!Print_Area</vt:lpstr>
      <vt:lpstr>Definiciones!Print_Area</vt:lpstr>
      <vt:lpstr>Resumen_Ciudad!Print_Area</vt:lpstr>
      <vt:lpstr>Scatter!Print_Area</vt:lpstr>
      <vt:lpstr>Scatter3d!Print_Area</vt:lpstr>
      <vt:lpstr>Scores!Print_Area</vt:lpstr>
      <vt:lpstr>Summary!Print_Area</vt:lpstr>
      <vt:lpstr>UserDataIn!Print_Area</vt:lpstr>
      <vt:lpstr>Weights!Print_Area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Economist Intelligence Unit</dc:creator>
  <cp:lastModifiedBy>Economist Intelligence Unit</cp:lastModifiedBy>
  <cp:lastPrinted>2016-12-06T16:45:52Z</cp:lastPrinted>
  <dcterms:created xsi:type="dcterms:W3CDTF">2011-11-09T19:27:37Z</dcterms:created>
  <dcterms:modified xsi:type="dcterms:W3CDTF">2016-12-21T17:56:26Z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0x0101001E1AF22EE6D28545924CE1619AF19290</vt:lpwstr>
  </property>
</Properties>
</file>